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DD80A25D-FC3F-4B34-917A-DD8792114747}" xr6:coauthVersionLast="47" xr6:coauthVersionMax="47" xr10:uidLastSave="{00000000-0000-0000-0000-000000000000}"/>
  <bookViews>
    <workbookView xWindow="-120" yWindow="-120" windowWidth="29040" windowHeight="1572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SLD" sheetId="67" r:id="rId10"/>
    <sheet name="GAMBAR" sheetId="64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10">#REF!</definedName>
    <definedName name="\D" localSheetId="7">#REF!</definedName>
    <definedName name="\D">#REF!</definedName>
    <definedName name="\E" localSheetId="6">#REF!</definedName>
    <definedName name="\E" localSheetId="10">#REF!</definedName>
    <definedName name="\E" localSheetId="7">#REF!</definedName>
    <definedName name="\E">#REF!</definedName>
    <definedName name="\F" localSheetId="6">#REF!</definedName>
    <definedName name="\F" localSheetId="10">#REF!</definedName>
    <definedName name="\F" localSheetId="7">#REF!</definedName>
    <definedName name="\F">#REF!</definedName>
    <definedName name="\G" localSheetId="6">#REF!</definedName>
    <definedName name="\G" localSheetId="10">#REF!</definedName>
    <definedName name="\G" localSheetId="7">#REF!</definedName>
    <definedName name="\G">#REF!</definedName>
    <definedName name="\H" localSheetId="6">#REF!</definedName>
    <definedName name="\H" localSheetId="10">#REF!</definedName>
    <definedName name="\H" localSheetId="7">#REF!</definedName>
    <definedName name="\H">#REF!</definedName>
    <definedName name="\I" localSheetId="6">#REF!</definedName>
    <definedName name="\I" localSheetId="10">#REF!</definedName>
    <definedName name="\I" localSheetId="7">#REF!</definedName>
    <definedName name="\I">#REF!</definedName>
    <definedName name="\J" localSheetId="6">#REF!</definedName>
    <definedName name="\J" localSheetId="10">#REF!</definedName>
    <definedName name="\J" localSheetId="7">#REF!</definedName>
    <definedName name="\J">#REF!</definedName>
    <definedName name="\K" localSheetId="6">#REF!</definedName>
    <definedName name="\K" localSheetId="10">#REF!</definedName>
    <definedName name="\K" localSheetId="7">#REF!</definedName>
    <definedName name="\K">#REF!</definedName>
    <definedName name="\L" localSheetId="6">#REF!</definedName>
    <definedName name="\L" localSheetId="10">#REF!</definedName>
    <definedName name="\L" localSheetId="7">#REF!</definedName>
    <definedName name="\L">#REF!</definedName>
    <definedName name="\LX1" localSheetId="6">#REF!</definedName>
    <definedName name="\LX1" localSheetId="10">#REF!</definedName>
    <definedName name="\LX1" localSheetId="7">#REF!</definedName>
    <definedName name="\LX1">#REF!</definedName>
    <definedName name="\M" localSheetId="6">#REF!</definedName>
    <definedName name="\M" localSheetId="10">#REF!</definedName>
    <definedName name="\M" localSheetId="7">#REF!</definedName>
    <definedName name="\M">#REF!</definedName>
    <definedName name="\P" localSheetId="6">#REF!</definedName>
    <definedName name="\P" localSheetId="10">#REF!</definedName>
    <definedName name="\P" localSheetId="7">#REF!</definedName>
    <definedName name="\P">#REF!</definedName>
    <definedName name="\Q" localSheetId="6">#REF!</definedName>
    <definedName name="\Q" localSheetId="10">#REF!</definedName>
    <definedName name="\Q" localSheetId="7">#REF!</definedName>
    <definedName name="\Q">#REF!</definedName>
    <definedName name="\R" localSheetId="6">#REF!</definedName>
    <definedName name="\R" localSheetId="10">#REF!</definedName>
    <definedName name="\R" localSheetId="7">#REF!</definedName>
    <definedName name="\R">#REF!</definedName>
    <definedName name="\S" localSheetId="6">#REF!</definedName>
    <definedName name="\S" localSheetId="10">#REF!</definedName>
    <definedName name="\S" localSheetId="7">#REF!</definedName>
    <definedName name="\S">#REF!</definedName>
    <definedName name="\T" localSheetId="6">#REF!</definedName>
    <definedName name="\T" localSheetId="10">#REF!</definedName>
    <definedName name="\T" localSheetId="7">#REF!</definedName>
    <definedName name="\T">#REF!</definedName>
    <definedName name="\W" localSheetId="6">#REF!</definedName>
    <definedName name="\W" localSheetId="10">#REF!</definedName>
    <definedName name="\W" localSheetId="7">#REF!</definedName>
    <definedName name="\W">#REF!</definedName>
    <definedName name="\Z" localSheetId="6">#REF!</definedName>
    <definedName name="\Z" localSheetId="10">#REF!</definedName>
    <definedName name="\Z" localSheetId="7">#REF!</definedName>
    <definedName name="\Z">#REF!</definedName>
    <definedName name="_" localSheetId="6">#REF!</definedName>
    <definedName name="_" localSheetId="10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10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10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10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10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10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10" hidden="1">[12]graf2!$D$12:$L$12</definedName>
    <definedName name="_10__123Graph_LBL_BCHART_2" localSheetId="9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10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10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10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10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10">#REF!</definedName>
    <definedName name="_11INV_PERUSAHAAN" localSheetId="7">#REF!</definedName>
    <definedName name="_11INV_PERUSAHAAN">#REF!</definedName>
    <definedName name="_12__123Graph_LBL_ACHART_2" localSheetId="10" hidden="1">[12]graf2!$D$10:$L$10</definedName>
    <definedName name="_12__123Graph_LBL_ACHART_2" localSheetId="9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10" hidden="1">[12]graf2!$D$14:$L$14</definedName>
    <definedName name="_12__123Graph_LBL_CCHART_2" localSheetId="9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10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10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10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10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10">#REF!</definedName>
    <definedName name="_13REKAP_KEGIATAN" localSheetId="7">#REF!</definedName>
    <definedName name="_13REKAP_KEGIATAN">#REF!</definedName>
    <definedName name="_14__123Graph_XCHART_2" localSheetId="10" hidden="1">[12]graf2!$D$8:$L$8</definedName>
    <definedName name="_14__123Graph_XCHART_2" localSheetId="9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10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10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10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10" hidden="1">[12]graf2!$D$12:$L$12</definedName>
    <definedName name="_15__123Graph_LBL_BCHART_2" localSheetId="9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10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10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10" hidden="1">[12]graf2!$D$14:$L$14</definedName>
    <definedName name="_18__123Graph_LBL_CCHART_2" localSheetId="9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10" hidden="1">[12]graf2!$D$10:$L$10</definedName>
    <definedName name="_2__123Graph_ACHART_2" localSheetId="9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10" hidden="1">[12]graf2!$D$8:$L$8</definedName>
    <definedName name="_21__123Graph_XCHART_2" localSheetId="9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10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10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10" hidden="1">[12]graf2!$D$10:$L$10</definedName>
    <definedName name="_3__123Graph_ACHART_2" localSheetId="9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10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10">#REF!</definedName>
    <definedName name="_3ANGG_PERUSAHAAN" localSheetId="7">#REF!</definedName>
    <definedName name="_3ANGG_PERUSAHAAN">#REF!</definedName>
    <definedName name="_4" localSheetId="6">#REF!</definedName>
    <definedName name="_4" localSheetId="10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10" hidden="1">[12]graf2!$D$12:$L$12</definedName>
    <definedName name="_4__123Graph_BCHART_2" localSheetId="9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10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10">#REF!</definedName>
    <definedName name="_4BAHAS_ANGG." localSheetId="7">#REF!</definedName>
    <definedName name="_4BAHAS_ANGG.">#REF!</definedName>
    <definedName name="_5" localSheetId="6">#REF!</definedName>
    <definedName name="_5" localSheetId="10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10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10" hidden="1">[12]graf2!$D$12:$L$12</definedName>
    <definedName name="_6__123Graph_BCHART_2" localSheetId="9" hidden="1">[13]graf2!$D$12:$L$12</definedName>
    <definedName name="_6__123Graph_BCHART_2" hidden="1">[14]graf2!$D$12:$L$12</definedName>
    <definedName name="_6__123Graph_CCHART_2" localSheetId="10" hidden="1">[12]graf2!$D$14:$L$14</definedName>
    <definedName name="_6__123Graph_CCHART_2" localSheetId="9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10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10">#REF!</definedName>
    <definedName name="_6FORM_A" localSheetId="7">#REF!</definedName>
    <definedName name="_6FORM_A">#REF!</definedName>
    <definedName name="_7" localSheetId="6">#REF!</definedName>
    <definedName name="_7" localSheetId="10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10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10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10" hidden="1">[12]graf2!$D$10:$L$10</definedName>
    <definedName name="_8__123Graph_LBL_ACHART_2" localSheetId="9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10">#REF!</definedName>
    <definedName name="_8BAHAS_ANGG." localSheetId="7">#REF!</definedName>
    <definedName name="_8BAHAS_ANGG.">#REF!</definedName>
    <definedName name="_8FORM_B" localSheetId="6">#REF!</definedName>
    <definedName name="_8FORM_B" localSheetId="10">#REF!</definedName>
    <definedName name="_8FORM_B" localSheetId="7">#REF!</definedName>
    <definedName name="_8FORM_B">#REF!</definedName>
    <definedName name="_8GD_PER_TW" localSheetId="6">#REF!</definedName>
    <definedName name="_8GD_PER_TW" localSheetId="10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10" hidden="1">[12]graf2!$D$14:$L$14</definedName>
    <definedName name="_9__123Graph_CCHART_2" localSheetId="9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10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10">#REF!</definedName>
    <definedName name="_9GH_2_SPINDEL" localSheetId="7">#REF!</definedName>
    <definedName name="_9GH_2_SPINDEL">#REF!</definedName>
    <definedName name="_A" localSheetId="6">#REF!</definedName>
    <definedName name="_A" localSheetId="10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10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10">#REF!</definedName>
    <definedName name="_DAF1" localSheetId="7">#REF!</definedName>
    <definedName name="_DAF1">#REF!</definedName>
    <definedName name="_DAF11" localSheetId="6">#REF!</definedName>
    <definedName name="_DAF11" localSheetId="10">#REF!</definedName>
    <definedName name="_DAF11" localSheetId="7">#REF!</definedName>
    <definedName name="_DAF11">#REF!</definedName>
    <definedName name="_DAF12" localSheetId="6">#REF!</definedName>
    <definedName name="_DAF12" localSheetId="10">#REF!</definedName>
    <definedName name="_DAF12" localSheetId="7">#REF!</definedName>
    <definedName name="_DAF12">#REF!</definedName>
    <definedName name="_DAF13" localSheetId="6">#REF!</definedName>
    <definedName name="_DAF13" localSheetId="10">#REF!</definedName>
    <definedName name="_DAF13" localSheetId="7">#REF!</definedName>
    <definedName name="_DAF13">#REF!</definedName>
    <definedName name="_daf133" localSheetId="6">#REF!</definedName>
    <definedName name="_daf133" localSheetId="10">#REF!</definedName>
    <definedName name="_daf133" localSheetId="7">#REF!</definedName>
    <definedName name="_daf133">#REF!</definedName>
    <definedName name="_DAF14" localSheetId="6">#REF!</definedName>
    <definedName name="_DAF14" localSheetId="10">#REF!</definedName>
    <definedName name="_DAF14" localSheetId="7">#REF!</definedName>
    <definedName name="_DAF14">#REF!</definedName>
    <definedName name="_DAF15" localSheetId="6">#REF!</definedName>
    <definedName name="_DAF15" localSheetId="10">#REF!</definedName>
    <definedName name="_DAF15" localSheetId="7">#REF!</definedName>
    <definedName name="_DAF15">#REF!</definedName>
    <definedName name="_DAF16" localSheetId="6">#REF!</definedName>
    <definedName name="_DAF16" localSheetId="10">#REF!</definedName>
    <definedName name="_DAF16" localSheetId="7">#REF!</definedName>
    <definedName name="_DAF16">#REF!</definedName>
    <definedName name="_DAF17" localSheetId="6">#REF!</definedName>
    <definedName name="_DAF17" localSheetId="10">#REF!</definedName>
    <definedName name="_DAF17" localSheetId="7">#REF!</definedName>
    <definedName name="_DAF17">#REF!</definedName>
    <definedName name="_DAF2" localSheetId="6">#REF!</definedName>
    <definedName name="_DAF2" localSheetId="10">#REF!</definedName>
    <definedName name="_DAF2" localSheetId="7">#REF!</definedName>
    <definedName name="_DAF2">#REF!</definedName>
    <definedName name="_DAF3" localSheetId="6">#REF!</definedName>
    <definedName name="_DAF3" localSheetId="10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10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10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10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10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10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10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10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10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10">#REF!</definedName>
    <definedName name="_PRSS1..AD1683_" localSheetId="7">#REF!</definedName>
    <definedName name="_PRSS1..AD1683_">#REF!</definedName>
    <definedName name="_R" localSheetId="6">#REF!</definedName>
    <definedName name="_R" localSheetId="10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10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10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10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10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10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9" hidden="1">{#N/A,#N/A,FALSE,"M.34"}</definedName>
    <definedName name="_TH1" hidden="1">{#N/A,#N/A,FALSE,"M.34"}</definedName>
    <definedName name="_TH1A" localSheetId="6" hidden="1">{#N/A,#N/A,FALSE,"M.34"}</definedName>
    <definedName name="_TH1A" localSheetId="10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9" hidden="1">{#N/A,#N/A,FALSE,"M.34"}</definedName>
    <definedName name="_TH1A" hidden="1">{#N/A,#N/A,FALSE,"M.34"}</definedName>
    <definedName name="_th2" localSheetId="6" hidden="1">{#N/A,#N/A,FALSE,"M.42"}</definedName>
    <definedName name="_th2" localSheetId="10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9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10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10">#REF!</definedName>
    <definedName name="_Z" localSheetId="7">#REF!</definedName>
    <definedName name="_Z">#REF!</definedName>
    <definedName name="a" localSheetId="6">[15]JAN07!#REF!</definedName>
    <definedName name="a" localSheetId="10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10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10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9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10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10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9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10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10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10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10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9" hidden="1">{#N/A,#N/A,FALSE,"M.42"}</definedName>
    <definedName name="asasdasd" hidden="1">{#N/A,#N/A,FALSE,"M.42"}</definedName>
    <definedName name="Asumsi" localSheetId="6">#REF!</definedName>
    <definedName name="Asumsi" localSheetId="10">#REF!</definedName>
    <definedName name="Asumsi" localSheetId="7">#REF!</definedName>
    <definedName name="Asumsi">#REF!</definedName>
    <definedName name="ATFungsi" localSheetId="6">#REF!</definedName>
    <definedName name="ATFungsi" localSheetId="10">#REF!</definedName>
    <definedName name="ATFungsi" localSheetId="7">#REF!</definedName>
    <definedName name="ATFungsi">#REF!</definedName>
    <definedName name="ATJenis" localSheetId="6">#REF!</definedName>
    <definedName name="ATJenis" localSheetId="10">#REF!</definedName>
    <definedName name="ATJenis" localSheetId="7">#REF!</definedName>
    <definedName name="ATJenis">#REF!</definedName>
    <definedName name="aw" localSheetId="6" hidden="1">{#N/A,#N/A,FALSE,"M.42"}</definedName>
    <definedName name="aw" localSheetId="10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9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10">#REF!</definedName>
    <definedName name="baba" localSheetId="5">#REF!</definedName>
    <definedName name="baba">#REF!</definedName>
    <definedName name="Bangsri" localSheetId="6" hidden="1">#REF!</definedName>
    <definedName name="Bangsri" localSheetId="10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10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9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10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9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10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9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10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9" hidden="1">{#N/A,#N/A,FALSE,"M.31"}</definedName>
    <definedName name="Biak" hidden="1">{#N/A,#N/A,FALSE,"M.31"}</definedName>
    <definedName name="BIAYA" localSheetId="6" hidden="1">{#N/A,#N/A,FALSE,"M.01"}</definedName>
    <definedName name="BIAYA" localSheetId="10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9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10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9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10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9" hidden="1">{#N/A,#N/A,FALSE,"M.02"}</definedName>
    <definedName name="bjm" hidden="1">{#N/A,#N/A,FALSE,"M.02"}</definedName>
    <definedName name="bk" localSheetId="6" hidden="1">{#N/A,#N/A,FALSE,"M.32"}</definedName>
    <definedName name="bk" localSheetId="10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9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10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9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10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9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10">[28]MENU1!$D$4:$T$15</definedName>
    <definedName name="BULAN" localSheetId="5">[28]MENU1!$D$4:$T$15</definedName>
    <definedName name="BULAN">[28]MENU1!$D$4:$T$15</definedName>
    <definedName name="Bulan_Ke" localSheetId="10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10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9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10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9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10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9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10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9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10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9" hidden="1">{#N/A,#N/A,FALSE,"M.02"}</definedName>
    <definedName name="CBRB" hidden="1">{#N/A,#N/A,FALSE,"M.02"}</definedName>
    <definedName name="CCC" localSheetId="6" hidden="1">#REF!</definedName>
    <definedName name="CCC" localSheetId="10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10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9" hidden="1">{#N/A,#N/A,FALSE,"M.31"}</definedName>
    <definedName name="CKTB" hidden="1">{#N/A,#N/A,FALSE,"M.31"}</definedName>
    <definedName name="coba" localSheetId="6" hidden="1">{#N/A,#N/A,FALSE,"M.41"}</definedName>
    <definedName name="coba" localSheetId="10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9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10">[29]CashFlow!$I$56:$J$57</definedName>
    <definedName name="Crit">#N/A</definedName>
    <definedName name="_xlnm.Criteria" localSheetId="6">#REF!</definedName>
    <definedName name="_xlnm.Criteria" localSheetId="10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10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10">#REF!</definedName>
    <definedName name="DAF13A" localSheetId="7">#REF!</definedName>
    <definedName name="DAF13A">#REF!</definedName>
    <definedName name="DAF13B" localSheetId="6">#REF!</definedName>
    <definedName name="DAF13B" localSheetId="10">#REF!</definedName>
    <definedName name="DAF13B" localSheetId="7">#REF!</definedName>
    <definedName name="DAF13B">#REF!</definedName>
    <definedName name="DAF14A" localSheetId="6">#REF!</definedName>
    <definedName name="DAF14A" localSheetId="10">#REF!</definedName>
    <definedName name="DAF14A" localSheetId="7">#REF!</definedName>
    <definedName name="DAF14A">#REF!</definedName>
    <definedName name="DAF14B" localSheetId="6">#REF!</definedName>
    <definedName name="DAF14B" localSheetId="10">#REF!</definedName>
    <definedName name="DAF14B" localSheetId="7">#REF!</definedName>
    <definedName name="DAF14B">#REF!</definedName>
    <definedName name="DAF14C" localSheetId="6">#REF!</definedName>
    <definedName name="DAF14C" localSheetId="10">#REF!</definedName>
    <definedName name="DAF14C" localSheetId="7">#REF!</definedName>
    <definedName name="DAF14C">#REF!</definedName>
    <definedName name="DAF14D" localSheetId="6">#REF!</definedName>
    <definedName name="DAF14D" localSheetId="10">#REF!</definedName>
    <definedName name="DAF14D" localSheetId="7">#REF!</definedName>
    <definedName name="DAF14D">#REF!</definedName>
    <definedName name="DAF14E" localSheetId="6">#REF!</definedName>
    <definedName name="DAF14E" localSheetId="10">#REF!</definedName>
    <definedName name="DAF14E" localSheetId="7">#REF!</definedName>
    <definedName name="DAF14E">#REF!</definedName>
    <definedName name="Dampak" localSheetId="6">#REF!</definedName>
    <definedName name="Dampak" localSheetId="10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10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10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10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9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10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9" hidden="1">{#N/A,#N/A,FALSE,"M.42"}</definedName>
    <definedName name="dfssfdhn" hidden="1">{#N/A,#N/A,FALSE,"M.42"}</definedName>
    <definedName name="dgx" localSheetId="6" hidden="1">{#N/A,#N/A,FALSE,"M.41"}</definedName>
    <definedName name="dgx" localSheetId="10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9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10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10">'[19]AHS - Personel'!$G$17</definedName>
    <definedName name="DrafterHari">#N/A</definedName>
    <definedName name="ds" localSheetId="6" hidden="1">{#N/A,#N/A,FALSE,"M.02"}</definedName>
    <definedName name="ds" localSheetId="10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9" hidden="1">{#N/A,#N/A,FALSE,"M.02"}</definedName>
    <definedName name="ds" hidden="1">{#N/A,#N/A,FALSE,"M.02"}</definedName>
    <definedName name="DSD" localSheetId="6" hidden="1">{#N/A,#N/A,FALSE,"M.31"}</definedName>
    <definedName name="DSD" localSheetId="10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9" hidden="1">{#N/A,#N/A,FALSE,"M.31"}</definedName>
    <definedName name="DSD" hidden="1">{#N/A,#N/A,FALSE,"M.31"}</definedName>
    <definedName name="dyah" localSheetId="6" hidden="1">{#N/A,#N/A,FALSE,"M.31"}</definedName>
    <definedName name="dyah" localSheetId="10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9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10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9" hidden="1">{#N/A,#N/A,FALSE,"M.41"}</definedName>
    <definedName name="er" hidden="1">{#N/A,#N/A,FALSE,"M.41"}</definedName>
    <definedName name="ew" localSheetId="6" hidden="1">{#N/A,#N/A,FALSE,"M.34"}</definedName>
    <definedName name="ew" localSheetId="10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9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10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9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10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10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10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10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10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10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10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10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10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10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10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10">#REF!</definedName>
    <definedName name="Extract_MI" localSheetId="7">#REF!</definedName>
    <definedName name="Extract_MI">#REF!</definedName>
    <definedName name="F" localSheetId="6">#REF!</definedName>
    <definedName name="F" localSheetId="10">#REF!</definedName>
    <definedName name="F" localSheetId="7">#REF!</definedName>
    <definedName name="F">#REF!</definedName>
    <definedName name="FAD" localSheetId="6">#REF!</definedName>
    <definedName name="FAD" localSheetId="10">#REF!</definedName>
    <definedName name="FAD" localSheetId="7">#REF!</definedName>
    <definedName name="FAD">#REF!</definedName>
    <definedName name="FADF" localSheetId="6">#REF!</definedName>
    <definedName name="FADF" localSheetId="10">#REF!</definedName>
    <definedName name="FADF" localSheetId="7">#REF!</definedName>
    <definedName name="FADF">#REF!</definedName>
    <definedName name="FADS" localSheetId="6">#REF!</definedName>
    <definedName name="FADS" localSheetId="10">#REF!</definedName>
    <definedName name="FADS" localSheetId="7">#REF!</definedName>
    <definedName name="FADS">#REF!</definedName>
    <definedName name="FASDF" localSheetId="6">#REF!</definedName>
    <definedName name="FASDF" localSheetId="10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10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9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10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9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10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9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10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10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9" hidden="1">{#N/A,#N/A,FALSE,"M.02"}</definedName>
    <definedName name="Gambar_2" hidden="1">{#N/A,#N/A,FALSE,"M.02"}</definedName>
    <definedName name="GANGGUAN" localSheetId="10">[40]MENU!$M$11:$M$124</definedName>
    <definedName name="GANGGUAN">#N/A</definedName>
    <definedName name="GARDU" localSheetId="10">[40]PARAMETER!$A$11:$A$1059</definedName>
    <definedName name="GARDU">#N/A</definedName>
    <definedName name="GARDU1" localSheetId="10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10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10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9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10">[47]Format!$AA$1:$AG$1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10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10">#REF!</definedName>
    <definedName name="HarJaborTRWIV" localSheetId="7">#REF!</definedName>
    <definedName name="HarJaborTRWIV">#REF!</definedName>
    <definedName name="HarMatTRWI" localSheetId="6">#REF!</definedName>
    <definedName name="HarMatTRWI" localSheetId="10">#REF!</definedName>
    <definedName name="HarMatTRWI" localSheetId="7">#REF!</definedName>
    <definedName name="HarMatTRWI">#REF!</definedName>
    <definedName name="HarMatTRWII" localSheetId="6">#REF!</definedName>
    <definedName name="HarMatTRWII" localSheetId="10">#REF!</definedName>
    <definedName name="HarMatTRWII" localSheetId="7">#REF!</definedName>
    <definedName name="HarMatTRWII">#REF!</definedName>
    <definedName name="HarMatTRWIII" localSheetId="6">#REF!</definedName>
    <definedName name="HarMatTRWIII" localSheetId="10">#REF!</definedName>
    <definedName name="HarMatTRWIII" localSheetId="7">#REF!</definedName>
    <definedName name="HarMatTRWIII">#REF!</definedName>
    <definedName name="HarMatTRWIV" localSheetId="6">#REF!</definedName>
    <definedName name="HarMatTRWIV" localSheetId="10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10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9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9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10">[40]MENU!$O$11:$O$124</definedName>
    <definedName name="INDEX_KODE">#N/A</definedName>
    <definedName name="INDEX1" localSheetId="10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10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9" hidden="1">{#N/A,#N/A,FALSE,"M.31"}</definedName>
    <definedName name="JBRpst" hidden="1">{#N/A,#N/A,FALSE,"M.31"}</definedName>
    <definedName name="jbrpst2" localSheetId="6" hidden="1">{#N/A,#N/A,FALSE,"M.31"}</definedName>
    <definedName name="jbrpst2" localSheetId="10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9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10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9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10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10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10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10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10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10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9" hidden="1">{#N/A,#N/A,FALSE,"M.41"}</definedName>
    <definedName name="jus" hidden="1">{#N/A,#N/A,FALSE,"M.41"}</definedName>
    <definedName name="Justy2" localSheetId="6" hidden="1">{#N/A,#N/A,FALSE,"M.02"}</definedName>
    <definedName name="Justy2" localSheetId="10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9" hidden="1">{#N/A,#N/A,FALSE,"M.02"}</definedName>
    <definedName name="Justy2" hidden="1">{#N/A,#N/A,FALSE,"M.02"}</definedName>
    <definedName name="jx" localSheetId="6">#REF!</definedName>
    <definedName name="jx" localSheetId="10">#REF!</definedName>
    <definedName name="jx" localSheetId="5">#REF!</definedName>
    <definedName name="jx">#REF!</definedName>
    <definedName name="JYJYTJ" localSheetId="6">#REF!</definedName>
    <definedName name="JYJYTJ" localSheetId="10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10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9" hidden="1">{#N/A,#N/A,FALSE,"M.31"}</definedName>
    <definedName name="KDRpst" hidden="1">{#N/A,#N/A,FALSE,"M.31"}</definedName>
    <definedName name="kdrtpst" localSheetId="6" hidden="1">{#N/A,#N/A,FALSE,"M.31"}</definedName>
    <definedName name="kdrtpst" localSheetId="10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9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10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10">[40]PARAMETER!$D$11:$D$1059</definedName>
    <definedName name="KODE_OUTGOING">#N/A</definedName>
    <definedName name="KODE1" localSheetId="10">[40]MENU!$B$11:$B$110</definedName>
    <definedName name="KODE1">#N/A</definedName>
    <definedName name="kokp" localSheetId="6">#REF!</definedName>
    <definedName name="kokp" localSheetId="10">#REF!</definedName>
    <definedName name="kokp" localSheetId="5">#REF!</definedName>
    <definedName name="kokp">#REF!</definedName>
    <definedName name="komposisi">[39]KoMposisi!$A$6:$BV$22</definedName>
    <definedName name="KomunikasiBulan" localSheetId="10">'[19]AHS - Non Personel'!$D$22</definedName>
    <definedName name="KomunikasiBulan">#N/A</definedName>
    <definedName name="KomunikasiHari" localSheetId="10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10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10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10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9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10">#REF!</definedName>
    <definedName name="KWHKDS" localSheetId="7">#REF!</definedName>
    <definedName name="KWHKDS">#REF!</definedName>
    <definedName name="KWHSLG" localSheetId="6">#REF!</definedName>
    <definedName name="KWHSLG" localSheetId="10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10">#REF!</definedName>
    <definedName name="Lamp_14" localSheetId="7">#REF!</definedName>
    <definedName name="Lamp_14">#REF!</definedName>
    <definedName name="Lamp_15" localSheetId="6">#REF!</definedName>
    <definedName name="Lamp_15" localSheetId="10">#REF!</definedName>
    <definedName name="Lamp_15" localSheetId="7">#REF!</definedName>
    <definedName name="Lamp_15">#REF!</definedName>
    <definedName name="Lamp_16" localSheetId="6">#REF!</definedName>
    <definedName name="Lamp_16" localSheetId="10">#REF!</definedName>
    <definedName name="Lamp_16" localSheetId="7">#REF!</definedName>
    <definedName name="Lamp_16">#REF!</definedName>
    <definedName name="Lamp_1a" localSheetId="6">#REF!</definedName>
    <definedName name="Lamp_1a" localSheetId="10">#REF!</definedName>
    <definedName name="Lamp_1a" localSheetId="7">#REF!</definedName>
    <definedName name="Lamp_1a">#REF!</definedName>
    <definedName name="Lamp_1b" localSheetId="6">#REF!</definedName>
    <definedName name="Lamp_1b" localSheetId="10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10">#REF!</definedName>
    <definedName name="Lamp_2a" localSheetId="7">#REF!</definedName>
    <definedName name="Lamp_2a">#REF!</definedName>
    <definedName name="Lamp_2b" localSheetId="6">#REF!</definedName>
    <definedName name="Lamp_2b" localSheetId="10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10">#REF!</definedName>
    <definedName name="Lamp_3a" localSheetId="7">#REF!</definedName>
    <definedName name="Lamp_3a">#REF!</definedName>
    <definedName name="Lamp_3b" localSheetId="6">#REF!</definedName>
    <definedName name="Lamp_3b" localSheetId="10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10">#REF!</definedName>
    <definedName name="Lamp_4a" localSheetId="7">#REF!</definedName>
    <definedName name="Lamp_4a">#REF!</definedName>
    <definedName name="Lamp_4b" localSheetId="6">#REF!</definedName>
    <definedName name="Lamp_4b" localSheetId="10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10">#REF!</definedName>
    <definedName name="Lamp_5a" localSheetId="7">#REF!</definedName>
    <definedName name="Lamp_5a">#REF!</definedName>
    <definedName name="Lamp_5b" localSheetId="6">#REF!</definedName>
    <definedName name="Lamp_5b" localSheetId="10">#REF!</definedName>
    <definedName name="Lamp_5b" localSheetId="7">#REF!</definedName>
    <definedName name="Lamp_5b">#REF!</definedName>
    <definedName name="Lamp_6a" localSheetId="6">#REF!</definedName>
    <definedName name="Lamp_6a" localSheetId="10">#REF!</definedName>
    <definedName name="Lamp_6a" localSheetId="7">#REF!</definedName>
    <definedName name="Lamp_6a">#REF!</definedName>
    <definedName name="Lamp_6b" localSheetId="6">#REF!</definedName>
    <definedName name="Lamp_6b" localSheetId="10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10">#REF!</definedName>
    <definedName name="Lamp_7a" localSheetId="7">#REF!</definedName>
    <definedName name="Lamp_7a">#REF!</definedName>
    <definedName name="Lamp_7b" localSheetId="6">#REF!</definedName>
    <definedName name="Lamp_7b" localSheetId="10">#REF!</definedName>
    <definedName name="Lamp_7b" localSheetId="7">#REF!</definedName>
    <definedName name="Lamp_7b">#REF!</definedName>
    <definedName name="Lamp_7c" localSheetId="6">#REF!</definedName>
    <definedName name="Lamp_7c" localSheetId="10">#REF!</definedName>
    <definedName name="Lamp_7c" localSheetId="7">#REF!</definedName>
    <definedName name="Lamp_7c">#REF!</definedName>
    <definedName name="Lamp_8a" localSheetId="6">#REF!</definedName>
    <definedName name="Lamp_8a" localSheetId="10">#REF!</definedName>
    <definedName name="Lamp_8a" localSheetId="7">#REF!</definedName>
    <definedName name="Lamp_8a">#REF!</definedName>
    <definedName name="Lamp_8b" localSheetId="6">#REF!</definedName>
    <definedName name="Lamp_8b" localSheetId="10">#REF!</definedName>
    <definedName name="Lamp_8b" localSheetId="7">#REF!</definedName>
    <definedName name="Lamp_8b">#REF!</definedName>
    <definedName name="Lamp_9" localSheetId="6">#REF!</definedName>
    <definedName name="Lamp_9" localSheetId="10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10">[18]JAN09!#REF!</definedName>
    <definedName name="lk" localSheetId="5">[18]JAN09!#REF!</definedName>
    <definedName name="lk">[18]JAN09!#REF!</definedName>
    <definedName name="ll" localSheetId="6">#REF!</definedName>
    <definedName name="ll" localSheetId="10">#REF!</definedName>
    <definedName name="ll" localSheetId="5">#REF!</definedName>
    <definedName name="ll">#REF!</definedName>
    <definedName name="LOPK" localSheetId="6" hidden="1">{#N/A,#N/A,FALSE,"M.02"}</definedName>
    <definedName name="LOPK" localSheetId="10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9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10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10">'[19]AHS - Personel'!$F$8</definedName>
    <definedName name="ManProBln">#N/A</definedName>
    <definedName name="marwan" localSheetId="6" hidden="1">{#N/A,#N/A,FALSE,"M.02"}</definedName>
    <definedName name="marwan" localSheetId="10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9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10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9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10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9" hidden="1">{#N/A,#N/A,FALSE,"M.33"}</definedName>
    <definedName name="MDNpst" hidden="1">{#N/A,#N/A,FALSE,"M.33"}</definedName>
    <definedName name="MENU_GARDU" localSheetId="10">[40]MENU!$D$11:$D$110</definedName>
    <definedName name="MENU_GARDU">#N/A</definedName>
    <definedName name="MENU_PENYULANG" localSheetId="10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10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9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10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10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10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10">'[19]AHS - Personel'!$G$19</definedName>
    <definedName name="Opr_Hari">#N/A</definedName>
    <definedName name="opv">[69]Valuation!$I$53</definedName>
    <definedName name="OUTGOING" localSheetId="10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10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9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10">#REF!</definedName>
    <definedName name="PDPMaterial" localSheetId="7">#REF!</definedName>
    <definedName name="PDPMaterial">#REF!</definedName>
    <definedName name="PDPPembDimuka" localSheetId="6">#REF!</definedName>
    <definedName name="PDPPembDimuka" localSheetId="10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10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9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9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10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RAB!$A$1:$K$61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9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10">'[19]AHS - Personel'!$F$11</definedName>
    <definedName name="ProgGISBln">#N/A</definedName>
    <definedName name="ProgGISHari" localSheetId="10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10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9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10">#REF!</definedName>
    <definedName name="QRYTRY" localSheetId="7">#REF!</definedName>
    <definedName name="QRYTRY">#REF!</definedName>
    <definedName name="qw" localSheetId="6" hidden="1">{#N/A,#N/A,FALSE,"M.32"}</definedName>
    <definedName name="qw" localSheetId="10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9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10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10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9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10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10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9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10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9" hidden="1">{#N/A,#N/A,FALSE,"M.43"}</definedName>
    <definedName name="rt" hidden="1">{#N/A,#N/A,FALSE,"M.43"}</definedName>
    <definedName name="RTYHRTY" localSheetId="6">#REF!</definedName>
    <definedName name="RTYHRTY" localSheetId="10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10">#REF!</definedName>
    <definedName name="S" localSheetId="7">{#N/A,#N/A,FALSE,"M.31"}</definedName>
    <definedName name="S">#REF!</definedName>
    <definedName name="S1___5" localSheetId="6">#REF!</definedName>
    <definedName name="S1___5" localSheetId="10">#REF!</definedName>
    <definedName name="S1___5" localSheetId="7">#REF!</definedName>
    <definedName name="S1___5">#REF!</definedName>
    <definedName name="sa" localSheetId="6" hidden="1">{#N/A,#N/A,FALSE,"M.31"}</definedName>
    <definedName name="sa" localSheetId="10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9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10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10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10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9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10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10">'[19]AHS - Non Personel'!$D$15</definedName>
    <definedName name="SewaKomHari">#N/A</definedName>
    <definedName name="SewaLaptopBln" localSheetId="10">'[19]AHS - Non Personel'!$D$12</definedName>
    <definedName name="SewaLaptopBln">#N/A</definedName>
    <definedName name="SewaMejaKursi">'[64]AHS - Non Personel'!$D$32</definedName>
    <definedName name="SewaMobil" localSheetId="10">'[19]AHS - Non Personel'!$D$8</definedName>
    <definedName name="SewaMobil">#N/A</definedName>
    <definedName name="sewamobilbak_hari">'[64]AHS - Non Personel'!$D$29</definedName>
    <definedName name="SewaMotorBln" localSheetId="10">'[19]AHS - Non Personel'!$D$10</definedName>
    <definedName name="SewaMotorBln">#N/A</definedName>
    <definedName name="SewaMotorHari" localSheetId="10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10">#REF!</definedName>
    <definedName name="SF" localSheetId="7">#REF!</definedName>
    <definedName name="SF">#REF!</definedName>
    <definedName name="sgi" localSheetId="6" hidden="1">{#N/A,#N/A,FALSE,"M.01"}</definedName>
    <definedName name="sgi" localSheetId="10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9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10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9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10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10">#REF!</definedName>
    <definedName name="Stand" localSheetId="7">#REF!</definedName>
    <definedName name="Stand">#REF!</definedName>
    <definedName name="STATUS_REMOTE" localSheetId="10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10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10">'[19]AHS - Personel'!$G$21</definedName>
    <definedName name="Surveyor_hari">#N/A</definedName>
    <definedName name="SUTM" localSheetId="6" hidden="1">{#N/A,#N/A,FALSE,"M.32"}</definedName>
    <definedName name="SUTM" localSheetId="10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9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10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9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10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9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10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10">[85]bantu!$M$5:$X$5</definedName>
    <definedName name="Tahun" localSheetId="9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10">'[19]AHS - Personel'!$F$15</definedName>
    <definedName name="TechBulan">#N/A</definedName>
    <definedName name="TechHari" localSheetId="10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10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10">[18]JAN09!#REF!</definedName>
    <definedName name="TIARA" localSheetId="7">[18]JAN09!#REF!</definedName>
    <definedName name="TIARA">[18]JAN09!#REF!</definedName>
    <definedName name="Tiket" localSheetId="10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10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10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9" hidden="1">{#N/A,#N/A,FALSE,"M.33"}</definedName>
    <definedName name="UI" hidden="1">{#N/A,#N/A,FALSE,"M.33"}</definedName>
    <definedName name="uii" localSheetId="6" hidden="1">{#N/A,#N/A,FALSE,"M.33"}</definedName>
    <definedName name="uii" localSheetId="10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9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10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9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10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10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9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10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9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10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9" hidden="1">{#N/A,#N/A,FALSE,"M.43"}</definedName>
    <definedName name="wrmn" hidden="1">{#N/A,#N/A,FALSE,"M.43"}</definedName>
    <definedName name="wrn.M.01" localSheetId="6" hidden="1">{#N/A,#N/A,FALSE,"M.01"}</definedName>
    <definedName name="wrn.M.01" localSheetId="10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9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10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9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10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9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10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9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10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9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10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9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10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9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10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9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10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9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10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9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10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9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10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9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10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9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10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9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10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9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10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9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10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9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10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9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10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9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10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9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10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9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10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9" hidden="1">{#N/A,#N/A,FALSE,"M.43"}</definedName>
    <definedName name="wrn.n.99" hidden="1">{#N/A,#N/A,FALSE,"M.43"}</definedName>
    <definedName name="www" localSheetId="6" hidden="1">{#N/A,#N/A,FALSE,"M.34"}</definedName>
    <definedName name="www" localSheetId="10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9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10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6" i="11" l="1"/>
  <c r="F35" i="11"/>
  <c r="F34" i="11"/>
  <c r="F33" i="11"/>
  <c r="F32" i="11"/>
  <c r="F31" i="11"/>
  <c r="F30" i="11"/>
  <c r="D18" i="11" l="1"/>
  <c r="H18" i="11" s="1"/>
  <c r="E18" i="11"/>
  <c r="G18" i="11"/>
  <c r="D19" i="11"/>
  <c r="J19" i="11" s="1"/>
  <c r="E19" i="11"/>
  <c r="G19" i="11"/>
  <c r="D39" i="11"/>
  <c r="H39" i="11" s="1"/>
  <c r="E39" i="11"/>
  <c r="G39" i="11"/>
  <c r="D40" i="11"/>
  <c r="H40" i="11" s="1"/>
  <c r="E40" i="11"/>
  <c r="G40" i="11"/>
  <c r="G28" i="11"/>
  <c r="G29" i="11"/>
  <c r="D28" i="11"/>
  <c r="I28" i="11" s="1"/>
  <c r="E28" i="11"/>
  <c r="D29" i="11"/>
  <c r="H29" i="11" s="1"/>
  <c r="E29" i="11"/>
  <c r="I19" i="11" l="1"/>
  <c r="H19" i="11"/>
  <c r="J18" i="11"/>
  <c r="I18" i="11"/>
  <c r="J39" i="11"/>
  <c r="I40" i="11"/>
  <c r="I39" i="11"/>
  <c r="J40" i="11"/>
  <c r="H28" i="11"/>
  <c r="J29" i="11"/>
  <c r="I29" i="11"/>
  <c r="J28" i="11"/>
  <c r="K28" i="11" s="1"/>
  <c r="F27" i="11"/>
  <c r="F26" i="11"/>
  <c r="F25" i="11"/>
  <c r="F24" i="11"/>
  <c r="K19" i="11" l="1"/>
  <c r="K18" i="11"/>
  <c r="K39" i="11"/>
  <c r="K40" i="11"/>
  <c r="K29" i="11"/>
  <c r="G30" i="11" l="1"/>
  <c r="G31" i="11"/>
  <c r="G32" i="11"/>
  <c r="G33" i="11"/>
  <c r="G34" i="11"/>
  <c r="G35" i="11"/>
  <c r="G36" i="11"/>
  <c r="G37" i="11"/>
  <c r="G38" i="11"/>
  <c r="D30" i="11"/>
  <c r="E30" i="11"/>
  <c r="D31" i="11"/>
  <c r="H31" i="11" s="1"/>
  <c r="E31" i="11"/>
  <c r="D32" i="11"/>
  <c r="H32" i="11" s="1"/>
  <c r="E32" i="11"/>
  <c r="D33" i="11"/>
  <c r="J33" i="11" s="1"/>
  <c r="E33" i="11"/>
  <c r="D34" i="11"/>
  <c r="E34" i="11"/>
  <c r="D35" i="11"/>
  <c r="H35" i="11" s="1"/>
  <c r="E35" i="11"/>
  <c r="D36" i="11"/>
  <c r="H36" i="11" s="1"/>
  <c r="E36" i="11"/>
  <c r="D37" i="11"/>
  <c r="J37" i="11" s="1"/>
  <c r="E37" i="11"/>
  <c r="D38" i="11"/>
  <c r="J38" i="11" s="1"/>
  <c r="E38" i="11"/>
  <c r="I34" i="11" l="1"/>
  <c r="I30" i="11"/>
  <c r="I36" i="11"/>
  <c r="J32" i="11"/>
  <c r="H30" i="11"/>
  <c r="J36" i="11"/>
  <c r="H34" i="11"/>
  <c r="I32" i="11"/>
  <c r="I38" i="11"/>
  <c r="I37" i="11"/>
  <c r="I33" i="11"/>
  <c r="H38" i="11"/>
  <c r="H37" i="11"/>
  <c r="J35" i="11"/>
  <c r="H33" i="11"/>
  <c r="J31" i="11"/>
  <c r="I35" i="11"/>
  <c r="J34" i="11"/>
  <c r="I31" i="11"/>
  <c r="J30" i="11"/>
  <c r="K37" i="11" l="1"/>
  <c r="K32" i="11"/>
  <c r="K34" i="11"/>
  <c r="K31" i="11"/>
  <c r="K38" i="11"/>
  <c r="K36" i="11"/>
  <c r="K35" i="11"/>
  <c r="K30" i="11"/>
  <c r="K33" i="11"/>
  <c r="D22" i="11" l="1"/>
  <c r="D23" i="11"/>
  <c r="D24" i="11"/>
  <c r="D25" i="11"/>
  <c r="D26" i="11"/>
  <c r="D27" i="11"/>
  <c r="D17" i="11"/>
  <c r="H17" i="11" s="1"/>
  <c r="E17" i="11"/>
  <c r="G17" i="11"/>
  <c r="E7" i="64"/>
  <c r="D15" i="11"/>
  <c r="J15" i="11" s="1"/>
  <c r="E15" i="11"/>
  <c r="G15" i="11"/>
  <c r="D16" i="11"/>
  <c r="J16" i="11" s="1"/>
  <c r="E16" i="11"/>
  <c r="G16" i="11"/>
  <c r="J17" i="11" l="1"/>
  <c r="I17" i="11"/>
  <c r="I15" i="11"/>
  <c r="H15" i="11"/>
  <c r="I16" i="11"/>
  <c r="H16" i="11"/>
  <c r="K17" i="11" l="1"/>
  <c r="K15" i="11"/>
  <c r="K16" i="11"/>
  <c r="D20" i="11" l="1"/>
  <c r="J20" i="11" s="1"/>
  <c r="E20" i="11"/>
  <c r="G20" i="11"/>
  <c r="G6" i="11"/>
  <c r="D21" i="11"/>
  <c r="J21" i="11" s="1"/>
  <c r="E21" i="11"/>
  <c r="G21" i="11"/>
  <c r="H22" i="11"/>
  <c r="E22" i="11"/>
  <c r="G22" i="11"/>
  <c r="E23" i="11"/>
  <c r="G23" i="11"/>
  <c r="J24" i="11"/>
  <c r="E24" i="11"/>
  <c r="G24" i="11"/>
  <c r="J25" i="11"/>
  <c r="E25" i="11"/>
  <c r="G25" i="11"/>
  <c r="E26" i="11"/>
  <c r="G26" i="11"/>
  <c r="H27" i="11"/>
  <c r="E27" i="11"/>
  <c r="G27" i="11"/>
  <c r="D20" i="60"/>
  <c r="I20" i="11" l="1"/>
  <c r="H20" i="11"/>
  <c r="H23" i="11"/>
  <c r="H26" i="11"/>
  <c r="J27" i="11"/>
  <c r="J26" i="11"/>
  <c r="I24" i="11"/>
  <c r="H24" i="11"/>
  <c r="J23" i="11"/>
  <c r="J22" i="11"/>
  <c r="I22" i="11"/>
  <c r="I26" i="11"/>
  <c r="H25" i="11"/>
  <c r="H21" i="11"/>
  <c r="I25" i="11"/>
  <c r="I21" i="11"/>
  <c r="I27" i="11"/>
  <c r="I23" i="11"/>
  <c r="D14" i="11"/>
  <c r="J14" i="11" s="1"/>
  <c r="E14" i="11"/>
  <c r="G14" i="11"/>
  <c r="K19" i="60"/>
  <c r="D19" i="60"/>
  <c r="K20" i="11" l="1"/>
  <c r="K22" i="11"/>
  <c r="K24" i="11"/>
  <c r="K26" i="11"/>
  <c r="K27" i="11"/>
  <c r="K23" i="11"/>
  <c r="K21" i="11"/>
  <c r="K25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41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41" i="11"/>
  <c r="D42" i="11"/>
  <c r="H42" i="11" s="1"/>
  <c r="E42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42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49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41" i="11"/>
  <c r="J41" i="11" s="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42" i="11"/>
  <c r="I42" i="11"/>
  <c r="H41" i="11" l="1"/>
  <c r="I41" i="1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42" i="11"/>
  <c r="K41" i="11" l="1"/>
  <c r="F224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44" i="11"/>
  <c r="H45" i="11" s="1"/>
  <c r="I44" i="11"/>
  <c r="I45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289" i="29" l="1"/>
  <c r="F287" i="29"/>
  <c r="F345" i="29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46" i="11"/>
  <c r="I46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44" i="11" l="1"/>
  <c r="K45" i="11" s="1"/>
  <c r="K46" i="11" s="1"/>
  <c r="B47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44" i="11"/>
  <c r="J45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46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79" i="41" l="1"/>
  <c r="F777" i="41"/>
  <c r="F835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<sst xmlns="http://schemas.openxmlformats.org/spreadsheetml/2006/main" count="4705" uniqueCount="1626">
  <si>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</si>
  <si>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</si>
  <si>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</si>
  <si>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</si>
  <si>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</si>
  <si>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</si>
  <si>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</si>
  <si>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</si>
  <si>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</si>
  <si>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</si>
  <si>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</si>
  <si>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</si>
  <si>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</si>
  <si>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</si>
  <si>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</si>
  <si>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</si>
  <si>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</si>
  <si>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</si>
  <si>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</si>
  <si>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</si>
  <si>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</si>
  <si>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</si>
  <si>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</si>
  <si>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</si>
  <si>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</si>
  <si>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</si>
  <si>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</si>
  <si>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</si>
  <si>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</si>
  <si>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</si>
  <si>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</si>
  <si>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</si>
  <si>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</si>
  <si>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</si>
  <si>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</si>
  <si>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</si>
  <si>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</si>
  <si>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</si>
  <si>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</si>
  <si>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</si>
  <si>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</si>
  <si>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</si>
  <si>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</si>
  <si>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</si>
  <si>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</si>
  <si>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</si>
  <si>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</si>
  <si>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</si>
  <si>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</si>
  <si>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</si>
  <si>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</si>
  <si>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</si>
  <si>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</si>
  <si>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</si>
  <si>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</si>
  <si>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</si>
  <si>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</si>
  <si>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</si>
  <si>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</si>
  <si>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</si>
  <si>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</si>
  <si>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</si>
  <si>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</si>
  <si>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</si>
  <si>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</si>
  <si>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</si>
  <si>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</si>
  <si>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</si>
  <si>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</si>
  <si>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</si>
  <si>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</si>
  <si>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</si>
  <si>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</si>
  <si>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</si>
  <si>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</si>
  <si>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</si>
  <si>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</si>
  <si>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</si>
  <si>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</si>
  <si>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</si>
  <si>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</si>
  <si>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</si>
  <si>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</si>
  <si>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</si>
  <si>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</si>
  <si>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</si>
  <si>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</si>
  <si>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</si>
  <si>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</si>
  <si>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</si>
  <si>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</si>
  <si>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</si>
  <si>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</si>
  <si>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</si>
  <si>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</si>
  <si>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</si>
  <si>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</si>
  <si>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</si>
  <si>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</si>
  <si>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</si>
  <si>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</si>
  <si>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</si>
  <si>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</si>
  <si>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</si>
  <si>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</si>
  <si>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</si>
  <si>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</si>
  <si>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</si>
  <si>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</si>
  <si>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</si>
  <si>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</si>
  <si>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</si>
  <si>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</si>
  <si>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</si>
  <si>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</si>
  <si>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</si>
  <si>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</si>
  <si>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</si>
  <si>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</si>
  <si>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</si>
  <si>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</si>
  <si>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</si>
  <si>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</si>
  <si>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</si>
  <si>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</si>
  <si>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</si>
  <si>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</si>
  <si>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</si>
  <si>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</si>
  <si>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</si>
  <si>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</si>
  <si>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</si>
  <si>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</si>
  <si>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</si>
  <si>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</si>
  <si>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</si>
  <si>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</si>
  <si>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</si>
  <si>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</si>
  <si>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</si>
  <si>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</si>
  <si>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</si>
  <si>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</si>
  <si>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</si>
  <si>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</si>
  <si>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</si>
  <si>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</si>
  <si>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</si>
  <si>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</si>
  <si>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</si>
  <si>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</si>
  <si>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</si>
  <si>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</si>
  <si>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</si>
  <si>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</si>
  <si>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</si>
  <si>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</si>
  <si>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</si>
  <si>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</si>
  <si>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</si>
  <si>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</si>
  <si>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</si>
  <si>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</si>
  <si>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</si>
  <si>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</si>
  <si>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</si>
  <si>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</si>
  <si>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</si>
  <si>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</si>
  <si>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</si>
  <si>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</si>
  <si>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</si>
  <si>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</si>
  <si>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</si>
  <si>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</si>
  <si>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</si>
  <si>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</si>
  <si>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</si>
  <si>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</si>
  <si>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</si>
  <si>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</si>
  <si>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</si>
  <si>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</si>
  <si>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</si>
  <si>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</si>
  <si>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</si>
  <si>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</si>
  <si>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</si>
  <si>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</si>
  <si>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</si>
  <si>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</si>
  <si>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</si>
  <si>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</si>
  <si>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</si>
  <si>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</si>
  <si>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</si>
  <si>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</si>
  <si>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</si>
  <si>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</si>
  <si>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</si>
  <si>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</si>
  <si>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</si>
  <si>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</si>
  <si>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</si>
  <si>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</si>
  <si>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</si>
  <si>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</si>
  <si>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</si>
  <si>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</si>
  <si>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</si>
  <si>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</si>
  <si>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</si>
  <si>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</si>
  <si>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</si>
  <si>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</si>
  <si>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</si>
  <si>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</si>
  <si>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</si>
  <si>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</si>
  <si>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</si>
  <si>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</si>
  <si>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</si>
  <si>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</si>
  <si>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</si>
  <si>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</si>
  <si>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</si>
  <si>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</si>
  <si>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</si>
  <si>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</si>
  <si>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</si>
  <si>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</si>
  <si>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</si>
  <si>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</si>
  <si>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</si>
  <si>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</si>
  <si>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</si>
  <si>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</si>
  <si>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</si>
  <si>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</si>
  <si>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</si>
  <si>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</si>
  <si>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</si>
  <si>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</si>
  <si>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</si>
  <si>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</si>
  <si>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</si>
  <si>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</si>
  <si>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</si>
  <si>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</si>
  <si>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</si>
  <si>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</si>
  <si>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</si>
  <si>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</si>
  <si>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</si>
  <si>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</si>
  <si>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</si>
  <si>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</si>
  <si>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</si>
  <si>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</si>
  <si>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</si>
  <si>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</si>
  <si>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</si>
  <si>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</si>
  <si>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</si>
  <si>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</si>
  <si>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</si>
  <si>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</si>
  <si>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</si>
  <si>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</si>
  <si>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</si>
  <si>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</si>
  <si>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</si>
  <si>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</si>
  <si>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</si>
  <si>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</si>
  <si>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</si>
  <si>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</si>
  <si>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</si>
  <si>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</si>
  <si>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</si>
  <si>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</si>
  <si>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</si>
  <si>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</si>
  <si>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</si>
  <si>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</si>
  <si>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</si>
  <si>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</si>
  <si>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</si>
  <si>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</si>
  <si>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</si>
  <si>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</si>
  <si>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</si>
  <si>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</si>
  <si>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</si>
  <si>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</si>
  <si>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</si>
  <si>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</si>
  <si>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</si>
  <si>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</si>
  <si>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</si>
  <si>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</si>
  <si>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</si>
  <si>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</si>
  <si>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</si>
  <si>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</si>
  <si>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</si>
  <si>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</si>
  <si>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</si>
  <si>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</si>
  <si>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</si>
  <si>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</si>
  <si>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</si>
  <si>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</si>
  <si>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</si>
  <si>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</si>
  <si>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</si>
  <si>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</si>
  <si>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</si>
  <si>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</si>
  <si>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</si>
  <si>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</si>
  <si>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</si>
  <si>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</si>
  <si>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</si>
  <si>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</si>
  <si>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</si>
  <si>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</si>
  <si>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</si>
  <si>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</si>
  <si>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</si>
  <si>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</si>
  <si>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</si>
  <si>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</si>
  <si>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</si>
  <si>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</si>
  <si>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</si>
  <si>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</si>
  <si>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</si>
  <si>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</si>
  <si>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</si>
  <si>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</si>
  <si>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</si>
  <si>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</si>
  <si>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</si>
  <si>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</si>
  <si>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</si>
  <si>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</si>
  <si>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</si>
  <si>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</si>
  <si>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</si>
  <si>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</si>
  <si>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</si>
  <si>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</si>
  <si>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</si>
  <si>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</si>
  <si>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</si>
  <si>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</si>
  <si>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</si>
  <si>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</si>
  <si>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</si>
  <si>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</si>
  <si>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</si>
  <si>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</si>
  <si>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</si>
  <si>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</si>
  <si>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</si>
  <si>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</si>
  <si>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</si>
  <si>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</si>
  <si>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</si>
  <si>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</si>
  <si>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</si>
  <si>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</si>
  <si>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</si>
  <si>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</si>
  <si>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</si>
  <si>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</si>
  <si>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</si>
  <si>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</si>
  <si>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</si>
  <si>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</si>
  <si>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</si>
  <si>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</si>
  <si>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</si>
  <si>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</si>
  <si>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</si>
  <si>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</si>
  <si>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</si>
  <si>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</si>
  <si>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</si>
  <si>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</si>
  <si>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</si>
  <si>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</si>
  <si>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</si>
  <si>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</si>
  <si>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</si>
  <si>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</si>
  <si>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</si>
  <si>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</si>
  <si>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</si>
  <si>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</si>
  <si>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</si>
  <si>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</si>
  <si>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</si>
  <si>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</si>
  <si>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</si>
  <si>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</si>
  <si>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</si>
  <si>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</si>
  <si>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</si>
  <si>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</si>
  <si>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</si>
  <si>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</si>
  <si>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</si>
  <si>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</si>
  <si>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</si>
  <si>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</si>
  <si>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</si>
  <si>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</si>
  <si>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</si>
  <si>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</si>
  <si>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</si>
  <si>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</si>
  <si>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</si>
  <si>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</si>
  <si>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</si>
  <si>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</si>
  <si>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</si>
  <si>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</si>
  <si>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</si>
  <si>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</si>
  <si>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</si>
  <si>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</si>
  <si>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</si>
  <si>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</si>
  <si>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</si>
  <si>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</si>
  <si>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</si>
  <si>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</si>
  <si>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</si>
  <si>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</si>
  <si>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</si>
  <si>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</si>
  <si>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</si>
  <si>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</si>
  <si>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</si>
  <si>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</si>
  <si>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</si>
  <si>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</si>
  <si>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</si>
  <si>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</si>
  <si>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</si>
  <si>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</si>
  <si>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</si>
  <si>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</si>
  <si>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</si>
  <si>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</si>
  <si>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</si>
  <si>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</si>
  <si>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</si>
  <si>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</si>
  <si>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</si>
  <si>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</si>
  <si>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</si>
  <si>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</si>
  <si>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</si>
  <si>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</si>
  <si>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</si>
  <si>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</si>
  <si>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</si>
  <si>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</si>
  <si>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</si>
  <si>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</si>
  <si>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</si>
  <si>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</si>
  <si>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</si>
  <si>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</si>
  <si>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</si>
  <si>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</si>
  <si>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</si>
  <si>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</si>
  <si>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</si>
  <si>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</si>
  <si>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</si>
  <si>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</si>
  <si>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</si>
  <si>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</si>
  <si>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</si>
  <si>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</si>
  <si>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</si>
  <si>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</si>
  <si>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</si>
  <si>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</si>
  <si>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</si>
  <si>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</si>
  <si>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</si>
  <si>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</si>
  <si>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</si>
  <si>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</si>
  <si>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</si>
  <si>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</si>
  <si>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</si>
  <si>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</si>
  <si>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</si>
  <si>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</si>
  <si>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</si>
  <si>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</si>
  <si>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</si>
  <si>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</si>
  <si>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</si>
  <si>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</si>
  <si>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</si>
  <si>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</si>
  <si>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</si>
  <si>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</si>
  <si>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</si>
  <si>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</si>
  <si>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</si>
  <si>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</si>
  <si>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</si>
  <si>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</si>
  <si>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</si>
  <si>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</si>
  <si>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</si>
  <si>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</si>
  <si>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</si>
  <si>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</si>
  <si>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</si>
  <si>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</si>
  <si>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</si>
  <si>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</si>
  <si>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</si>
  <si>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</si>
  <si>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</si>
  <si>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</si>
  <si>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</si>
  <si>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</si>
  <si>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</si>
  <si>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</si>
  <si>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</si>
  <si>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</si>
  <si>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</si>
  <si>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</si>
  <si>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</si>
  <si>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</si>
  <si>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</si>
  <si>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</si>
  <si>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</si>
  <si>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</si>
  <si>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</si>
  <si>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</si>
  <si>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</si>
  <si>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</si>
  <si>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</si>
  <si>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</si>
  <si>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</si>
  <si>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</si>
  <si>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</si>
  <si>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</si>
  <si>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</si>
  <si>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</si>
  <si>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</si>
  <si>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</si>
  <si>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</si>
  <si>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</si>
  <si>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</si>
  <si>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</si>
  <si>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</si>
  <si>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</si>
  <si>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</si>
  <si>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</si>
  <si>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</si>
  <si>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</si>
  <si>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</si>
  <si>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</si>
  <si>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</si>
  <si>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</si>
  <si>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</si>
  <si>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</si>
  <si>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</si>
  <si>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</si>
  <si>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</si>
  <si>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</si>
  <si>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</si>
  <si>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</si>
  <si>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</si>
  <si>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</si>
  <si>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</si>
  <si>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</si>
  <si>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</si>
  <si>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</si>
  <si>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</si>
  <si>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</si>
  <si>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</si>
  <si>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</si>
  <si>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</si>
  <si>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</si>
  <si>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</si>
  <si>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</si>
  <si>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</si>
  <si>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</si>
  <si>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</si>
  <si>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</si>
  <si>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</si>
  <si>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</si>
  <si>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</si>
  <si>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</si>
  <si>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</si>
  <si>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</si>
  <si>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</si>
  <si>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</si>
  <si>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</si>
  <si>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</si>
  <si>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</si>
  <si>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</si>
  <si>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</si>
  <si>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</si>
  <si>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</si>
  <si>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</si>
  <si>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</si>
  <si>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</si>
  <si>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</si>
  <si>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</si>
  <si>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</si>
  <si>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</si>
  <si>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</si>
  <si>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</si>
  <si>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</si>
  <si>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</si>
  <si>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</si>
  <si>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</si>
  <si>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</si>
  <si>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</si>
  <si>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</si>
  <si>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</si>
  <si>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</si>
  <si>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</si>
  <si>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</si>
  <si>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</si>
  <si>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</si>
  <si>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</si>
  <si>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</si>
  <si>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</si>
  <si>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</si>
  <si>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</si>
  <si>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</si>
  <si>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</si>
  <si>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</si>
  <si>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</si>
  <si>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</si>
  <si>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</si>
  <si>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</si>
  <si>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</si>
  <si>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</si>
  <si>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</si>
  <si>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</si>
  <si>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</si>
  <si>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</si>
  <si>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</si>
  <si>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</si>
  <si>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</si>
  <si>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</si>
  <si>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</si>
  <si>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</si>
  <si>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</si>
  <si>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</si>
  <si>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</si>
  <si>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</si>
  <si>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</si>
  <si>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</si>
  <si>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</si>
  <si>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</si>
  <si>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</si>
  <si>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</si>
  <si>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</si>
  <si>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</si>
  <si>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</si>
  <si>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</si>
  <si>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</si>
  <si>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</si>
  <si>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</si>
  <si>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</si>
  <si>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</si>
  <si>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</si>
  <si>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</si>
  <si>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</si>
  <si>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</si>
  <si>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</si>
  <si>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</si>
  <si>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</si>
  <si>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</si>
  <si>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</si>
  <si>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</si>
  <si>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</si>
  <si>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</si>
  <si>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</si>
  <si>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</si>
  <si>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</si>
  <si>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</si>
  <si>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</si>
  <si>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</si>
  <si>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</si>
  <si>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</si>
  <si>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</si>
  <si>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</si>
  <si>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</si>
  <si>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</si>
  <si>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</si>
  <si>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</si>
  <si>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</si>
  <si>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</si>
  <si>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</si>
  <si>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</si>
  <si>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</si>
  <si>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</si>
  <si>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</si>
  <si>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</si>
  <si>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</si>
  <si>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</si>
  <si>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</si>
  <si>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</si>
  <si>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</si>
  <si>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</si>
  <si>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</si>
  <si>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</si>
  <si>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</si>
  <si>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</si>
  <si>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</si>
  <si>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</si>
  <si>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</si>
  <si>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</si>
  <si>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</si>
  <si>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</si>
  <si>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</si>
  <si>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</si>
  <si>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</si>
  <si>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</si>
  <si>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</si>
  <si>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</si>
  <si>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</si>
  <si>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</si>
  <si>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</si>
  <si>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</si>
  <si>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</si>
  <si>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</si>
  <si>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</si>
  <si>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</si>
  <si>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</si>
  <si>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</si>
  <si>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</si>
  <si>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</si>
  <si>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</si>
  <si>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</si>
  <si>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</si>
  <si>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</si>
  <si>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</si>
  <si>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</si>
  <si>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</si>
  <si>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</si>
  <si>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</si>
  <si>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</si>
  <si>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</si>
  <si>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</si>
  <si>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</si>
  <si>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</si>
  <si>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</si>
  <si>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</si>
  <si>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</si>
  <si>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</si>
  <si>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</si>
  <si>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</si>
  <si>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</si>
  <si>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</si>
  <si>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</si>
  <si>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</si>
  <si>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</si>
  <si>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</si>
  <si>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</si>
  <si>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</si>
  <si>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</si>
  <si>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</si>
  <si>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</si>
  <si>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</si>
  <si>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</si>
  <si>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</si>
  <si>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</si>
  <si>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</si>
  <si>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</si>
  <si>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</si>
  <si>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</si>
  <si>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</si>
  <si>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</si>
  <si>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</si>
  <si>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</si>
  <si>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</si>
  <si>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</si>
  <si>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</si>
  <si>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</si>
  <si>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</si>
  <si>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</si>
  <si>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</si>
  <si>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</si>
  <si>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</si>
  <si>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</si>
  <si>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</si>
  <si>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</si>
  <si>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</si>
  <si>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</si>
  <si>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</si>
  <si>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</si>
  <si>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</si>
  <si>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</si>
  <si>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</si>
  <si>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</si>
  <si>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</si>
  <si>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</si>
  <si>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</si>
  <si>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</si>
  <si>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</si>
  <si>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</si>
  <si>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</si>
  <si>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</si>
  <si>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</si>
  <si>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</si>
  <si>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</si>
  <si>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</si>
  <si>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</si>
  <si>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</si>
  <si>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</si>
  <si>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</si>
  <si>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</si>
  <si>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</si>
  <si>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</si>
  <si>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</si>
  <si>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</si>
  <si>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</si>
  <si>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</si>
  <si>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</si>
  <si>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</si>
  <si>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</si>
  <si>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</si>
  <si>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</si>
  <si>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</si>
  <si>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</si>
  <si>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</si>
  <si>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</si>
  <si>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</si>
  <si>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</si>
  <si>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</si>
  <si>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</si>
  <si>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</si>
  <si>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</si>
  <si>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</si>
  <si>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</si>
  <si>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</si>
  <si>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</si>
  <si>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</si>
  <si>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</si>
  <si>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</si>
  <si>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</si>
  <si>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</si>
  <si>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</si>
  <si>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</si>
  <si>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</si>
  <si>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</si>
  <si>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</si>
  <si>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</si>
  <si>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</si>
  <si>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</si>
  <si>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</si>
  <si>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</si>
  <si>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</si>
  <si>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</si>
  <si>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</si>
  <si>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</si>
  <si>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</si>
  <si>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</si>
  <si>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</si>
  <si>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</si>
  <si>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</si>
  <si>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</si>
  <si>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</si>
  <si>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</si>
  <si>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</si>
  <si>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</si>
  <si>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</si>
  <si>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</si>
  <si>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</si>
  <si>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</si>
  <si>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</si>
  <si>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</si>
  <si>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</si>
  <si>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</si>
  <si>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</si>
  <si>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</si>
  <si>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</si>
  <si>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</si>
  <si>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</si>
  <si>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</si>
  <si>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</si>
  <si>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</si>
  <si>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</si>
  <si>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</si>
  <si>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</si>
  <si>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</si>
  <si>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</si>
  <si>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</si>
  <si>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</si>
  <si>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</si>
  <si>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</si>
  <si>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</si>
  <si>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</si>
  <si>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</si>
  <si>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</si>
  <si>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</si>
  <si>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</si>
  <si>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</si>
  <si>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</si>
  <si>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</si>
  <si>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</si>
  <si>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</si>
  <si>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</si>
  <si>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</si>
  <si>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</si>
  <si>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</si>
  <si>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</si>
  <si>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</si>
  <si>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</si>
  <si>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</si>
  <si>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</si>
  <si>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</si>
  <si>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</si>
  <si>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</si>
  <si>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</si>
  <si>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</si>
  <si>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</si>
  <si>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</si>
  <si>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</si>
  <si>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</si>
  <si>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</si>
  <si>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</si>
  <si>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</si>
  <si>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</si>
  <si>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</si>
  <si>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</si>
  <si>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</si>
  <si>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</si>
  <si>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</si>
  <si>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</si>
  <si>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</si>
  <si>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</si>
  <si>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</si>
  <si>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</si>
  <si>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</si>
  <si>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</si>
  <si>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</si>
  <si>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</si>
  <si>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</si>
  <si>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</si>
  <si>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</si>
  <si>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</si>
  <si>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</si>
  <si>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</si>
  <si>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</si>
  <si>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</si>
  <si>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</si>
  <si>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</si>
  <si>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</si>
  <si>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</si>
  <si>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</si>
  <si>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</si>
  <si>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</si>
  <si>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</si>
  <si>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</si>
  <si>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</si>
  <si>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</si>
  <si>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</si>
  <si>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</si>
  <si>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</si>
  <si>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</si>
  <si>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</si>
  <si>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</si>
  <si>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</si>
  <si>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</si>
  <si>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</si>
  <si>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</si>
  <si>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</si>
  <si>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</si>
  <si>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</si>
  <si>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</si>
  <si>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</si>
  <si>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</si>
  <si>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</si>
  <si>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</si>
  <si>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</si>
  <si>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</si>
  <si>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</si>
  <si>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</si>
  <si>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</si>
  <si>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</si>
  <si>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</si>
  <si>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</si>
  <si>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</si>
  <si>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</si>
  <si>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</si>
  <si>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</si>
  <si>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</si>
  <si>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</si>
  <si>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</si>
  <si>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</si>
  <si>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</si>
  <si>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</si>
  <si>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</si>
  <si>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</si>
  <si>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</si>
  <si>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</si>
  <si>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</si>
  <si>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</si>
  <si>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</si>
  <si>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</si>
  <si>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</si>
  <si>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</si>
  <si>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</si>
  <si>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</si>
  <si>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</si>
  <si>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</si>
  <si>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</si>
  <si>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</si>
  <si>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</si>
  <si>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</si>
  <si>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</si>
  <si>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</si>
  <si>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</si>
  <si>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</si>
  <si>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</si>
  <si>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</si>
  <si>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</si>
  <si>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</si>
  <si>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</si>
  <si>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</si>
  <si>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</si>
  <si>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</si>
  <si>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</si>
  <si>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</si>
  <si>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</si>
  <si>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</si>
  <si>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</si>
  <si>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</si>
  <si>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</si>
  <si>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</si>
  <si>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</si>
  <si>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</si>
  <si>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</si>
  <si>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</si>
  <si>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</si>
  <si>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</si>
  <si>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</si>
  <si>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</si>
  <si>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</si>
  <si>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</si>
  <si>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</si>
  <si>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</si>
  <si>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</si>
  <si>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</si>
  <si>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</si>
  <si>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</si>
  <si>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</si>
  <si>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</si>
  <si>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</si>
  <si>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</si>
  <si>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</si>
  <si>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</si>
  <si>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</si>
  <si>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</si>
  <si>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</si>
  <si>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</si>
  <si>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</si>
  <si>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</si>
  <si>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</si>
  <si>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</si>
  <si>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</si>
  <si>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</si>
  <si>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</si>
  <si>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</si>
  <si>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</si>
  <si>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</si>
  <si>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</si>
  <si>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</si>
  <si>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</si>
  <si>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</si>
  <si>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</si>
  <si>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</si>
  <si>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</si>
  <si>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</si>
  <si>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</si>
  <si>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</si>
  <si>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</si>
  <si>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</si>
  <si>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</si>
  <si>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</si>
  <si>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</si>
  <si>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</si>
  <si>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</si>
  <si>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</si>
  <si>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</si>
  <si>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</si>
  <si>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</si>
  <si>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</si>
  <si>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</si>
  <si>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</si>
  <si>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</si>
  <si>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</si>
  <si>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</si>
  <si>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</si>
  <si>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</si>
  <si>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</si>
  <si>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</si>
  <si>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</si>
  <si>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</si>
  <si>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</si>
  <si>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</si>
  <si>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</si>
  <si>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</si>
  <si>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</si>
  <si>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</si>
  <si>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</si>
  <si>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</si>
  <si>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</si>
  <si>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</si>
  <si>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</si>
  <si>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</si>
  <si>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</si>
  <si>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</si>
  <si>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</si>
  <si>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</si>
  <si>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</si>
  <si>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</si>
  <si>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</si>
  <si>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</si>
  <si>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</si>
  <si>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</si>
  <si>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</si>
  <si>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</si>
  <si>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</si>
  <si>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</si>
  <si>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</si>
  <si>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</si>
  <si>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</si>
  <si>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</si>
  <si>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</si>
  <si>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</si>
  <si>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</si>
  <si>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</si>
  <si>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</si>
  <si>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</si>
  <si>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</si>
  <si>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</si>
  <si>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</si>
  <si>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</si>
  <si>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</si>
  <si>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</si>
  <si>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</si>
  <si>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</si>
  <si>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</si>
  <si>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</si>
  <si>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</si>
  <si>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</si>
  <si>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</si>
  <si>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</si>
  <si>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</si>
  <si>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</si>
  <si>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</si>
  <si>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</si>
  <si>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</si>
  <si>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</si>
  <si>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</si>
  <si>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</si>
  <si>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</si>
  <si>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</si>
  <si>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</si>
  <si>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</si>
  <si>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</si>
  <si>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</si>
  <si>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</si>
  <si>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</si>
  <si>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</si>
  <si>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</si>
  <si>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</si>
  <si>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</si>
  <si>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</si>
  <si>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</si>
  <si>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</si>
  <si>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</si>
  <si>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</si>
  <si>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</si>
  <si>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</si>
  <si>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</si>
  <si>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</si>
  <si>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</si>
  <si>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</si>
  <si>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</si>
  <si>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</si>
  <si>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</si>
  <si>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</si>
  <si>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</si>
  <si>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</si>
  <si>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</si>
  <si>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</si>
  <si>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</si>
  <si>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</si>
  <si>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</si>
  <si>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</si>
  <si>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</si>
  <si>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</si>
  <si>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</si>
  <si>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</si>
  <si>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</si>
  <si>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</si>
  <si>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</si>
  <si>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</si>
  <si>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</si>
  <si>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</si>
  <si>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</si>
  <si>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</si>
  <si>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</si>
  <si>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</si>
  <si>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</si>
  <si>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</si>
  <si>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</si>
  <si>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</si>
  <si>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</si>
  <si>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</si>
  <si>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</si>
  <si>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</si>
  <si>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</si>
  <si>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</si>
  <si>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</si>
  <si>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</si>
  <si>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</si>
  <si>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</si>
  <si>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</si>
  <si>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</si>
  <si>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</si>
  <si>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</si>
  <si>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</si>
  <si>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</si>
  <si>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</si>
  <si>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</si>
  <si>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</si>
  <si>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</si>
  <si>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</si>
  <si>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</si>
  <si>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</si>
  <si>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</si>
  <si>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</si>
  <si>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</si>
  <si>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</si>
  <si>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</si>
  <si>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</si>
  <si>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</si>
  <si>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</si>
  <si>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</si>
  <si>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</si>
  <si>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</si>
  <si>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</si>
  <si>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</si>
  <si>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</si>
  <si>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</si>
  <si>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</si>
  <si>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</si>
  <si>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</si>
  <si>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</si>
  <si>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</si>
  <si>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</si>
  <si>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</si>
  <si>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</si>
  <si>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</si>
  <si>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</si>
  <si>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</si>
  <si>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</si>
  <si>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</si>
  <si>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</si>
  <si>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</si>
  <si>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</si>
  <si>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</si>
  <si>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</si>
  <si>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</si>
  <si>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</si>
  <si>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</si>
  <si>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</si>
  <si>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</si>
  <si>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</si>
  <si>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</si>
  <si>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</si>
  <si>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</si>
  <si>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</si>
  <si>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</si>
  <si>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</si>
  <si>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</si>
  <si>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</si>
  <si>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</si>
  <si>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</si>
  <si>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</si>
  <si>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</si>
  <si>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</si>
  <si>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</si>
  <si>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</si>
  <si>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</si>
  <si>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</si>
  <si>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</si>
  <si>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</si>
  <si>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</si>
  <si>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</si>
  <si>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</si>
  <si>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</si>
  <si>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</si>
  <si>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</si>
  <si>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</si>
  <si>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</si>
  <si>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</si>
  <si>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</si>
  <si>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</si>
  <si>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</si>
  <si>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</si>
  <si>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</si>
  <si>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</si>
  <si>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</si>
  <si>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</si>
  <si>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</si>
  <si>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</si>
  <si>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</si>
  <si>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</si>
  <si>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</si>
  <si>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</si>
  <si>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</si>
  <si>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</si>
  <si>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</si>
  <si>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</si>
  <si>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</si>
  <si>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</si>
  <si>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</si>
  <si>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</si>
  <si>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</si>
  <si>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</si>
  <si>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</si>
  <si>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</si>
  <si>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</si>
  <si>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</si>
  <si>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</si>
  <si>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</si>
  <si>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</si>
  <si>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</si>
  <si>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</si>
  <si>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</si>
  <si>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</si>
  <si>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</si>
  <si>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</si>
  <si>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</si>
  <si>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</si>
  <si>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</si>
  <si>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</si>
  <si>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</si>
  <si>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</si>
  <si>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</si>
  <si>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</si>
  <si>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</si>
  <si>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</si>
  <si>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</si>
  <si>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</si>
  <si>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</si>
  <si>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</si>
  <si>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</si>
  <si>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</si>
  <si>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</si>
  <si>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</si>
  <si>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</si>
  <si>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</si>
  <si>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</si>
  <si>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</si>
  <si>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</si>
  <si>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</si>
  <si>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</si>
  <si>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</si>
  <si>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</si>
  <si>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</si>
  <si>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</si>
  <si>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</si>
  <si>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</si>
  <si>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</si>
  <si>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</si>
  <si>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</si>
  <si>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</si>
  <si>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</si>
  <si>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</si>
  <si>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</si>
  <si>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</si>
  <si>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</si>
  <si>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</si>
  <si>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</si>
  <si>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</si>
  <si>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</si>
  <si>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</si>
  <si>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</si>
  <si>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</si>
  <si>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</si>
  <si>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</si>
  <si>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</si>
  <si>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</si>
  <si>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</si>
  <si>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</si>
  <si>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</si>
  <si>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</si>
  <si>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</si>
  <si>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</si>
  <si>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</si>
  <si>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</si>
  <si>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</si>
  <si>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</si>
  <si>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</si>
  <si>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</si>
  <si>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</si>
  <si>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</si>
  <si>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</si>
  <si>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</si>
  <si>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</si>
  <si>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</si>
  <si>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</si>
  <si>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</si>
  <si>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</si>
  <si>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</si>
  <si>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</si>
  <si>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</si>
  <si>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</si>
  <si>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</si>
  <si>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</si>
  <si>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</si>
  <si>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</si>
  <si>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</si>
  <si>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</si>
  <si>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</si>
  <si>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</si>
  <si>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</si>
  <si>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</si>
  <si>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</si>
  <si>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</si>
  <si>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</si>
  <si>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</si>
  <si>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</si>
  <si>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</si>
  <si>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</si>
  <si>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</si>
  <si>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</si>
  <si>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</si>
  <si>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</si>
  <si>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</si>
  <si>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</si>
  <si>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</si>
  <si>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</si>
  <si>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</si>
  <si>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</si>
  <si>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</si>
  <si>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</si>
  <si>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</si>
  <si>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</si>
  <si>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</si>
  <si>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</si>
  <si>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</si>
  <si>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</si>
  <si>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</si>
  <si>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</si>
  <si>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</si>
  <si>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</si>
  <si>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</si>
  <si>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</si>
  <si>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</si>
  <si>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</si>
  <si>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</si>
  <si>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</si>
  <si>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</si>
  <si>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</si>
  <si>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</si>
  <si>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</si>
  <si>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</si>
  <si>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</si>
  <si>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</si>
  <si>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</si>
  <si>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</si>
  <si>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</si>
  <si>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</si>
  <si>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</si>
  <si>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</si>
  <si>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</si>
  <si>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</si>
  <si>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</si>
  <si>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</si>
  <si>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</si>
  <si>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</si>
  <si>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</si>
  <si>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</si>
  <si>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</si>
  <si>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</si>
  <si>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</si>
  <si>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</si>
  <si>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</si>
  <si>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</si>
  <si>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</si>
  <si>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</si>
  <si>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</si>
  <si>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</si>
  <si>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</si>
  <si>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</si>
  <si>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</si>
  <si>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</si>
  <si>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</si>
  <si>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</si>
  <si>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</si>
  <si>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</si>
  <si>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</si>
  <si>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</si>
  <si>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</si>
  <si>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</si>
  <si>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</si>
  <si>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</si>
  <si>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</si>
  <si>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</si>
  <si>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</si>
  <si>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</si>
  <si>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</si>
  <si>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</si>
  <si>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</si>
  <si>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</si>
  <si>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</si>
  <si>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</si>
  <si>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</si>
  <si>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</si>
  <si>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</si>
  <si>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</si>
  <si>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</si>
  <si>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</si>
  <si>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</si>
  <si>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</si>
  <si>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</si>
  <si>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</si>
  <si>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</si>
  <si>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</si>
  <si>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</si>
  <si>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</si>
  <si>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</si>
  <si>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</si>
  <si>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</si>
  <si>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</si>
  <si>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</si>
  <si>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</si>
  <si>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</si>
  <si>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</si>
  <si>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</si>
  <si>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</si>
  <si>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</si>
  <si>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</si>
  <si>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</si>
  <si>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</si>
  <si>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</si>
  <si>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</si>
  <si>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</si>
  <si>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</si>
  <si>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</si>
  <si>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</si>
  <si>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</si>
  <si>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</si>
  <si>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</si>
  <si>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</si>
  <si>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</si>
  <si>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</si>
  <si>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</si>
  <si>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</si>
  <si>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</si>
  <si>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</si>
  <si>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</si>
  <si>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</si>
  <si>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</si>
  <si>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</si>
  <si>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</si>
  <si>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</si>
  <si>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</si>
  <si>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</si>
  <si>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</si>
  <si>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</si>
  <si>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</si>
  <si>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</si>
  <si>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</si>
  <si>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</si>
  <si>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</si>
  <si>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</si>
  <si>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</si>
  <si>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</si>
  <si>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</si>
  <si>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</si>
  <si>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</si>
  <si>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</si>
  <si>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</si>
  <si>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</si>
  <si>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</si>
  <si>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</si>
  <si>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</si>
  <si>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</si>
  <si>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</si>
  <si>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</si>
  <si>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</si>
  <si>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</si>
  <si>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</si>
  <si>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</si>
  <si>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</si>
  <si>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</si>
  <si>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</si>
  <si>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</si>
  <si>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</si>
  <si>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</si>
  <si>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</si>
  <si>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>KONSTRUKSI JARINGAN 3 PHASE</t>
  </si>
  <si>
    <t>B2</t>
  </si>
  <si>
    <t>KOORDINAT : -6.778550, 110.621719</t>
  </si>
  <si>
    <t xml:space="preserve">PEMASANGAN APP </t>
  </si>
  <si>
    <t>Daya 16.500 VA</t>
  </si>
  <si>
    <t>Pemasangan APP 3 Fasa Di Bangunan</t>
  </si>
  <si>
    <t>BAWASLU</t>
  </si>
  <si>
    <t>JL SULTAN FATAH DEMAK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</si>
</sst>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43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43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8" fontId="35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168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18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81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6" fillId="0" borderId="0" applyFont="0" applyFill="0" applyBorder="0" applyAlignment="0" applyProtection="0"/>
    <xf numFmtId="18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204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5" fontId="35" fillId="0" borderId="3"/>
    <xf numFmtId="185" fontId="21" fillId="0" borderId="3"/>
    <xf numFmtId="42" fontId="22" fillId="0" borderId="0" applyFont="0" applyFill="0" applyBorder="0" applyAlignment="0" applyProtection="0"/>
    <xf numFmtId="42" fontId="47" fillId="0" borderId="0" applyFont="0" applyFill="0" applyBorder="0" applyAlignment="0" applyProtection="0"/>
    <xf numFmtId="172" fontId="35" fillId="0" borderId="0" applyFont="0" applyFill="0" applyBorder="0" applyAlignment="0" applyProtection="0"/>
    <xf numFmtId="172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69" fillId="0" borderId="0" applyFont="0" applyFill="0" applyBorder="0" applyAlignment="0" applyProtection="0"/>
    <xf numFmtId="187" fontId="71" fillId="0" borderId="0">
      <protection locked="0"/>
    </xf>
    <xf numFmtId="14" fontId="63" fillId="0" borderId="0" applyFill="0" applyBorder="0" applyAlignment="0"/>
    <xf numFmtId="188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89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0" fontId="76" fillId="0" borderId="0">
      <protection locked="0"/>
    </xf>
    <xf numFmtId="190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1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2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2" fontId="35" fillId="0" borderId="0"/>
    <xf numFmtId="192" fontId="21" fillId="0" borderId="0"/>
    <xf numFmtId="192" fontId="35" fillId="0" borderId="0"/>
    <xf numFmtId="192" fontId="21" fillId="0" borderId="0"/>
    <xf numFmtId="192" fontId="35" fillId="0" borderId="0"/>
    <xf numFmtId="192" fontId="21" fillId="0" borderId="0"/>
    <xf numFmtId="192" fontId="21" fillId="0" borderId="0"/>
    <xf numFmtId="192" fontId="35" fillId="0" borderId="0"/>
    <xf numFmtId="171" fontId="82" fillId="0" borderId="0"/>
    <xf numFmtId="171" fontId="83" fillId="0" borderId="0"/>
    <xf numFmtId="171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3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1" fontId="83" fillId="0" borderId="0"/>
    <xf numFmtId="0" fontId="83" fillId="0" borderId="0"/>
    <xf numFmtId="194" fontId="83" fillId="0" borderId="0"/>
    <xf numFmtId="195" fontId="83" fillId="0" borderId="0"/>
    <xf numFmtId="0" fontId="83" fillId="0" borderId="0"/>
    <xf numFmtId="196" fontId="83" fillId="0" borderId="0"/>
    <xf numFmtId="196" fontId="83" fillId="0" borderId="0"/>
    <xf numFmtId="196" fontId="83" fillId="0" borderId="0"/>
    <xf numFmtId="194" fontId="83" fillId="0" borderId="0"/>
    <xf numFmtId="0" fontId="83" fillId="0" borderId="0"/>
    <xf numFmtId="0" fontId="35" fillId="0" borderId="0"/>
    <xf numFmtId="0" fontId="21" fillId="0" borderId="0"/>
    <xf numFmtId="181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7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6" fontId="83" fillId="0" borderId="0"/>
    <xf numFmtId="196" fontId="83" fillId="0" borderId="0"/>
    <xf numFmtId="196" fontId="83" fillId="0" borderId="0"/>
    <xf numFmtId="196" fontId="83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3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3" fontId="42" fillId="0" borderId="0"/>
    <xf numFmtId="193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5" fontId="35" fillId="0" borderId="0" applyFont="0" applyFill="0" applyBorder="0" applyAlignment="0" applyProtection="0"/>
    <xf numFmtId="175" fontId="21" fillId="0" borderId="0" applyFont="0" applyFill="0" applyBorder="0" applyAlignment="0" applyProtection="0"/>
    <xf numFmtId="199" fontId="35" fillId="0" borderId="0" applyFont="0" applyFill="0" applyBorder="0" applyAlignment="0" applyProtection="0"/>
    <xf numFmtId="199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73" fillId="0" borderId="0"/>
    <xf numFmtId="200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1" fontId="35" fillId="0" borderId="0" applyFill="0" applyBorder="0" applyAlignment="0"/>
    <xf numFmtId="201" fontId="21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8" fillId="0" borderId="0"/>
    <xf numFmtId="165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165" fontId="17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4" fillId="0" borderId="0"/>
    <xf numFmtId="165" fontId="21" fillId="0" borderId="0" applyFont="0" applyFill="0" applyBorder="0" applyAlignment="0" applyProtection="0"/>
    <xf numFmtId="0" fontId="4" fillId="0" borderId="0"/>
    <xf numFmtId="166" fontId="21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15" fillId="0" borderId="0" applyFont="0" applyFill="0" applyBorder="0" applyAlignment="0" applyProtection="0"/>
    <xf numFmtId="42" fontId="15" fillId="0" borderId="0" applyFont="0" applyFill="0" applyBorder="0" applyAlignment="0" applyProtection="0"/>
    <xf numFmtId="42" fontId="111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7" fillId="0" borderId="100"/>
    <xf numFmtId="0" fontId="88" fillId="0" borderId="101"/>
    <xf numFmtId="166" fontId="21" fillId="0" borderId="0" applyFont="0" applyFill="0" applyBorder="0" applyAlignment="0" applyProtection="0"/>
  </cellStyleXfs>
  <cellXfs count="708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41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41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41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43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8" fontId="44" fillId="0" borderId="0" xfId="714" applyFont="1" applyFill="1" applyAlignment="1">
      <alignment horizontal="center" wrapText="1"/>
    </xf>
    <xf numFmtId="168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8" fontId="44" fillId="0" borderId="21" xfId="715" applyNumberFormat="1" applyFont="1" applyFill="1" applyBorder="1" applyAlignment="1">
      <alignment horizontal="center" vertical="center" wrapText="1"/>
    </xf>
    <xf numFmtId="168" fontId="44" fillId="0" borderId="21" xfId="714" applyFont="1" applyFill="1" applyBorder="1" applyAlignment="1">
      <alignment horizontal="center" vertical="center" wrapText="1"/>
    </xf>
    <xf numFmtId="168" fontId="44" fillId="0" borderId="33" xfId="714" applyFont="1" applyFill="1" applyBorder="1" applyAlignment="1">
      <alignment horizontal="center" vertical="center" wrapText="1"/>
    </xf>
    <xf numFmtId="43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43" fontId="43" fillId="0" borderId="0" xfId="1615" applyNumberFormat="1" applyFont="1" applyAlignment="1">
      <alignment horizontal="left" vertical="center"/>
    </xf>
    <xf numFmtId="43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6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41" fontId="95" fillId="0" borderId="0" xfId="1448" applyNumberFormat="1" applyFont="1" applyAlignment="1">
      <alignment wrapText="1"/>
    </xf>
    <xf numFmtId="41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8" fontId="44" fillId="0" borderId="21" xfId="717" applyNumberFormat="1" applyFont="1" applyFill="1" applyBorder="1" applyAlignment="1" applyProtection="1">
      <alignment horizontal="center" vertical="center" wrapText="1"/>
    </xf>
    <xf numFmtId="41" fontId="44" fillId="0" borderId="21" xfId="1451" applyNumberFormat="1" applyFont="1" applyBorder="1" applyAlignment="1">
      <alignment horizontal="center" vertical="center" wrapText="1"/>
    </xf>
    <xf numFmtId="168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8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8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8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43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41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43" fontId="145" fillId="36" borderId="0" xfId="2672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8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2" fillId="0" borderId="0" xfId="1538"/>
    <xf numFmtId="43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43" fontId="0" fillId="0" borderId="3" xfId="1026" applyFont="1" applyFill="1" applyBorder="1" applyProtection="1"/>
    <xf numFmtId="43" fontId="112" fillId="0" borderId="3" xfId="1538" applyNumberFormat="1" applyBorder="1"/>
    <xf numFmtId="43" fontId="140" fillId="0" borderId="3" xfId="1026" applyFont="1" applyBorder="1" applyProtection="1"/>
    <xf numFmtId="43" fontId="0" fillId="0" borderId="3" xfId="1026" applyFont="1" applyBorder="1" applyProtection="1"/>
    <xf numFmtId="43" fontId="128" fillId="0" borderId="3" xfId="1538" applyNumberFormat="1" applyFont="1" applyBorder="1"/>
    <xf numFmtId="0" fontId="61" fillId="0" borderId="3" xfId="1538" applyFont="1" applyBorder="1"/>
    <xf numFmtId="41" fontId="112" fillId="0" borderId="3" xfId="1538" applyNumberFormat="1" applyBorder="1"/>
    <xf numFmtId="43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43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43" fontId="49" fillId="0" borderId="0" xfId="1538" applyNumberFormat="1" applyFont="1"/>
    <xf numFmtId="0" fontId="112" fillId="29" borderId="3" xfId="1538" applyFill="1" applyBorder="1"/>
    <xf numFmtId="168" fontId="112" fillId="29" borderId="3" xfId="1538" applyNumberFormat="1" applyFill="1" applyBorder="1" applyAlignment="1">
      <alignment horizontal="right"/>
    </xf>
    <xf numFmtId="166" fontId="112" fillId="0" borderId="0" xfId="1538" applyNumberFormat="1"/>
    <xf numFmtId="43" fontId="112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43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451" applyFont="1" applyBorder="1" applyAlignment="1">
      <alignment horizontal="left" vertical="center" wrapText="1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0" fontId="152" fillId="0" borderId="21" xfId="1652" applyFont="1" applyBorder="1" applyAlignment="1">
      <alignment vertical="center" wrapText="1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6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37" fontId="150" fillId="0" borderId="0" xfId="1614" applyNumberFormat="1" applyFont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41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43" fontId="141" fillId="40" borderId="85" xfId="2672" applyFont="1" applyFill="1" applyBorder="1" applyAlignment="1" applyProtection="1">
      <alignment horizontal="right" vertical="center" wrapText="1"/>
      <protection locked="0"/>
    </xf>
    <xf numFmtId="43" fontId="141" fillId="40" borderId="87" xfId="2672" applyFont="1" applyFill="1" applyBorder="1" applyAlignment="1" applyProtection="1">
      <alignment horizontal="right" vertical="center"/>
      <protection locked="0"/>
    </xf>
    <xf numFmtId="168" fontId="141" fillId="40" borderId="87" xfId="2672" applyNumberFormat="1" applyFont="1" applyFill="1" applyBorder="1" applyAlignment="1" applyProtection="1">
      <alignment horizontal="right" vertical="center"/>
      <protection locked="0"/>
    </xf>
    <xf numFmtId="168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 wrapText="1"/>
    </xf>
    <xf numFmtId="49" fontId="92" fillId="33" borderId="61" xfId="0" applyNumberFormat="1" applyFont="1" applyFill="1" applyBorder="1" applyAlignment="1">
      <alignment horizontal="left" vertical="center"/>
    </xf>
    <xf numFmtId="165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6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8" fontId="145" fillId="47" borderId="0" xfId="2672" applyNumberFormat="1" applyFont="1" applyFill="1" applyBorder="1" applyAlignment="1" applyProtection="1">
      <alignment horizontal="right" vertical="center"/>
    </xf>
    <xf numFmtId="0" fontId="175" fillId="0" borderId="69" xfId="1450" applyFont="1" applyBorder="1" applyAlignment="1">
      <alignment horizontal="center" vertical="center"/>
    </xf>
    <xf numFmtId="0" fontId="175" fillId="0" borderId="99" xfId="1450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6" fillId="0" borderId="21" xfId="1652" applyFont="1" applyBorder="1" applyAlignment="1">
      <alignment horizontal="left"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128" fillId="0" borderId="21" xfId="1652" applyFont="1" applyBorder="1" applyAlignment="1">
      <alignment vertical="center" wrapText="1"/>
    </xf>
    <xf numFmtId="0" fontId="10" fillId="0" borderId="21" xfId="1614" applyFont="1" applyBorder="1" applyAlignment="1">
      <alignment horizontal="center" vertical="center"/>
    </xf>
    <xf numFmtId="0" fontId="10" fillId="0" borderId="21" xfId="1614" applyFont="1" applyBorder="1" applyAlignment="1">
      <alignment horizontal="center" vertical="center" wrapText="1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0" fontId="176" fillId="33" borderId="0" xfId="0" applyFont="1" applyFill="1" applyAlignment="1">
      <alignment horizontal="left"/>
    </xf>
    <xf numFmtId="0" fontId="115" fillId="33" borderId="0" xfId="0" applyFont="1" applyFill="1" applyAlignment="1">
      <alignment horizontal="left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0" fontId="52" fillId="0" borderId="3" xfId="1614" applyFont="1" applyBorder="1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168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166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166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166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horizontal="center" vertical="center"/>
    </xf>
    <xf numFmtId="0" fontId="112" fillId="38" borderId="3" xfId="1538" applyFill="1" applyBorder="1" applyAlignment="1">
      <alignment horizontal="center" vertical="center" wrapText="1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7" fontId="120" fillId="0" borderId="73" xfId="1450" applyNumberFormat="1" applyFont="1" applyBorder="1" applyAlignment="1">
      <alignment horizontal="left" vertical="center"/>
    </xf>
    <xf numFmtId="207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49" fontId="115" fillId="33" borderId="50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92" fillId="33" borderId="61" xfId="0" applyFont="1" applyFill="1" applyBorder="1" applyAlignment="1">
      <alignment horizontal="left" vertical="center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115" fillId="33" borderId="64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0" fontId="161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24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242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56</xdr:row>
      <xdr:rowOff>81642</xdr:rowOff>
    </xdr:from>
    <xdr:to>
      <xdr:col>12</xdr:col>
      <xdr:colOff>41108</xdr:colOff>
      <xdr:row>59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203441</xdr:colOff>
      <xdr:row>24</xdr:row>
      <xdr:rowOff>139510</xdr:rowOff>
    </xdr:from>
    <xdr:to>
      <xdr:col>17</xdr:col>
      <xdr:colOff>223631</xdr:colOff>
      <xdr:row>25</xdr:row>
      <xdr:rowOff>24847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22479BC-E35A-4485-9434-39EF8618780C}"/>
            </a:ext>
          </a:extLst>
        </xdr:cNvPr>
        <xdr:cNvCxnSpPr>
          <a:cxnSpLocks/>
        </xdr:cNvCxnSpPr>
      </xdr:nvCxnSpPr>
      <xdr:spPr>
        <a:xfrm>
          <a:off x="3566180" y="3767293"/>
          <a:ext cx="2687190" cy="34424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202407</xdr:colOff>
      <xdr:row>14</xdr:row>
      <xdr:rowOff>17859</xdr:rowOff>
    </xdr:from>
    <xdr:to>
      <xdr:col>10</xdr:col>
      <xdr:colOff>231913</xdr:colOff>
      <xdr:row>43</xdr:row>
      <xdr:rowOff>8282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F749FE12-F2B0-7206-D64B-8504F4AFE3A4}"/>
            </a:ext>
          </a:extLst>
        </xdr:cNvPr>
        <xdr:cNvCxnSpPr>
          <a:cxnSpLocks/>
        </xdr:cNvCxnSpPr>
      </xdr:nvCxnSpPr>
      <xdr:spPr>
        <a:xfrm flipH="1" flipV="1">
          <a:off x="3554016" y="2202656"/>
          <a:ext cx="29506" cy="4479079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0869" y="819122"/>
          <a:ext cx="1487373" cy="1789974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15</xdr:col>
      <xdr:colOff>24712</xdr:colOff>
      <xdr:row>27</xdr:row>
      <xdr:rowOff>106052</xdr:rowOff>
    </xdr:from>
    <xdr:to>
      <xdr:col>16</xdr:col>
      <xdr:colOff>364434</xdr:colOff>
      <xdr:row>35</xdr:row>
      <xdr:rowOff>8282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>
          <a:off x="5292451" y="4181095"/>
          <a:ext cx="720722" cy="1086644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BAWASLU</a:t>
          </a:r>
        </a:p>
      </xdr:txBody>
    </xdr:sp>
    <xdr:clientData/>
  </xdr:twoCellAnchor>
  <xdr:twoCellAnchor>
    <xdr:from>
      <xdr:col>10</xdr:col>
      <xdr:colOff>371772</xdr:colOff>
      <xdr:row>15</xdr:row>
      <xdr:rowOff>100950</xdr:rowOff>
    </xdr:from>
    <xdr:to>
      <xdr:col>11</xdr:col>
      <xdr:colOff>79138</xdr:colOff>
      <xdr:row>16</xdr:row>
      <xdr:rowOff>40308</xdr:rowOff>
    </xdr:to>
    <xdr:grpSp>
      <xdr:nvGrpSpPr>
        <xdr:cNvPr id="190" name="Group 189">
          <a:extLst>
            <a:ext uri="{FF2B5EF4-FFF2-40B4-BE49-F238E27FC236}">
              <a16:creationId xmlns:a16="http://schemas.microsoft.com/office/drawing/2014/main" id="{108E7204-E74D-4C02-BB85-9256A527ECA6}"/>
            </a:ext>
          </a:extLst>
        </xdr:cNvPr>
        <xdr:cNvGrpSpPr/>
      </xdr:nvGrpSpPr>
      <xdr:grpSpPr>
        <a:xfrm>
          <a:off x="3724572" y="2415525"/>
          <a:ext cx="88366" cy="9175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1" name="Oval 190">
            <a:extLst>
              <a:ext uri="{FF2B5EF4-FFF2-40B4-BE49-F238E27FC236}">
                <a16:creationId xmlns:a16="http://schemas.microsoft.com/office/drawing/2014/main" id="{58BE2DCC-E1BB-4983-FECB-918E0615DF2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2" name="Straight Connector 191">
            <a:extLst>
              <a:ext uri="{FF2B5EF4-FFF2-40B4-BE49-F238E27FC236}">
                <a16:creationId xmlns:a16="http://schemas.microsoft.com/office/drawing/2014/main" id="{C1747A3E-9350-F373-C115-75007E2F6305}"/>
              </a:ext>
            </a:extLst>
          </xdr:cNvPr>
          <xdr:cNvCxnSpPr>
            <a:stCxn id="191" idx="1"/>
            <a:endCxn id="19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CCEF1296-D2B3-02AA-DD18-3B4605E4D277}"/>
              </a:ext>
            </a:extLst>
          </xdr:cNvPr>
          <xdr:cNvCxnSpPr>
            <a:stCxn id="191" idx="3"/>
            <a:endCxn id="19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353363</xdr:colOff>
      <xdr:row>17</xdr:row>
      <xdr:rowOff>122278</xdr:rowOff>
    </xdr:from>
    <xdr:to>
      <xdr:col>11</xdr:col>
      <xdr:colOff>161644</xdr:colOff>
      <xdr:row>19</xdr:row>
      <xdr:rowOff>150786</xdr:rowOff>
    </xdr:to>
    <xdr:sp macro="" textlink="">
      <xdr:nvSpPr>
        <xdr:cNvPr id="219" name="Rectangle 218">
          <a:extLst>
            <a:ext uri="{FF2B5EF4-FFF2-40B4-BE49-F238E27FC236}">
              <a16:creationId xmlns:a16="http://schemas.microsoft.com/office/drawing/2014/main" id="{A6EBD15B-A1FB-4B76-BBC5-C4DCE8FBB262}"/>
            </a:ext>
          </a:extLst>
        </xdr:cNvPr>
        <xdr:cNvSpPr/>
      </xdr:nvSpPr>
      <xdr:spPr>
        <a:xfrm rot="4232260">
          <a:off x="3630578" y="2845813"/>
          <a:ext cx="338070" cy="18928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13</xdr:col>
      <xdr:colOff>54977</xdr:colOff>
      <xdr:row>26</xdr:row>
      <xdr:rowOff>60529</xdr:rowOff>
    </xdr:from>
    <xdr:to>
      <xdr:col>17</xdr:col>
      <xdr:colOff>45118</xdr:colOff>
      <xdr:row>26</xdr:row>
      <xdr:rowOff>95250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236B0FE2-5DD7-4CB9-8C1D-EE401CA27C0B}"/>
            </a:ext>
          </a:extLst>
        </xdr:cNvPr>
        <xdr:cNvCxnSpPr>
          <a:endCxn id="4" idx="6"/>
        </xdr:cNvCxnSpPr>
      </xdr:nvCxnSpPr>
      <xdr:spPr>
        <a:xfrm flipH="1" flipV="1">
          <a:off x="4551780" y="4000871"/>
          <a:ext cx="1514141" cy="34721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361950</xdr:colOff>
      <xdr:row>15</xdr:row>
      <xdr:rowOff>148020</xdr:rowOff>
    </xdr:from>
    <xdr:to>
      <xdr:col>10</xdr:col>
      <xdr:colOff>371772</xdr:colOff>
      <xdr:row>20</xdr:row>
      <xdr:rowOff>85170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DA17C0A4-5D98-419F-BCC0-3366D53336A8}"/>
            </a:ext>
          </a:extLst>
        </xdr:cNvPr>
        <xdr:cNvCxnSpPr>
          <a:stCxn id="12" idx="2"/>
          <a:endCxn id="191" idx="2"/>
        </xdr:cNvCxnSpPr>
      </xdr:nvCxnSpPr>
      <xdr:spPr>
        <a:xfrm flipV="1">
          <a:off x="3713559" y="2487598"/>
          <a:ext cx="9822" cy="711056"/>
        </a:xfrm>
        <a:prstGeom prst="line">
          <a:avLst/>
        </a:prstGeom>
        <a:ln w="6350"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361950</xdr:colOff>
      <xdr:row>20</xdr:row>
      <xdr:rowOff>38100</xdr:rowOff>
    </xdr:from>
    <xdr:to>
      <xdr:col>11</xdr:col>
      <xdr:colOff>69316</xdr:colOff>
      <xdr:row>20</xdr:row>
      <xdr:rowOff>132239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8C9E038-C902-4ACC-9D63-A00DEE40E48D}"/>
            </a:ext>
          </a:extLst>
        </xdr:cNvPr>
        <xdr:cNvGrpSpPr/>
      </xdr:nvGrpSpPr>
      <xdr:grpSpPr>
        <a:xfrm>
          <a:off x="3714750" y="3114675"/>
          <a:ext cx="88366" cy="941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2" name="Oval 11">
            <a:extLst>
              <a:ext uri="{FF2B5EF4-FFF2-40B4-BE49-F238E27FC236}">
                <a16:creationId xmlns:a16="http://schemas.microsoft.com/office/drawing/2014/main" id="{6ECA31D9-50EE-938B-0191-36859A81796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393F4F1D-10EB-4E74-D042-8C54B362DCBB}"/>
              </a:ext>
            </a:extLst>
          </xdr:cNvPr>
          <xdr:cNvCxnSpPr>
            <a:stCxn id="12" idx="1"/>
            <a:endCxn id="1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D114DFEE-5D4E-90C3-52F8-376BEDCFF5B9}"/>
              </a:ext>
            </a:extLst>
          </xdr:cNvPr>
          <xdr:cNvCxnSpPr>
            <a:stCxn id="12" idx="3"/>
            <a:endCxn id="1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371475</xdr:colOff>
      <xdr:row>25</xdr:row>
      <xdr:rowOff>142875</xdr:rowOff>
    </xdr:from>
    <xdr:to>
      <xdr:col>11</xdr:col>
      <xdr:colOff>78841</xdr:colOff>
      <xdr:row>26</xdr:row>
      <xdr:rowOff>84614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9B9CD3CD-7EFD-4296-9BF5-49577FDBEE42}"/>
            </a:ext>
          </a:extLst>
        </xdr:cNvPr>
        <xdr:cNvGrpSpPr/>
      </xdr:nvGrpSpPr>
      <xdr:grpSpPr>
        <a:xfrm>
          <a:off x="3724275" y="3981450"/>
          <a:ext cx="88366" cy="941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59ACDEDF-2813-FDD1-67B9-C7EF0AE40F5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37A9E697-A722-08E6-57EA-D35DA7A8CD6A}"/>
              </a:ext>
            </a:extLst>
          </xdr:cNvPr>
          <xdr:cNvCxnSpPr>
            <a:stCxn id="6" idx="1"/>
            <a:endCxn id="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79AB5597-E0AD-5D1B-8EAB-2C6C2593FFBD}"/>
              </a:ext>
            </a:extLst>
          </xdr:cNvPr>
          <xdr:cNvCxnSpPr>
            <a:stCxn id="6" idx="3"/>
            <a:endCxn id="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9525</xdr:colOff>
      <xdr:row>32</xdr:row>
      <xdr:rowOff>38100</xdr:rowOff>
    </xdr:from>
    <xdr:to>
      <xdr:col>11</xdr:col>
      <xdr:colOff>97891</xdr:colOff>
      <xdr:row>32</xdr:row>
      <xdr:rowOff>132239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98DF4D5D-E6E1-49FA-AF6B-D3E63B0AE466}"/>
            </a:ext>
          </a:extLst>
        </xdr:cNvPr>
        <xdr:cNvGrpSpPr/>
      </xdr:nvGrpSpPr>
      <xdr:grpSpPr>
        <a:xfrm>
          <a:off x="3743325" y="4933950"/>
          <a:ext cx="88366" cy="941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46ED4ABC-E282-9BF0-CF9B-71DC8E9C7DD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597CF762-A10A-3D71-8379-16980DF3868A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34FBC1D4-081F-73C0-70E7-9F400A3782AD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374891</xdr:colOff>
      <xdr:row>20</xdr:row>
      <xdr:rowOff>118453</xdr:rowOff>
    </xdr:from>
    <xdr:to>
      <xdr:col>11</xdr:col>
      <xdr:colOff>16565</xdr:colOff>
      <xdr:row>42</xdr:row>
      <xdr:rowOff>41413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33658574-09F7-44DA-BB3B-A386A974916C}"/>
            </a:ext>
          </a:extLst>
        </xdr:cNvPr>
        <xdr:cNvCxnSpPr>
          <a:endCxn id="12" idx="3"/>
        </xdr:cNvCxnSpPr>
      </xdr:nvCxnSpPr>
      <xdr:spPr>
        <a:xfrm flipH="1" flipV="1">
          <a:off x="3737630" y="3149888"/>
          <a:ext cx="22674" cy="3227721"/>
        </a:xfrm>
        <a:prstGeom prst="line">
          <a:avLst/>
        </a:prstGeom>
        <a:ln w="6350"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194072</xdr:colOff>
      <xdr:row>15</xdr:row>
      <xdr:rowOff>35718</xdr:rowOff>
    </xdr:from>
    <xdr:to>
      <xdr:col>10</xdr:col>
      <xdr:colOff>336947</xdr:colOff>
      <xdr:row>16</xdr:row>
      <xdr:rowOff>35718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7DB7045E-D48C-490B-85CC-37F458CEFFFE}"/>
            </a:ext>
          </a:extLst>
        </xdr:cNvPr>
        <xdr:cNvSpPr/>
      </xdr:nvSpPr>
      <xdr:spPr>
        <a:xfrm>
          <a:off x="3545681" y="2375296"/>
          <a:ext cx="142875" cy="154781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66197</xdr:colOff>
      <xdr:row>16</xdr:row>
      <xdr:rowOff>26522</xdr:rowOff>
    </xdr:from>
    <xdr:to>
      <xdr:col>11</xdr:col>
      <xdr:colOff>69316</xdr:colOff>
      <xdr:row>20</xdr:row>
      <xdr:rowOff>85170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947F2A46-70CA-4102-A283-EE1CDBC90F9B}"/>
            </a:ext>
          </a:extLst>
        </xdr:cNvPr>
        <xdr:cNvCxnSpPr>
          <a:stCxn id="12" idx="6"/>
          <a:endCxn id="191" idx="5"/>
        </xdr:cNvCxnSpPr>
      </xdr:nvCxnSpPr>
      <xdr:spPr>
        <a:xfrm flipH="1" flipV="1">
          <a:off x="3798806" y="2520881"/>
          <a:ext cx="3119" cy="677773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69002</xdr:colOff>
      <xdr:row>20</xdr:row>
      <xdr:rowOff>118070</xdr:rowOff>
    </xdr:from>
    <xdr:to>
      <xdr:col>11</xdr:col>
      <xdr:colOff>90795</xdr:colOff>
      <xdr:row>42</xdr:row>
      <xdr:rowOff>148856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734D343A-8282-4167-BDF3-FF8AF0D3E997}"/>
            </a:ext>
          </a:extLst>
        </xdr:cNvPr>
        <xdr:cNvCxnSpPr/>
      </xdr:nvCxnSpPr>
      <xdr:spPr>
        <a:xfrm flipH="1" flipV="1">
          <a:off x="3801611" y="3231554"/>
          <a:ext cx="21793" cy="3435974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364435</xdr:colOff>
      <xdr:row>22</xdr:row>
      <xdr:rowOff>82827</xdr:rowOff>
    </xdr:from>
    <xdr:to>
      <xdr:col>11</xdr:col>
      <xdr:colOff>172716</xdr:colOff>
      <xdr:row>24</xdr:row>
      <xdr:rowOff>111335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7CD2ACF5-0B52-4509-BB6A-574DFB45AF0F}"/>
            </a:ext>
          </a:extLst>
        </xdr:cNvPr>
        <xdr:cNvSpPr/>
      </xdr:nvSpPr>
      <xdr:spPr>
        <a:xfrm rot="5400000">
          <a:off x="3658474" y="3481136"/>
          <a:ext cx="326682" cy="18928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10</xdr:col>
      <xdr:colOff>367800</xdr:colOff>
      <xdr:row>28</xdr:row>
      <xdr:rowOff>57979</xdr:rowOff>
    </xdr:from>
    <xdr:to>
      <xdr:col>11</xdr:col>
      <xdr:colOff>176081</xdr:colOff>
      <xdr:row>30</xdr:row>
      <xdr:rowOff>94769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27086B3C-17D8-4839-87A8-3E04FCE6E5DF}"/>
            </a:ext>
          </a:extLst>
        </xdr:cNvPr>
        <xdr:cNvSpPr/>
      </xdr:nvSpPr>
      <xdr:spPr>
        <a:xfrm rot="5123478">
          <a:off x="3646826" y="4482296"/>
          <a:ext cx="334447" cy="18928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11</xdr:col>
      <xdr:colOff>0</xdr:colOff>
      <xdr:row>38</xdr:row>
      <xdr:rowOff>107674</xdr:rowOff>
    </xdr:from>
    <xdr:to>
      <xdr:col>11</xdr:col>
      <xdr:colOff>88366</xdr:colOff>
      <xdr:row>39</xdr:row>
      <xdr:rowOff>52726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id="{7DA613D0-B7F0-429B-913F-B3ABF5470270}"/>
            </a:ext>
          </a:extLst>
        </xdr:cNvPr>
        <xdr:cNvGrpSpPr/>
      </xdr:nvGrpSpPr>
      <xdr:grpSpPr>
        <a:xfrm>
          <a:off x="3733800" y="5936974"/>
          <a:ext cx="88366" cy="9745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3" name="Oval 72">
            <a:extLst>
              <a:ext uri="{FF2B5EF4-FFF2-40B4-BE49-F238E27FC236}">
                <a16:creationId xmlns:a16="http://schemas.microsoft.com/office/drawing/2014/main" id="{A1F2CB0C-8296-3D94-1BC2-EE7568D5125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60BEF747-7593-8736-4924-7D6955DB90EC}"/>
              </a:ext>
            </a:extLst>
          </xdr:cNvPr>
          <xdr:cNvCxnSpPr>
            <a:stCxn id="73" idx="1"/>
            <a:endCxn id="7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0F34AA78-AEC9-78AC-F185-A94B30378B20}"/>
              </a:ext>
            </a:extLst>
          </xdr:cNvPr>
          <xdr:cNvCxnSpPr>
            <a:stCxn id="73" idx="3"/>
            <a:endCxn id="7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372717</xdr:colOff>
      <xdr:row>35</xdr:row>
      <xdr:rowOff>49696</xdr:rowOff>
    </xdr:from>
    <xdr:to>
      <xdr:col>11</xdr:col>
      <xdr:colOff>180998</xdr:colOff>
      <xdr:row>37</xdr:row>
      <xdr:rowOff>61639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F33BEAF8-0824-42E0-821D-39FD998C894C}"/>
            </a:ext>
          </a:extLst>
        </xdr:cNvPr>
        <xdr:cNvSpPr/>
      </xdr:nvSpPr>
      <xdr:spPr>
        <a:xfrm rot="5123478">
          <a:off x="3666756" y="5377853"/>
          <a:ext cx="326682" cy="18928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12</xdr:col>
      <xdr:colOff>347611</xdr:colOff>
      <xdr:row>26</xdr:row>
      <xdr:rowOff>13459</xdr:rowOff>
    </xdr:from>
    <xdr:to>
      <xdr:col>13</xdr:col>
      <xdr:colOff>54977</xdr:colOff>
      <xdr:row>26</xdr:row>
      <xdr:rowOff>107598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F31BE67C-E160-4C35-BC4B-E39A909EC9B3}"/>
            </a:ext>
          </a:extLst>
        </xdr:cNvPr>
        <xdr:cNvGrpSpPr/>
      </xdr:nvGrpSpPr>
      <xdr:grpSpPr>
        <a:xfrm>
          <a:off x="4462411" y="4004434"/>
          <a:ext cx="88366" cy="941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2635474F-EC9B-82F6-5EF4-27E5F17FE18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64564C70-4018-FF20-E66D-30766C91F5BC}"/>
              </a:ext>
            </a:extLst>
          </xdr:cNvPr>
          <xdr:cNvCxnSpPr>
            <a:stCxn id="4" idx="1"/>
            <a:endCxn id="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BA376B8A-6654-0CBC-A8CC-7F606477C6F3}"/>
              </a:ext>
            </a:extLst>
          </xdr:cNvPr>
          <xdr:cNvCxnSpPr>
            <a:stCxn id="4" idx="3"/>
            <a:endCxn id="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302316</xdr:colOff>
      <xdr:row>26</xdr:row>
      <xdr:rowOff>34425</xdr:rowOff>
    </xdr:from>
    <xdr:to>
      <xdr:col>15</xdr:col>
      <xdr:colOff>9682</xdr:colOff>
      <xdr:row>26</xdr:row>
      <xdr:rowOff>134259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F9373D2F-17A7-480B-AFA2-D7DAD2DDAB70}"/>
            </a:ext>
          </a:extLst>
        </xdr:cNvPr>
        <xdr:cNvGrpSpPr/>
      </xdr:nvGrpSpPr>
      <xdr:grpSpPr>
        <a:xfrm>
          <a:off x="5179116" y="4025400"/>
          <a:ext cx="88366" cy="9983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" name="Oval 21">
            <a:extLst>
              <a:ext uri="{FF2B5EF4-FFF2-40B4-BE49-F238E27FC236}">
                <a16:creationId xmlns:a16="http://schemas.microsoft.com/office/drawing/2014/main" id="{7B976676-C2C7-0A41-ABDD-C633E1BA0D2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7FB8FEC2-4AFD-62FD-9EC3-E2AB811D6714}"/>
              </a:ext>
            </a:extLst>
          </xdr:cNvPr>
          <xdr:cNvCxnSpPr>
            <a:stCxn id="22" idx="1"/>
            <a:endCxn id="2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48AC7EED-D3BF-198C-AA67-3BF379410AAC}"/>
              </a:ext>
            </a:extLst>
          </xdr:cNvPr>
          <xdr:cNvCxnSpPr>
            <a:stCxn id="22" idx="3"/>
            <a:endCxn id="2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78841</xdr:colOff>
      <xdr:row>26</xdr:row>
      <xdr:rowOff>36354</xdr:rowOff>
    </xdr:from>
    <xdr:to>
      <xdr:col>12</xdr:col>
      <xdr:colOff>347611</xdr:colOff>
      <xdr:row>26</xdr:row>
      <xdr:rowOff>60529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4683183A-7082-4462-9165-0A4C1965043C}"/>
            </a:ext>
          </a:extLst>
        </xdr:cNvPr>
        <xdr:cNvCxnSpPr>
          <a:stCxn id="6" idx="6"/>
          <a:endCxn id="4" idx="2"/>
        </xdr:cNvCxnSpPr>
      </xdr:nvCxnSpPr>
      <xdr:spPr>
        <a:xfrm>
          <a:off x="3811450" y="4078526"/>
          <a:ext cx="649770" cy="2417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305802</xdr:colOff>
      <xdr:row>31</xdr:row>
      <xdr:rowOff>122196</xdr:rowOff>
    </xdr:from>
    <xdr:to>
      <xdr:col>10</xdr:col>
      <xdr:colOff>259820</xdr:colOff>
      <xdr:row>33</xdr:row>
      <xdr:rowOff>13996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2D9DC07-7FE4-47D8-8918-187D20B1A4C3}"/>
            </a:ext>
          </a:extLst>
        </xdr:cNvPr>
        <xdr:cNvSpPr/>
      </xdr:nvSpPr>
      <xdr:spPr>
        <a:xfrm rot="21345887">
          <a:off x="3278605" y="4809499"/>
          <a:ext cx="335018" cy="192589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</a:t>
          </a:r>
        </a:p>
      </xdr:txBody>
    </xdr:sp>
    <xdr:clientData/>
  </xdr:twoCellAnchor>
  <xdr:twoCellAnchor>
    <xdr:from>
      <xdr:col>11</xdr:col>
      <xdr:colOff>337646</xdr:colOff>
      <xdr:row>27</xdr:row>
      <xdr:rowOff>103534</xdr:rowOff>
    </xdr:from>
    <xdr:to>
      <xdr:col>14</xdr:col>
      <xdr:colOff>323021</xdr:colOff>
      <xdr:row>31</xdr:row>
      <xdr:rowOff>49955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3E3D9B1A-657D-4E17-B8AD-0404506C152A}"/>
            </a:ext>
          </a:extLst>
        </xdr:cNvPr>
        <xdr:cNvSpPr/>
      </xdr:nvSpPr>
      <xdr:spPr>
        <a:xfrm>
          <a:off x="4081385" y="4178577"/>
          <a:ext cx="1128375" cy="534487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chemeClr val="tx1"/>
              </a:solidFill>
            </a:rPr>
            <a:t>DPD PGSI</a:t>
          </a:r>
        </a:p>
      </xdr:txBody>
    </xdr:sp>
    <xdr:clientData/>
  </xdr:twoCellAnchor>
  <xdr:twoCellAnchor>
    <xdr:from>
      <xdr:col>10</xdr:col>
      <xdr:colOff>9216</xdr:colOff>
      <xdr:row>15</xdr:row>
      <xdr:rowOff>22199</xdr:rowOff>
    </xdr:from>
    <xdr:to>
      <xdr:col>10</xdr:col>
      <xdr:colOff>292326</xdr:colOff>
      <xdr:row>16</xdr:row>
      <xdr:rowOff>33768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E423A5B4-9E03-493D-BAD8-82D56B911D01}"/>
            </a:ext>
          </a:extLst>
        </xdr:cNvPr>
        <xdr:cNvSpPr/>
      </xdr:nvSpPr>
      <xdr:spPr>
        <a:xfrm rot="21344203">
          <a:off x="3360825" y="2361777"/>
          <a:ext cx="283110" cy="16635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3P</a:t>
          </a:r>
        </a:p>
      </xdr:txBody>
    </xdr:sp>
    <xdr:clientData/>
  </xdr:twoCellAnchor>
  <xdr:twoCellAnchor>
    <xdr:from>
      <xdr:col>9</xdr:col>
      <xdr:colOff>275305</xdr:colOff>
      <xdr:row>15</xdr:row>
      <xdr:rowOff>93857</xdr:rowOff>
    </xdr:from>
    <xdr:to>
      <xdr:col>10</xdr:col>
      <xdr:colOff>303676</xdr:colOff>
      <xdr:row>16</xdr:row>
      <xdr:rowOff>94254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E7B7B4CF-AAD4-449E-89EF-C920D75D8F0A}"/>
            </a:ext>
          </a:extLst>
        </xdr:cNvPr>
        <xdr:cNvSpPr/>
      </xdr:nvSpPr>
      <xdr:spPr>
        <a:xfrm>
          <a:off x="3251046" y="2399564"/>
          <a:ext cx="409371" cy="151483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50 kva</a:t>
          </a:r>
        </a:p>
      </xdr:txBody>
    </xdr:sp>
    <xdr:clientData/>
  </xdr:twoCellAnchor>
  <xdr:twoCellAnchor>
    <xdr:from>
      <xdr:col>14</xdr:col>
      <xdr:colOff>250379</xdr:colOff>
      <xdr:row>28</xdr:row>
      <xdr:rowOff>32758</xdr:rowOff>
    </xdr:from>
    <xdr:to>
      <xdr:col>15</xdr:col>
      <xdr:colOff>61968</xdr:colOff>
      <xdr:row>30</xdr:row>
      <xdr:rowOff>72000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D6107ED2-BF09-4054-89B4-1F0A21E21AA2}"/>
            </a:ext>
          </a:extLst>
        </xdr:cNvPr>
        <xdr:cNvSpPr/>
      </xdr:nvSpPr>
      <xdr:spPr>
        <a:xfrm rot="5400000">
          <a:off x="5056968" y="4345104"/>
          <a:ext cx="335018" cy="192589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12</xdr:col>
      <xdr:colOff>364435</xdr:colOff>
      <xdr:row>34</xdr:row>
      <xdr:rowOff>0</xdr:rowOff>
    </xdr:from>
    <xdr:to>
      <xdr:col>14</xdr:col>
      <xdr:colOff>278115</xdr:colOff>
      <xdr:row>37</xdr:row>
      <xdr:rowOff>70661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EFC2F5F6-6649-466B-88C6-FB8877DD4068}"/>
            </a:ext>
          </a:extLst>
        </xdr:cNvPr>
        <xdr:cNvSpPr/>
      </xdr:nvSpPr>
      <xdr:spPr>
        <a:xfrm>
          <a:off x="4489174" y="5110370"/>
          <a:ext cx="675680" cy="534487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chemeClr val="tx1"/>
              </a:solidFill>
            </a:rPr>
            <a:t>PEPABRI</a:t>
          </a:r>
        </a:p>
      </xdr:txBody>
    </xdr:sp>
    <xdr:clientData/>
  </xdr:twoCellAnchor>
  <xdr:twoCellAnchor>
    <xdr:from>
      <xdr:col>15</xdr:col>
      <xdr:colOff>41413</xdr:colOff>
      <xdr:row>36</xdr:row>
      <xdr:rowOff>115957</xdr:rowOff>
    </xdr:from>
    <xdr:to>
      <xdr:col>16</xdr:col>
      <xdr:colOff>372717</xdr:colOff>
      <xdr:row>41</xdr:row>
      <xdr:rowOff>140804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2F294960-AB05-484A-905A-7DE38533E5DA}"/>
            </a:ext>
          </a:extLst>
        </xdr:cNvPr>
        <xdr:cNvSpPr/>
      </xdr:nvSpPr>
      <xdr:spPr>
        <a:xfrm>
          <a:off x="5309152" y="5524500"/>
          <a:ext cx="712304" cy="803413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chemeClr val="tx1"/>
              </a:solidFill>
            </a:rPr>
            <a:t>DAMKAR</a:t>
          </a:r>
        </a:p>
      </xdr:txBody>
    </xdr:sp>
    <xdr:clientData/>
  </xdr:twoCellAnchor>
  <xdr:twoCellAnchor>
    <xdr:from>
      <xdr:col>11</xdr:col>
      <xdr:colOff>288747</xdr:colOff>
      <xdr:row>25</xdr:row>
      <xdr:rowOff>98206</xdr:rowOff>
    </xdr:from>
    <xdr:to>
      <xdr:col>12</xdr:col>
      <xdr:colOff>245817</xdr:colOff>
      <xdr:row>26</xdr:row>
      <xdr:rowOff>132706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74C2B947-E702-4082-A472-1E0F0A3AA5DB}"/>
            </a:ext>
          </a:extLst>
        </xdr:cNvPr>
        <xdr:cNvSpPr/>
      </xdr:nvSpPr>
      <xdr:spPr>
        <a:xfrm>
          <a:off x="4021356" y="3985597"/>
          <a:ext cx="338070" cy="18928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13</xdr:col>
      <xdr:colOff>185163</xdr:colOff>
      <xdr:row>25</xdr:row>
      <xdr:rowOff>125590</xdr:rowOff>
    </xdr:from>
    <xdr:to>
      <xdr:col>14</xdr:col>
      <xdr:colOff>142233</xdr:colOff>
      <xdr:row>27</xdr:row>
      <xdr:rowOff>5309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6293C057-D1F0-40B2-AEAA-3660FD402722}"/>
            </a:ext>
          </a:extLst>
        </xdr:cNvPr>
        <xdr:cNvSpPr/>
      </xdr:nvSpPr>
      <xdr:spPr>
        <a:xfrm>
          <a:off x="4679772" y="4012981"/>
          <a:ext cx="338070" cy="18928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15</xdr:col>
      <xdr:colOff>240631</xdr:colOff>
      <xdr:row>25</xdr:row>
      <xdr:rowOff>140370</xdr:rowOff>
    </xdr:from>
    <xdr:to>
      <xdr:col>16</xdr:col>
      <xdr:colOff>197701</xdr:colOff>
      <xdr:row>27</xdr:row>
      <xdr:rowOff>20089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1AA2E9D6-9FB7-4C2B-ABDE-2715144895B1}"/>
            </a:ext>
          </a:extLst>
        </xdr:cNvPr>
        <xdr:cNvSpPr/>
      </xdr:nvSpPr>
      <xdr:spPr>
        <a:xfrm>
          <a:off x="5499434" y="3930317"/>
          <a:ext cx="338070" cy="180509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14</xdr:col>
      <xdr:colOff>355934</xdr:colOff>
      <xdr:row>26</xdr:row>
      <xdr:rowOff>130342</xdr:rowOff>
    </xdr:from>
    <xdr:to>
      <xdr:col>15</xdr:col>
      <xdr:colOff>20052</xdr:colOff>
      <xdr:row>32</xdr:row>
      <xdr:rowOff>100264</xdr:rowOff>
    </xdr:to>
    <xdr:sp macro="" textlink="">
      <xdr:nvSpPr>
        <xdr:cNvPr id="69" name="Freeform: Shape 68">
          <a:extLst>
            <a:ext uri="{FF2B5EF4-FFF2-40B4-BE49-F238E27FC236}">
              <a16:creationId xmlns:a16="http://schemas.microsoft.com/office/drawing/2014/main" id="{34CCD379-4E40-8BF5-C36F-6052AEB12221}"/>
            </a:ext>
          </a:extLst>
        </xdr:cNvPr>
        <xdr:cNvSpPr/>
      </xdr:nvSpPr>
      <xdr:spPr>
        <a:xfrm>
          <a:off x="5233737" y="4070684"/>
          <a:ext cx="45118" cy="867277"/>
        </a:xfrm>
        <a:custGeom>
          <a:avLst/>
          <a:gdLst>
            <a:gd name="connsiteX0" fmla="*/ 0 w 45118"/>
            <a:gd name="connsiteY0" fmla="*/ 0 h 867277"/>
            <a:gd name="connsiteX1" fmla="*/ 0 w 45118"/>
            <a:gd name="connsiteY1" fmla="*/ 867277 h 867277"/>
            <a:gd name="connsiteX2" fmla="*/ 45118 w 45118"/>
            <a:gd name="connsiteY2" fmla="*/ 852237 h 867277"/>
            <a:gd name="connsiteX3" fmla="*/ 45118 w 45118"/>
            <a:gd name="connsiteY3" fmla="*/ 852237 h 8672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45118" h="867277">
              <a:moveTo>
                <a:pt x="0" y="0"/>
              </a:moveTo>
              <a:lnTo>
                <a:pt x="0" y="867277"/>
              </a:lnTo>
              <a:lnTo>
                <a:pt x="45118" y="852237"/>
              </a:lnTo>
              <a:lnTo>
                <a:pt x="45118" y="852237"/>
              </a:lnTo>
            </a:path>
          </a:pathLst>
        </a:cu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335881</xdr:colOff>
      <xdr:row>32</xdr:row>
      <xdr:rowOff>15040</xdr:rowOff>
    </xdr:from>
    <xdr:to>
      <xdr:col>15</xdr:col>
      <xdr:colOff>15039</xdr:colOff>
      <xdr:row>32</xdr:row>
      <xdr:rowOff>145382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6530F00D-E496-7013-D87B-7F78E342B231}"/>
            </a:ext>
          </a:extLst>
        </xdr:cNvPr>
        <xdr:cNvSpPr/>
      </xdr:nvSpPr>
      <xdr:spPr>
        <a:xfrm>
          <a:off x="5213684" y="4852737"/>
          <a:ext cx="60158" cy="130342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435429</xdr:colOff>
      <xdr:row>8</xdr:row>
      <xdr:rowOff>95250</xdr:rowOff>
    </xdr:from>
    <xdr:to>
      <xdr:col>20</xdr:col>
      <xdr:colOff>136071</xdr:colOff>
      <xdr:row>53</xdr:row>
      <xdr:rowOff>120790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EA049D-EFE1-CA8E-487B-72231A99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4679" y="1551214"/>
          <a:ext cx="9497785" cy="737339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5" t="s">
        <v>1134</v>
      </c>
      <c r="C4" s="515"/>
      <c r="D4" s="515"/>
      <c r="E4" s="515"/>
      <c r="F4" s="515"/>
      <c r="G4" s="515"/>
      <c r="H4" s="51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6" t="s">
        <v>0</v>
      </c>
      <c r="C7" s="516" t="s">
        <v>1</v>
      </c>
      <c r="D7" s="517" t="s">
        <v>42</v>
      </c>
      <c r="E7" s="517" t="s">
        <v>43</v>
      </c>
      <c r="F7" s="517" t="s">
        <v>1135</v>
      </c>
      <c r="G7" s="518" t="s">
        <v>41</v>
      </c>
      <c r="H7" s="514" t="s">
        <v>1042</v>
      </c>
      <c r="I7" s="514" t="s">
        <v>1137</v>
      </c>
      <c r="J7" s="514" t="s">
        <v>1026</v>
      </c>
      <c r="K7" s="508" t="s">
        <v>1024</v>
      </c>
      <c r="L7" s="509"/>
    </row>
    <row r="8" spans="1:12" ht="15" customHeight="1">
      <c r="B8" s="516"/>
      <c r="C8" s="516"/>
      <c r="D8" s="517"/>
      <c r="E8" s="517"/>
      <c r="F8" s="517"/>
      <c r="G8" s="518"/>
      <c r="H8" s="514"/>
      <c r="I8" s="514"/>
      <c r="J8" s="514"/>
      <c r="K8" s="510"/>
      <c r="L8" s="511"/>
    </row>
    <row r="9" spans="1:12" ht="15" customHeight="1">
      <c r="B9" s="516"/>
      <c r="C9" s="516"/>
      <c r="D9" s="517"/>
      <c r="E9" s="517"/>
      <c r="F9" s="517"/>
      <c r="G9" s="518"/>
      <c r="H9" s="514"/>
      <c r="I9" s="514"/>
      <c r="J9" s="514"/>
      <c r="K9" s="512"/>
      <c r="L9" s="51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16.5 kVA MCCB 25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 4 x 16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35</v>
      </c>
      <c r="G14" s="41">
        <f ca="1">IF(ISERROR(OFFSET('HARGA SATUAN'!$I$6,MATCH(C14,'HARGA SATUAN'!$C$7:$C$1492,0),0)),"",OFFSET('HARGA SATUAN'!$I$6,MATCH(C14,'HARGA SATUAN'!$C$7:$C$1492,0),0))</f>
        <v>13500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 t="str">
        <f t="shared" ca="1" si="0"/>
        <v/>
      </c>
      <c r="C15" s="109" t="str">
        <f t="shared" ca="1" si="1"/>
        <v/>
      </c>
      <c r="D15" s="101" t="str">
        <f ca="1">IF(ISERROR(OFFSET('HARGA SATUAN'!$D$6,MATCH(C15,'HARGA SATUAN'!$C$7:$C$1492,0),0)),"",OFFSET('HARGA SATUAN'!$D$6,MATCH(C15,'HARGA SATUAN'!$C$7:$C$1492,0),0))</f>
        <v/>
      </c>
      <c r="E15" s="101">
        <f ca="1">IF(B15="+","Unit",IF(ISERROR(OFFSET('HARGA SATUAN'!$E$6,MATCH(C15,'HARGA SATUAN'!$C$7:$C$1492,0),0)),"",OFFSET('HARGA SATUAN'!$E$6,MATCH(C15,'HARGA SATUAN'!$C$7:$C$1492,0),0)))</f>
        <v>0</v>
      </c>
      <c r="F15" s="138" t="str">
        <f t="shared" ca="1" si="2"/>
        <v/>
      </c>
      <c r="G15" s="41">
        <f ca="1">IF(ISERROR(OFFSET('HARGA SATUAN'!$I$6,MATCH(C15,'HARGA SATUAN'!$C$7:$C$1492,0),0)),"",OFFSET('HARGA SATUAN'!$I$6,MATCH(C15,'HARGA SATUAN'!$C$7:$C$1492,0),0))</f>
        <v>0</v>
      </c>
      <c r="H15" s="136" t="str">
        <f ca="1">IF(B15="","",#REF!)</f>
        <v/>
      </c>
      <c r="I15" s="136" t="str">
        <f ca="1">IF(B15="","",#REF!)</f>
        <v/>
      </c>
      <c r="J15" s="136" t="str">
        <f ca="1">IF(B15="","",#REF!)</f>
        <v/>
      </c>
      <c r="K15" s="136" t="str">
        <f ca="1">IF(B15="","",#REF!)</f>
        <v/>
      </c>
      <c r="L15" s="136" t="str">
        <f ca="1">IF(C15="","",#REF!)</f>
        <v/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SUMIFS(RAB!$F$14:$F$40,RAB!$C$14:$C$40,C714)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SUMIFS(RAB!$F$14:$F$40,RAB!$C$14:$C$40,C715)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SUMIFS(RAB!$F$14:$F$40,RAB!$C$14:$C$40,C716)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SUMIFS(RAB!$F$14:$F$40,RAB!$C$14:$C$40,C717)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SUMIFS(RAB!$F$14:$F$40,RAB!$C$14:$C$40,C718)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SUMIFS(RAB!$F$14:$F$40,RAB!$C$14:$C$40,C719)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SUMIFS(RAB!$F$14:$F$40,RAB!$C$14:$C$40,C720)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SUMIFS(RAB!$F$14:$F$40,RAB!$C$14:$C$40,C721)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SUMIFS(RAB!$F$14:$F$40,RAB!$C$14:$C$40,C722)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SUMIFS(RAB!$F$14:$F$40,RAB!$C$14:$C$40,C723)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SUMIFS(RAB!$F$14:$F$40,RAB!$C$14:$C$40,C724)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SUMIFS(RAB!$F$14:$F$40,RAB!$C$14:$C$40,C725)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SUMIFS(RAB!$F$14:$F$40,RAB!$C$14:$C$40,C726)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SUMIFS(RAB!$F$14:$F$40,RAB!$C$14:$C$40,C727)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SUMIFS(RAB!$F$14:$F$40,RAB!$C$14:$C$40,C728)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SUMIFS(RAB!$F$14:$F$40,RAB!$C$14:$C$40,C729)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SUMIFS(RAB!$F$14:$F$40,RAB!$C$14:$C$40,C730)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SUMIFS(RAB!$F$14:$F$40,RAB!$C$14:$C$40,C731)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SUMIFS(RAB!$F$14:$F$40,RAB!$C$14:$C$40,C732)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SUMIFS(RAB!$F$14:$F$40,RAB!$C$14:$C$40,C733)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SUMIFS(RAB!$F$14:$F$40,RAB!$C$14:$C$40,C734)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SUMIFS(RAB!$F$14:$F$40,RAB!$C$14:$C$40,C735)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SUMIFS(RAB!$F$14:$F$40,RAB!$C$14:$C$40,C736)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SUMIFS(RAB!$F$14:$F$40,RAB!$C$14:$C$40,C737)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SUMIFS(RAB!$F$14:$F$40,RAB!$C$14:$C$40,C738)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SUMIFS(RAB!$F$14:$F$40,RAB!$C$14:$C$40,C739)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SUMIFS(RAB!$F$14:$F$40,RAB!$C$14:$C$40,C740)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SUMIFS(RAB!$F$14:$F$40,RAB!$C$14:$C$40,C741)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SUMIFS(RAB!$F$14:$F$40,RAB!$C$14:$C$40,C742)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SUMIFS(RAB!$F$14:$F$40,RAB!$C$14:$C$40,C743)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SUMIFS(RAB!$F$14:$F$40,RAB!$C$14:$C$40,C744)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SUMIFS(RAB!$F$14:$F$40,RAB!$C$14:$C$40,C745)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SUMIFS(RAB!$F$14:$F$40,RAB!$C$14:$C$40,C746)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SUMIFS(RAB!$F$14:$F$40,RAB!$C$14:$C$40,C747)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SUMIFS(RAB!$F$14:$F$40,RAB!$C$14:$C$40,C748)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SUMIFS(RAB!$F$14:$F$40,RAB!$C$14:$C$40,C749)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SUMIFS(RAB!$F$14:$F$40,RAB!$C$14:$C$40,C750)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SUMIFS(RAB!$F$14:$F$40,RAB!$C$14:$C$40,C751)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SUMIFS(RAB!$F$14:$F$40,RAB!$C$14:$C$40,C752)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SUMIFS(RAB!$F$14:$F$40,RAB!$C$14:$C$40,C753)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SUMIFS(RAB!$F$14:$F$40,RAB!$C$14:$C$40,C754)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SUMIFS(RAB!$F$14:$F$40,RAB!$C$14:$C$40,C755)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SUMIFS(RAB!$F$14:$F$40,RAB!$C$14:$C$40,C756)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SUMIFS(RAB!$F$14:$F$40,RAB!$C$14:$C$40,C757)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SUMIFS(RAB!$F$14:$F$40,RAB!$C$14:$C$40,C758)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SUMIFS(RAB!$F$14:$F$40,RAB!$C$14:$C$40,C759)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SUMIFS(RAB!$F$14:$F$40,RAB!$C$14:$C$40,C760)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SUMIFS(RAB!$F$14:$F$40,RAB!$C$14:$C$40,C761)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SUMIFS(RAB!$F$14:$F$40,RAB!$C$14:$C$40,C762)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SUMIFS(RAB!$F$14:$F$40,RAB!$C$14:$C$40,C763)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SUMIFS(RAB!$F$14:$F$40,RAB!$C$14:$C$40,C764)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SUMIFS(RAB!$F$14:$F$40,RAB!$C$14:$C$40,C765)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SUMIFS(RAB!$F$14:$F$40,RAB!$C$14:$C$40,C766)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SUMIFS(RAB!$F$14:$F$40,RAB!$C$14:$C$40,C767)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SUMIFS(RAB!$F$14:$F$40,RAB!$C$14:$C$40,C768)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SUMIFS(RAB!$F$14:$F$40,RAB!$C$14:$C$40,C769)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SUMIFS(RAB!$F$14:$F$40,RAB!$C$14:$C$40,C770)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SUMIFS(RAB!$F$14:$F$40,RAB!$C$14:$C$40,C771)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SUMIFS(RAB!$F$14:$F$40,RAB!$C$14:$C$40,C772)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SUMIFS(RAB!$F$14:$F$40,RAB!$C$14:$C$40,C773)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SUMIFS(RAB!$F$14:$F$40,RAB!$C$14:$C$40,C774)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SUMIFS(RAB!$F$14:$F$40,RAB!$C$14:$C$40,C775)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SUMIFS(RAB!$F$14:$F$40,RAB!$C$14:$C$40,C776)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SUMIFS(RAB!$F$14:$F$40,RAB!$C$14:$C$40,C777)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SUMIFS(RAB!$F$14:$F$40,RAB!$C$14:$C$40,C778)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SUMIFS(RAB!$F$14:$F$40,RAB!$C$14:$C$40,C779)</f>
        <v>1</v>
      </c>
      <c r="E779" s="26">
        <f t="shared" ref="E779:E842" ca="1" si="34">IF(D779=0,0,1)</f>
        <v>1</v>
      </c>
      <c r="F779" s="26">
        <f ca="1">IF(D779=0,0,SUM($E$713:E779))</f>
        <v>2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SUMIFS(RAB!$F$14:$F$40,RAB!$C$14:$C$40,C780)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SUMIFS(RAB!$F$14:$F$40,RAB!$C$14:$C$40,C781)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SUMIFS(RAB!$F$14:$F$40,RAB!$C$14:$C$40,C782)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SUMIFS(RAB!$F$14:$F$40,RAB!$C$14:$C$40,C783)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SUMIFS(RAB!$F$14:$F$40,RAB!$C$14:$C$40,C784)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SUMIFS(RAB!$F$14:$F$40,RAB!$C$14:$C$40,C785)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SUMIFS(RAB!$F$14:$F$40,RAB!$C$14:$C$40,C786)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SUMIFS(RAB!$F$14:$F$40,RAB!$C$14:$C$40,C787)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SUMIFS(RAB!$F$14:$F$40,RAB!$C$14:$C$40,C788)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SUMIFS(RAB!$F$14:$F$40,RAB!$C$14:$C$40,C789)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SUMIFS(RAB!$F$14:$F$40,RAB!$C$14:$C$40,C790)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SUMIFS(RAB!$F$14:$F$40,RAB!$C$14:$C$40,C791)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SUMIFS(RAB!$F$14:$F$40,RAB!$C$14:$C$40,C792)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SUMIFS(RAB!$F$14:$F$40,RAB!$C$14:$C$40,C793)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SUMIFS(RAB!$F$14:$F$40,RAB!$C$14:$C$40,C794)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SUMIFS(RAB!$F$14:$F$40,RAB!$C$14:$C$40,C795)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SUMIFS(RAB!$F$14:$F$40,RAB!$C$14:$C$40,C796)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SUMIFS(RAB!$F$14:$F$40,RAB!$C$14:$C$40,C797)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SUMIFS(RAB!$F$14:$F$40,RAB!$C$14:$C$40,C798)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SUMIFS(RAB!$F$14:$F$40,RAB!$C$14:$C$40,C799)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SUMIFS(RAB!$F$14:$F$40,RAB!$C$14:$C$40,C800)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SUMIFS(RAB!$F$14:$F$40,RAB!$C$14:$C$40,C801)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SUMIFS(RAB!$F$14:$F$40,RAB!$C$14:$C$40,C802)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SUMIFS(RAB!$F$14:$F$40,RAB!$C$14:$C$40,C803)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SUMIFS(RAB!$F$14:$F$40,RAB!$C$14:$C$40,C804)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SUMIFS(RAB!$F$14:$F$40,RAB!$C$14:$C$40,C805)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SUMIFS(RAB!$F$14:$F$40,RAB!$C$14:$C$40,C806)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SUMIFS(RAB!$F$14:$F$40,RAB!$C$14:$C$40,C807)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SUMIFS(RAB!$F$14:$F$40,RAB!$C$14:$C$40,C808)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SUMIFS(RAB!$F$14:$F$40,RAB!$C$14:$C$40,C809)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SUMIFS(RAB!$F$14:$F$40,RAB!$C$14:$C$40,C810)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SUMIFS(RAB!$F$14:$F$40,RAB!$C$14:$C$40,C811)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SUMIFS(RAB!$F$14:$F$40,RAB!$C$14:$C$40,C812)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SUMIFS(RAB!$F$14:$F$40,RAB!$C$14:$C$40,C813)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SUMIFS(RAB!$F$14:$F$40,RAB!$C$14:$C$40,C814)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SUMIFS(RAB!$F$14:$F$40,RAB!$C$14:$C$40,C815)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SUMIFS(RAB!$F$14:$F$40,RAB!$C$14:$C$40,C816)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SUMIFS(RAB!$F$14:$F$40,RAB!$C$14:$C$40,C817)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SUMIFS(RAB!$F$14:$F$40,RAB!$C$14:$C$40,C818)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SUMIFS(RAB!$F$14:$F$40,RAB!$C$14:$C$40,C819)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SUMIFS(RAB!$F$14:$F$40,RAB!$C$14:$C$40,C820)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SUMIFS(RAB!$F$14:$F$40,RAB!$C$14:$C$40,C821)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SUMIFS(RAB!$F$14:$F$40,RAB!$C$14:$C$40,C822)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SUMIFS(RAB!$F$14:$F$40,RAB!$C$14:$C$40,C823)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SUMIFS(RAB!$F$14:$F$40,RAB!$C$14:$C$40,C824)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SUMIFS(RAB!$F$14:$F$40,RAB!$C$14:$C$40,C825)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SUMIFS(RAB!$F$14:$F$40,RAB!$C$14:$C$40,C826)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SUMIFS(RAB!$F$14:$F$40,RAB!$C$14:$C$40,C827)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SUMIFS(RAB!$F$14:$F$40,RAB!$C$14:$C$40,C828)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SUMIFS(RAB!$F$14:$F$40,RAB!$C$14:$C$40,C829)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SUMIFS(RAB!$F$14:$F$40,RAB!$C$14:$C$40,C830)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SUMIFS(RAB!$F$14:$F$40,RAB!$C$14:$C$40,C831)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SUMIFS(RAB!$F$14:$F$40,RAB!$C$14:$C$40,C832)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SUMIFS(RAB!$F$14:$F$40,RAB!$C$14:$C$40,C833)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SUMIFS(RAB!$F$14:$F$40,RAB!$C$14:$C$40,C834)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SUMIFS(RAB!$F$14:$F$40,RAB!$C$14:$C$40,C835)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SUMIFS(RAB!$F$14:$F$40,RAB!$C$14:$C$40,C836)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SUMIFS(RAB!$F$14:$F$40,RAB!$C$14:$C$40,C837)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SUMIFS(RAB!$F$14:$F$40,RAB!$C$14:$C$40,C838)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SUMIFS(RAB!$F$14:$F$40,RAB!$C$14:$C$40,C839)</f>
        <v>35</v>
      </c>
      <c r="E839" s="26">
        <f t="shared" ca="1" si="34"/>
        <v>1</v>
      </c>
      <c r="F839" s="26">
        <f ca="1">IF(D839=0,0,SUM($E$713:E839))</f>
        <v>3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SUMIFS(RAB!$F$14:$F$40,RAB!$C$14:$C$40,C840)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SUMIFS(RAB!$F$14:$F$40,RAB!$C$14:$C$40,C841)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SUMIFS(RAB!$F$14:$F$40,RAB!$C$14:$C$40,C842)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SUMIFS(RAB!$F$14:$F$40,RAB!$C$14:$C$40,C843)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SUMIFS(RAB!$F$14:$F$40,RAB!$C$14:$C$40,C844)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SUMIFS(RAB!$F$14:$F$40,RAB!$C$14:$C$40,C845)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SUMIFS(RAB!$F$14:$F$40,RAB!$C$14:$C$40,C846)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SUMIFS(RAB!$F$14:$F$40,RAB!$C$14:$C$40,C847)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SUMIFS(RAB!$F$14:$F$40,RAB!$C$14:$C$40,C848)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SUMIFS(RAB!$F$14:$F$40,RAB!$C$14:$C$40,C849)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SUMIFS(RAB!$F$14:$F$40,RAB!$C$14:$C$40,C850)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SUMIFS(RAB!$F$14:$F$40,RAB!$C$14:$C$40,C851)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SUMIFS(RAB!$F$14:$F$40,RAB!$C$14:$C$40,C852)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SUMIFS(RAB!$F$14:$F$40,RAB!$C$14:$C$40,C853)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SUMIFS(RAB!$F$14:$F$40,RAB!$C$14:$C$40,C854)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SUMIFS(RAB!$F$14:$F$40,RAB!$C$14:$C$40,C855)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SUMIFS(RAB!$F$14:$F$40,RAB!$C$14:$C$40,C856)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SUMIFS(RAB!$F$14:$F$40,RAB!$C$14:$C$40,C857)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SUMIFS(RAB!$F$14:$F$40,RAB!$C$14:$C$40,C858)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SUMIFS(RAB!$F$14:$F$40,RAB!$C$14:$C$40,C859)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SUMIFS(RAB!$F$14:$F$40,RAB!$C$14:$C$40,C860)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SUMIFS(RAB!$F$14:$F$40,RAB!$C$14:$C$40,C861)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SUMIFS(RAB!$F$14:$F$40,RAB!$C$14:$C$40,C862)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SUMIFS(RAB!$F$14:$F$40,RAB!$C$14:$C$40,C863)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SUMIFS(RAB!$F$14:$F$40,RAB!$C$14:$C$40,C864)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SUMIFS(RAB!$F$14:$F$40,RAB!$C$14:$C$40,C865)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SUMIFS(RAB!$F$14:$F$40,RAB!$C$14:$C$40,C866)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SUMIFS(RAB!$F$14:$F$40,RAB!$C$14:$C$40,C867)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SUMIFS(RAB!$F$14:$F$40,RAB!$C$14:$C$40,C868)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SUMIFS(RAB!$F$14:$F$40,RAB!$C$14:$C$40,C869)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SUMIFS(RAB!$F$14:$F$40,RAB!$C$14:$C$40,C870)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SUMIFS(RAB!$F$14:$F$40,RAB!$C$14:$C$40,C871)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SUMIFS(RAB!$F$14:$F$40,RAB!$C$14:$C$40,C872)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SUMIFS(RAB!$F$14:$F$40,RAB!$C$14:$C$40,C873)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SUMIFS(RAB!$F$14:$F$40,RAB!$C$14:$C$40,C874)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SUMIFS(RAB!$F$14:$F$40,RAB!$C$14:$C$40,C875)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SUMIFS(RAB!$F$14:$F$40,RAB!$C$14:$C$40,C876)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SUMIFS(RAB!$F$14:$F$40,RAB!$C$14:$C$40,C877)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SUMIFS(RAB!$F$14:$F$40,RAB!$C$14:$C$40,C878)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SUMIFS(RAB!$F$14:$F$40,RAB!$C$14:$C$40,C879)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SUMIFS(RAB!$F$14:$F$40,RAB!$C$14:$C$40,C880)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SUMIFS(RAB!$F$14:$F$40,RAB!$C$14:$C$40,C881)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SUMIFS(RAB!$F$14:$F$40,RAB!$C$14:$C$40,C882)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SUMIFS(RAB!$F$14:$F$40,RAB!$C$14:$C$40,C883)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SUMIFS(RAB!$F$14:$F$40,RAB!$C$14:$C$40,C884)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SUMIFS(RAB!$F$14:$F$40,RAB!$C$14:$C$40,C885)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SUMIFS(RAB!$F$14:$F$40,RAB!$C$14:$C$40,C886)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SUMIFS(RAB!$F$14:$F$40,RAB!$C$14:$C$40,C887)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SUMIFS(RAB!$F$14:$F$40,RAB!$C$14:$C$40,C888)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SUMIFS(RAB!$F$14:$F$40,RAB!$C$14:$C$40,C889)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SUMIFS(RAB!$F$14:$F$40,RAB!$C$14:$C$40,C890)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SUMIFS(RAB!$F$14:$F$40,RAB!$C$14:$C$40,C891)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SUMIFS(RAB!$F$14:$F$40,RAB!$C$14:$C$40,C892)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SUMIFS(RAB!$F$14:$F$40,RAB!$C$14:$C$40,C893)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SUMIFS(RAB!$F$14:$F$40,RAB!$C$14:$C$40,C894)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SUMIFS(RAB!$F$14:$F$40,RAB!$C$14:$C$40,C895)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SUMIFS(RAB!$F$14:$F$40,RAB!$C$14:$C$40,C896)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SUMIFS(RAB!$F$14:$F$40,RAB!$C$14:$C$40,C897)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SUMIFS(RAB!$F$14:$F$40,RAB!$C$14:$C$40,C898)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SUMIFS(RAB!$F$14:$F$40,RAB!$C$14:$C$40,C899)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SUMIFS(RAB!$F$14:$F$40,RAB!$C$14:$C$40,C900)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SUMIFS(RAB!$F$14:$F$40,RAB!$C$14:$C$40,C901)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SUMIFS(RAB!$F$14:$F$40,RAB!$C$14:$C$40,C902)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SUMIFS(RAB!$F$14:$F$40,RAB!$C$14:$C$40,C903)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SUMIFS(RAB!$F$14:$F$40,RAB!$C$14:$C$40,C904)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SUMIFS(RAB!$F$14:$F$40,RAB!$C$14:$C$40,C905)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SUMIFS(RAB!$F$14:$F$40,RAB!$C$14:$C$40,C906)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SUMIFS(RAB!$F$14:$F$40,RAB!$C$14:$C$40,C907)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SUMIFS(RAB!$F$14:$F$40,RAB!$C$14:$C$40,C908)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SUMIFS(RAB!$F$14:$F$40,RAB!$C$14:$C$40,C909)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SUMIFS(RAB!$F$14:$F$40,RAB!$C$14:$C$40,C910)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SUMIFS(RAB!$F$14:$F$40,RAB!$C$14:$C$40,C911)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SUMIFS(RAB!$F$14:$F$40,RAB!$C$14:$C$40,C912)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SUMIFS(RAB!$F$14:$F$40,RAB!$C$14:$C$40,C913)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SUMIFS(RAB!$F$14:$F$40,RAB!$C$14:$C$40,C914)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SUMIFS(RAB!$F$14:$F$40,RAB!$C$14:$C$40,C915)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SUMIFS(RAB!$F$14:$F$40,RAB!$C$14:$C$40,C916)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SUMIFS(RAB!$F$14:$F$40,RAB!$C$14:$C$40,C917)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SUMIFS(RAB!$F$14:$F$40,RAB!$C$14:$C$40,C918)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SUMIFS(RAB!$F$14:$F$40,RAB!$C$14:$C$40,C919)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SUMIFS(RAB!$F$14:$F$40,RAB!$C$14:$C$40,C920)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SUMIFS(RAB!$F$14:$F$40,RAB!$C$14:$C$40,C921)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SUMIFS(RAB!$F$14:$F$40,RAB!$C$14:$C$40,C922)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SUMIFS(RAB!$F$14:$F$40,RAB!$C$14:$C$40,C923)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SUMIFS(RAB!$F$14:$F$40,RAB!$C$14:$C$40,C924)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SUMIFS(RAB!$F$14:$F$40,RAB!$C$14:$C$40,C925)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SUMIFS(RAB!$F$14:$F$40,RAB!$C$14:$C$40,C926)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SUMIFS(RAB!$F$14:$F$40,RAB!$C$14:$C$40,C927)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SUMIFS(RAB!$F$14:$F$40,RAB!$C$14:$C$40,C928)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SUMIFS(RAB!$F$14:$F$40,RAB!$C$14:$C$40,C929)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SUMIFS(RAB!$F$14:$F$40,RAB!$C$14:$C$40,C930)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SUMIFS(RAB!$F$14:$F$40,RAB!$C$14:$C$40,C931)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SUMIFS(RAB!$F$14:$F$40,RAB!$C$14:$C$40,C932)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SUMIFS(RAB!$F$14:$F$40,RAB!$C$14:$C$40,C933)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SUMIFS(RAB!$F$14:$F$40,RAB!$C$14:$C$40,C934)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SUMIFS(RAB!$F$14:$F$40,RAB!$C$14:$C$40,C935)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SUMIFS(RAB!$F$14:$F$40,RAB!$C$14:$C$40,C936)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SUMIFS(RAB!$F$14:$F$40,RAB!$C$14:$C$40,C937)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SUMIFS(RAB!$F$14:$F$40,RAB!$C$14:$C$40,C938)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SUMIFS(RAB!$F$14:$F$40,RAB!$C$14:$C$40,C939)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SUMIFS(RAB!$F$14:$F$40,RAB!$C$14:$C$40,C940)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SUMIFS(RAB!$F$14:$F$40,RAB!$C$14:$C$40,C941)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SUMIFS(RAB!$F$14:$F$40,RAB!$C$14:$C$40,C942)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SUMIFS(RAB!$F$14:$F$40,RAB!$C$14:$C$40,C943)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SUMIFS(RAB!$F$14:$F$40,RAB!$C$14:$C$40,C944)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SUMIFS(RAB!$F$14:$F$40,RAB!$C$14:$C$40,C945)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SUMIFS(RAB!$F$14:$F$40,RAB!$C$14:$C$40,C946)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SUMIFS(RAB!$F$14:$F$40,RAB!$C$14:$C$40,C947)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SUMIFS(RAB!$F$14:$F$40,RAB!$C$14:$C$40,C948)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SUMIFS(RAB!$F$14:$F$40,RAB!$C$14:$C$40,C949)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SUMIFS(RAB!$F$14:$F$40,RAB!$C$14:$C$40,C950)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SUMIFS(RAB!$F$14:$F$40,RAB!$C$14:$C$40,C951)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SUMIFS(RAB!$F$14:$F$40,RAB!$C$14:$C$40,C952)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SUMIFS(RAB!$F$14:$F$40,RAB!$C$14:$C$40,C953)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SUMIFS(RAB!$F$14:$F$40,RAB!$C$14:$C$40,C954)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SUMIFS(RAB!$F$14:$F$40,RAB!$C$14:$C$40,C955)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SUMIFS(RAB!$F$14:$F$40,RAB!$C$14:$C$40,C956)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SUMIFS(RAB!$F$14:$F$40,RAB!$C$14:$C$40,C957)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SUMIFS(RAB!$F$14:$F$40,RAB!$C$14:$C$40,C958)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SUMIFS(RAB!$F$14:$F$40,RAB!$C$14:$C$40,C959)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SUMIFS(RAB!$F$14:$F$40,RAB!$C$14:$C$40,C960)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SUMIFS(RAB!$F$14:$F$40,RAB!$C$14:$C$40,C961)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SUMIFS(RAB!$F$14:$F$40,RAB!$C$14:$C$40,C962)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SUMIFS(RAB!$F$14:$F$40,RAB!$C$14:$C$40,C963)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SUMIFS(RAB!$F$14:$F$40,RAB!$C$14:$C$40,C964)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SUMIFS(RAB!$F$14:$F$40,RAB!$C$14:$C$40,C965)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SUMIFS(RAB!$F$14:$F$40,RAB!$C$14:$C$40,C966)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SUMIFS(RAB!$F$14:$F$40,RAB!$C$14:$C$40,C967)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SUMIFS(RAB!$F$14:$F$40,RAB!$C$14:$C$40,C968)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SUMIFS(RAB!$F$14:$F$40,RAB!$C$14:$C$40,C969)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SUMIFS(RAB!$F$14:$F$40,RAB!$C$14:$C$40,C970)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SUMIFS(RAB!$F$14:$F$40,RAB!$C$14:$C$40,C971)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SUMIFS(RAB!$F$14:$F$40,RAB!$C$14:$C$40,C972)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SUMIFS(RAB!$F$14:$F$40,RAB!$C$14:$C$40,C973)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SUMIFS(RAB!$F$14:$F$40,RAB!$C$14:$C$40,C974)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SUMIFS(RAB!$F$14:$F$40,RAB!$C$14:$C$40,C975)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SUMIFS(RAB!$F$14:$F$40,RAB!$C$14:$C$40,C976)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SUMIFS(RAB!$F$14:$F$40,RAB!$C$14:$C$40,C977)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SUMIFS(RAB!$F$14:$F$40,RAB!$C$14:$C$40,C978)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SUMIFS(RAB!$F$14:$F$40,RAB!$C$14:$C$40,C979)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SUMIFS(RAB!$F$14:$F$40,RAB!$C$14:$C$40,C980)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SUMIFS(RAB!$F$14:$F$40,RAB!$C$14:$C$40,C981)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SUMIFS(RAB!$F$14:$F$40,RAB!$C$14:$C$40,C982)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SUMIFS(RAB!$F$14:$F$40,RAB!$C$14:$C$40,C983)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SUMIFS(RAB!$F$14:$F$40,RAB!$C$14:$C$40,C984)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SUMIFS(RAB!$F$14:$F$40,RAB!$C$14:$C$40,C985)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SUMIFS(RAB!$F$14:$F$40,RAB!$C$14:$C$40,C986)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SUMIFS(RAB!$F$14:$F$40,RAB!$C$14:$C$40,C987)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SUMIFS(RAB!$F$14:$F$40,RAB!$C$14:$C$40,C988)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SUMIFS(RAB!$F$14:$F$40,RAB!$C$14:$C$40,C989)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SUMIFS(RAB!$F$14:$F$40,RAB!$C$14:$C$40,C990)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SUMIFS(RAB!$F$14:$F$40,RAB!$C$14:$C$40,C991)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SUMIFS(RAB!$F$14:$F$40,RAB!$C$14:$C$40,C992)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SUMIFS(RAB!$F$14:$F$40,RAB!$C$14:$C$40,C993)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SUMIFS(RAB!$F$14:$F$40,RAB!$C$14:$C$40,C994)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SUMIFS(RAB!$F$14:$F$40,RAB!$C$14:$C$40,C995)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SUMIFS(RAB!$F$14:$F$40,RAB!$C$14:$C$40,C996)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SUMIFS(RAB!$F$14:$F$40,RAB!$C$14:$C$40,C997)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SUMIFS(RAB!$F$14:$F$40,RAB!$C$14:$C$40,C998)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SUMIFS(RAB!$F$14:$F$40,RAB!$C$14:$C$40,C999)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SUMIFS(RAB!$F$14:$F$40,RAB!$C$14:$C$40,C1000)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SUMIFS(RAB!$F$14:$F$40,RAB!$C$14:$C$40,C1001)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SUMIFS(RAB!$F$14:$F$40,RAB!$C$14:$C$40,C1002)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SUMIFS(RAB!$F$14:$F$40,RAB!$C$14:$C$40,C1003)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SUMIFS(RAB!$F$14:$F$40,RAB!$C$14:$C$40,C1004)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SUMIFS(RAB!$F$14:$F$40,RAB!$C$14:$C$40,C1005)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SUMIFS(RAB!$F$14:$F$40,RAB!$C$14:$C$40,C1006)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SUMIFS(RAB!$F$14:$F$40,RAB!$C$14:$C$40,C1007)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SUMIFS(RAB!$F$14:$F$40,RAB!$C$14:$C$40,C1008)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SUMIFS(RAB!$F$14:$F$40,RAB!$C$14:$C$40,C1009)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SUMIFS(RAB!$F$14:$F$40,RAB!$C$14:$C$40,C1010)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SUMIFS(RAB!$F$14:$F$40,RAB!$C$14:$C$40,C1011)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SUMIFS(RAB!$F$14:$F$40,RAB!$C$14:$C$40,C1012)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SUMIFS(RAB!$F$14:$F$40,RAB!$C$14:$C$40,C1013)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SUMIFS(RAB!$F$14:$F$40,RAB!$C$14:$C$40,C1014)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SUMIFS(RAB!$F$14:$F$40,RAB!$C$14:$C$40,C1015)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SUMIFS(RAB!$F$14:$F$40,RAB!$C$14:$C$40,C1016)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SUMIFS(RAB!$F$14:$F$40,RAB!$C$14:$C$40,C1017)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SUMIFS(RAB!$F$14:$F$40,RAB!$C$14:$C$40,C1018)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SUMIFS(RAB!$F$14:$F$40,RAB!$C$14:$C$40,C1019)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SUMIFS(RAB!$F$14:$F$40,RAB!$C$14:$C$40,C1020)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SUMIFS(RAB!$F$14:$F$40,RAB!$C$14:$C$40,C1021)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SUMIFS(RAB!$F$14:$F$40,RAB!$C$14:$C$40,C1022)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SUMIFS(RAB!$F$14:$F$40,RAB!$C$14:$C$40,C1023)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SUMIFS(RAB!$F$14:$F$40,RAB!$C$14:$C$40,C1024)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SUMIFS(RAB!$F$14:$F$40,RAB!$C$14:$C$40,C1025)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SUMIFS(RAB!$F$14:$F$40,RAB!$C$14:$C$40,C1026)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SUMIFS(RAB!$F$14:$F$40,RAB!$C$14:$C$40,C1027)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SUMIFS(RAB!$F$14:$F$40,RAB!$C$14:$C$40,C1028)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SUMIFS(RAB!$F$14:$F$40,RAB!$C$14:$C$40,C1029)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SUMIFS(RAB!$F$14:$F$40,RAB!$C$14:$C$40,C1030)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SUMIFS(RAB!$F$14:$F$40,RAB!$C$14:$C$40,C1031)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SUMIFS(RAB!$F$14:$F$40,RAB!$C$14:$C$40,C1032)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SUMIFS(RAB!$F$14:$F$40,RAB!$C$14:$C$40,C1033)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SUMIFS(RAB!$F$14:$F$40,RAB!$C$14:$C$40,C1034)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SUMIFS(RAB!$F$14:$F$40,RAB!$C$14:$C$40,C1035)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SUMIFS(RAB!$F$14:$F$40,RAB!$C$14:$C$40,C1036)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SUMIFS(RAB!$F$14:$F$40,RAB!$C$14:$C$40,C1037)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SUMIFS(RAB!$F$14:$F$40,RAB!$C$14:$C$40,C1038)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SUMIFS(RAB!$F$14:$F$40,RAB!$C$14:$C$40,C1039)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SUMIFS(RAB!$F$14:$F$40,RAB!$C$14:$C$40,C1040)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SUMIFS(RAB!$F$14:$F$40,RAB!$C$14:$C$40,C1041)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SUMIFS(RAB!$F$14:$F$40,RAB!$C$14:$C$40,C1042)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SUMIFS(RAB!$F$14:$F$40,RAB!$C$14:$C$40,C1043)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SUMIFS(RAB!$F$14:$F$40,RAB!$C$14:$C$40,C1044)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SUMIFS(RAB!$F$14:$F$40,RAB!$C$14:$C$40,C1045)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SUMIFS(RAB!$F$14:$F$40,RAB!$C$14:$C$40,C1046)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SUMIFS(RAB!$F$14:$F$40,RAB!$C$14:$C$40,C1047)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SUMIFS(RAB!$F$14:$F$40,RAB!$C$14:$C$40,C1048)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SUMIFS(RAB!$F$14:$F$40,RAB!$C$14:$C$40,C1049)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SUMIFS(RAB!$F$14:$F$40,RAB!$C$14:$C$40,C1050)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SUMIFS(RAB!$F$14:$F$40,RAB!$C$14:$C$40,C1051)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SUMIFS(RAB!$F$14:$F$40,RAB!$C$14:$C$40,C1052)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SUMIFS(RAB!$F$14:$F$40,RAB!$C$14:$C$40,C1053)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SUMIFS(RAB!$F$14:$F$40,RAB!$C$14:$C$40,C1054)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SUMIFS(RAB!$F$14:$F$40,RAB!$C$14:$C$40,C1055)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SUMIFS(RAB!$F$14:$F$40,RAB!$C$14:$C$40,C1056)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SUMIFS(RAB!$F$14:$F$40,RAB!$C$14:$C$40,C1057)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SUMIFS(RAB!$F$14:$F$40,RAB!$C$14:$C$40,C1058)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SUMIFS(RAB!$F$14:$F$40,RAB!$C$14:$C$40,C1059)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SUMIFS(RAB!$F$14:$F$40,RAB!$C$14:$C$40,C1060)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SUMIFS(RAB!$F$14:$F$40,RAB!$C$14:$C$40,C1061)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SUMIFS(RAB!$F$14:$F$40,RAB!$C$14:$C$40,C1062)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SUMIFS(RAB!$F$14:$F$40,RAB!$C$14:$C$40,C1063)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SUMIFS(RAB!$F$14:$F$40,RAB!$C$14:$C$40,C1064)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SUMIFS(RAB!$F$14:$F$40,RAB!$C$14:$C$40,C1065)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SUMIFS(RAB!$F$14:$F$40,RAB!$C$14:$C$40,C1066)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SUMIFS(RAB!$F$14:$F$40,RAB!$C$14:$C$40,C1067)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SUMIFS(RAB!$F$14:$F$40,RAB!$C$14:$C$40,C1068)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SUMIFS(RAB!$F$14:$F$40,RAB!$C$14:$C$40,C1069)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SUMIFS(RAB!$F$14:$F$40,RAB!$C$14:$C$40,C1070)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SUMIFS(RAB!$F$14:$F$40,RAB!$C$14:$C$40,C1071)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SUMIFS(RAB!$F$14:$F$40,RAB!$C$14:$C$40,C1072)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SUMIFS(RAB!$F$14:$F$40,RAB!$C$14:$C$40,C1073)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SUMIFS(RAB!$F$14:$F$40,RAB!$C$14:$C$40,C1074)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SUMIFS(RAB!$F$14:$F$40,RAB!$C$14:$C$40,C1075)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SUMIFS(RAB!$F$14:$F$40,RAB!$C$14:$C$40,C1076)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SUMIFS(RAB!$F$14:$F$40,RAB!$C$14:$C$40,C1077)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SUMIFS(RAB!$F$14:$F$40,RAB!$C$14:$C$40,C1078)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SUMIFS(RAB!$F$14:$F$40,RAB!$C$14:$C$40,C1079)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SUMIFS(RAB!$F$14:$F$40,RAB!$C$14:$C$40,C1080)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SUMIFS(RAB!$F$14:$F$40,RAB!$C$14:$C$40,C1081)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SUMIFS(RAB!$F$14:$F$40,RAB!$C$14:$C$40,C1082)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SUMIFS(RAB!$F$14:$F$40,RAB!$C$14:$C$40,C1083)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SUMIFS(RAB!$F$14:$F$40,RAB!$C$14:$C$40,C1084)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SUMIFS(RAB!$F$14:$F$40,RAB!$C$14:$C$40,C1085)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SUMIFS(RAB!$F$14:$F$40,RAB!$C$14:$C$40,C1086)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SUMIFS(RAB!$F$14:$F$40,RAB!$C$14:$C$40,C1087)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SUMIFS(RAB!$F$14:$F$40,RAB!$C$14:$C$40,C1088)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SUMIFS(RAB!$F$14:$F$40,RAB!$C$14:$C$40,C1089)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SUMIFS(RAB!$F$14:$F$40,RAB!$C$14:$C$40,C1090)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SUMIFS(RAB!$F$14:$F$40,RAB!$C$14:$C$40,C1091)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SUMIFS(RAB!$F$14:$F$40,RAB!$C$14:$C$40,C1092)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SUMIFS(RAB!$F$14:$F$40,RAB!$C$14:$C$40,C1093)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SUMIFS(RAB!$F$14:$F$40,RAB!$C$14:$C$40,C1094)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SUMIFS(RAB!$F$14:$F$40,RAB!$C$14:$C$40,C1095)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SUMIFS(RAB!$F$14:$F$40,RAB!$C$14:$C$40,C1096)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SUMIFS(RAB!$F$14:$F$40,RAB!$C$14:$C$40,C1097)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SUMIFS(RAB!$F$14:$F$40,RAB!$C$14:$C$40,C1098)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SUMIFS(RAB!$F$14:$F$40,RAB!$C$14:$C$40,C1099)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SUMIFS(RAB!$F$14:$F$40,RAB!$C$14:$C$40,C1100)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SUMIFS(RAB!$F$14:$F$40,RAB!$C$14:$C$40,C1101)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SUMIFS(RAB!$F$14:$F$40,RAB!$C$14:$C$40,C1102)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SUMIFS(RAB!$F$14:$F$40,RAB!$C$14:$C$40,C1103)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SUMIFS(RAB!$F$14:$F$40,RAB!$C$14:$C$40,C1104)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SUMIFS(RAB!$F$14:$F$40,RAB!$C$14:$C$40,C1105)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SUMIFS(RAB!$F$14:$F$40,RAB!$C$14:$C$40,C1106)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SUMIFS(RAB!$F$14:$F$40,RAB!$C$14:$C$40,C1107)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SUMIFS(RAB!$F$14:$F$40,RAB!$C$14:$C$40,C1108)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SUMIFS(RAB!$F$14:$F$40,RAB!$C$14:$C$40,C1109)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SUMIFS(RAB!$F$14:$F$40,RAB!$C$14:$C$40,C1110)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SUMIFS(RAB!$F$14:$F$40,RAB!$C$14:$C$40,C1111)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SUMIFS(RAB!$F$14:$F$40,RAB!$C$14:$C$40,C1112)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SUMIFS(RAB!$F$14:$F$40,RAB!$C$14:$C$40,C1113)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SUMIFS(RAB!$F$14:$F$40,RAB!$C$14:$C$40,C1114)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SUMIFS(RAB!$F$14:$F$40,RAB!$C$14:$C$40,C1115)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SUMIFS(RAB!$F$14:$F$40,RAB!$C$14:$C$40,C1116)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SUMIFS(RAB!$F$14:$F$40,RAB!$C$14:$C$40,C1117)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SUMIFS(RAB!$F$14:$F$40,RAB!$C$14:$C$40,C1118)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SUMIFS(RAB!$F$14:$F$40,RAB!$C$14:$C$40,C1119)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SUMIFS(RAB!$F$14:$F$40,RAB!$C$14:$C$40,C1120)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SUMIFS(RAB!$F$14:$F$40,RAB!$C$14:$C$40,C1121)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SUMIFS(RAB!$F$14:$F$40,RAB!$C$14:$C$40,C1122)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SUMIFS(RAB!$F$14:$F$40,RAB!$C$14:$C$40,C1123)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SUMIFS(RAB!$F$14:$F$40,RAB!$C$14:$C$40,C1124)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SUMIFS(RAB!$F$14:$F$40,RAB!$C$14:$C$40,C1125)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SUMIFS(RAB!$F$14:$F$40,RAB!$C$14:$C$40,C1126)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SUMIFS(RAB!$F$14:$F$40,RAB!$C$14:$C$40,C1127)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SUMIFS(RAB!$F$14:$F$40,RAB!$C$14:$C$40,C1128)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SUMIFS(RAB!$F$14:$F$40,RAB!$C$14:$C$40,C1129)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SUMIFS(RAB!$F$14:$F$40,RAB!$C$14:$C$40,C1130)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SUMIFS(RAB!$F$14:$F$40,RAB!$C$14:$C$40,C1131)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SUMIFS(RAB!$F$14:$F$40,RAB!$C$14:$C$40,C1132)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SUMIFS(RAB!$F$14:$F$40,RAB!$C$14:$C$40,C1133)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SUMIFS(RAB!$F$14:$F$40,RAB!$C$14:$C$40,C1134)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SUMIFS(RAB!$F$14:$F$40,RAB!$C$14:$C$40,C1135)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SUMIFS(RAB!$F$14:$F$40,RAB!$C$14:$C$40,C1136)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SUMIFS(RAB!$F$14:$F$40,RAB!$C$14:$C$40,C1137)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SUMIFS(RAB!$F$14:$F$40,RAB!$C$14:$C$40,C1138)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SUMIFS(RAB!$F$14:$F$40,RAB!$C$14:$C$40,C1139)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SUMIFS(RAB!$F$14:$F$40,RAB!$C$14:$C$40,C1140)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SUMIFS(RAB!$F$14:$F$40,RAB!$C$14:$C$40,C1141)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SUMIFS(RAB!$F$14:$F$40,RAB!$C$14:$C$40,C1142)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SUMIFS(RAB!$F$14:$F$40,RAB!$C$14:$C$40,C1143)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SUMIFS(RAB!$F$14:$F$40,RAB!$C$14:$C$40,C1144)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SUMIFS(RAB!$F$14:$F$40,RAB!$C$14:$C$40,C1145)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SUMIFS(RAB!$F$14:$F$40,RAB!$C$14:$C$40,C1146)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SUMIFS(RAB!$F$14:$F$40,RAB!$C$14:$C$40,C1147)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SUMIFS(RAB!$F$14:$F$40,RAB!$C$14:$C$40,C1148)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SUMIFS(RAB!$F$14:$F$40,RAB!$C$14:$C$40,C1149)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SUMIFS(RAB!$F$14:$F$40,RAB!$C$14:$C$40,C1150)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SUMIFS(RAB!$F$14:$F$40,RAB!$C$14:$C$40,C1151)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SUMIFS(RAB!$F$14:$F$40,RAB!$C$14:$C$40,C1152)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SUMIFS(RAB!$F$14:$F$40,RAB!$C$14:$C$40,C1153)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SUMIFS(RAB!$F$14:$F$40,RAB!$C$14:$C$40,C1154)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SUMIFS(RAB!$F$14:$F$40,RAB!$C$14:$C$40,C1155)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SUMIFS(RAB!$F$14:$F$40,RAB!$C$14:$C$40,C1156)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SUMIFS(RAB!$F$14:$F$40,RAB!$C$14:$C$40,C1157)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SUMIFS(RAB!$F$14:$F$40,RAB!$C$14:$C$40,C1158)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SUMIFS(RAB!$F$14:$F$40,RAB!$C$14:$C$40,C1159)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SUMIFS(RAB!$F$14:$F$40,RAB!$C$14:$C$40,C1160)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SUMIFS(RAB!$F$14:$F$40,RAB!$C$14:$C$40,C1161)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SUMIFS(RAB!$F$14:$F$40,RAB!$C$14:$C$40,C1162)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SUMIFS(RAB!$F$14:$F$40,RAB!$C$14:$C$40,C1163)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SUMIFS(RAB!$F$14:$F$40,RAB!$C$14:$C$40,C1164)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SUMIFS(RAB!$F$14:$F$40,RAB!$C$14:$C$40,C1165)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SUMIFS(RAB!$F$14:$F$40,RAB!$C$14:$C$40,C1166)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SUMIFS(RAB!$F$14:$F$40,RAB!$C$14:$C$40,C1167)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SUMIFS(RAB!$F$14:$F$40,RAB!$C$14:$C$40,C1168)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SUMIFS(RAB!$F$14:$F$40,RAB!$C$14:$C$40,C1169)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SUMIFS(RAB!$F$14:$F$40,RAB!$C$14:$C$40,C1170)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SUMIFS(RAB!$F$14:$F$40,RAB!$C$14:$C$40,C1171)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SUMIFS(RAB!$F$14:$F$40,RAB!$C$14:$C$40,C1172)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SUMIFS(RAB!$F$14:$F$40,RAB!$C$14:$C$40,C1173)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SUMIFS(RAB!$F$14:$F$40,RAB!$C$14:$C$40,C1174)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SUMIFS(RAB!$F$14:$F$40,RAB!$C$14:$C$40,C1175)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SUMIFS(RAB!$F$14:$F$40,RAB!$C$14:$C$40,C1176)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SUMIFS(RAB!$F$14:$F$40,RAB!$C$14:$C$40,C1177)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SUMIFS(RAB!$F$14:$F$40,RAB!$C$14:$C$40,C1178)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SUMIFS(RAB!$F$14:$F$40,RAB!$C$14:$C$40,C1179)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SUMIFS(RAB!$F$14:$F$40,RAB!$C$14:$C$40,C1180)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SUMIFS(RAB!$F$14:$F$40,RAB!$C$14:$C$40,C1181)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SUMIFS(RAB!$F$14:$F$40,RAB!$C$14:$C$40,C1182)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SUMIFS(RAB!$F$14:$F$40,RAB!$C$14:$C$40,C1183)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SUMIFS(RAB!$F$14:$F$40,RAB!$C$14:$C$40,C1184)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SUMIFS(RAB!$F$14:$F$40,RAB!$C$14:$C$40,C1185)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SUMIFS(RAB!$F$14:$F$40,RAB!$C$14:$C$40,C1186)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SUMIFS(RAB!$F$14:$F$40,RAB!$C$14:$C$40,C1187)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SUMIFS(RAB!$F$14:$F$40,RAB!$C$14:$C$40,C1188)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SUMIFS(RAB!$F$14:$F$40,RAB!$C$14:$C$40,C1189)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SUMIFS(RAB!$F$14:$F$40,RAB!$C$14:$C$40,C1190)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SUMIFS(RAB!$F$14:$F$40,RAB!$C$14:$C$40,C1191)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SUMIFS(RAB!$F$14:$F$40,RAB!$C$14:$C$40,C1192)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SUMIFS(RAB!$F$14:$F$40,RAB!$C$14:$C$40,C1193)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SUMIFS(RAB!$F$14:$F$40,RAB!$C$14:$C$40,C1194)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SUMIFS(RAB!$F$14:$F$40,RAB!$C$14:$C$40,C1195)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SUMIFS(RAB!$F$14:$F$40,RAB!$C$14:$C$40,C1196)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SUMIFS(RAB!$F$14:$F$40,RAB!$C$14:$C$40,C1197)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SUMIFS(RAB!$F$14:$F$40,RAB!$C$14:$C$40,C1198)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SUMIFS(RAB!$F$14:$F$40,RAB!$C$14:$C$40,C1199)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SUMIFS(RAB!$F$14:$F$40,RAB!$C$14:$C$40,C1200)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SUMIFS(RAB!$F$14:$F$40,RAB!$C$14:$C$40,C1201)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SUMIFS(RAB!$F$14:$F$40,RAB!$C$14:$C$40,C1202)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SUMIFS(RAB!$F$14:$F$40,RAB!$C$14:$C$40,C1203)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SUMIFS(RAB!$F$14:$F$40,RAB!$C$14:$C$40,C1204)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SUMIFS(RAB!$F$14:$F$40,RAB!$C$14:$C$40,C1205)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SUMIFS(RAB!$F$14:$F$40,RAB!$C$14:$C$40,C1206)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SUMIFS(RAB!$F$14:$F$40,RAB!$C$14:$C$40,C1207)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SUMIFS(RAB!$F$14:$F$40,RAB!$C$14:$C$40,C1208)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SUMIFS(RAB!$F$14:$F$40,RAB!$C$14:$C$40,C1209)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SUMIFS(RAB!$F$14:$F$40,RAB!$C$14:$C$40,C1210)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SUMIFS(RAB!$F$14:$F$40,RAB!$C$14:$C$40,C1211)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SUMIFS(RAB!$F$14:$F$40,RAB!$C$14:$C$40,C1212)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SUMIFS(RAB!$F$14:$F$40,RAB!$C$14:$C$40,C1213)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SUMIFS(RAB!$F$14:$F$40,RAB!$C$14:$C$40,C1214)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SUMIFS(RAB!$F$14:$F$40,RAB!$C$14:$C$40,C1215)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SUMIFS(RAB!$F$14:$F$40,RAB!$C$14:$C$40,C1216)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SUMIFS(RAB!$F$14:$F$40,RAB!$C$14:$C$40,C1217)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SUMIFS(RAB!$F$14:$F$40,RAB!$C$14:$C$40,C1218)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SUMIFS(RAB!$F$14:$F$40,RAB!$C$14:$C$40,C1219)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SUMIFS(RAB!$F$14:$F$40,RAB!$C$14:$C$40,C1220)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SUMIFS(RAB!$F$14:$F$40,RAB!$C$14:$C$40,C1221)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SUMIFS(RAB!$F$14:$F$40,RAB!$C$14:$C$40,C1222)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SUMIFS(RAB!$F$14:$F$40,RAB!$C$14:$C$40,C1223)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SUMIFS(RAB!$F$14:$F$40,RAB!$C$14:$C$40,C1224)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SUMIFS(RAB!$F$14:$F$40,RAB!$C$14:$C$40,C1225)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SUMIFS(RAB!$F$14:$F$40,RAB!$C$14:$C$40,C1226)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SUMIFS(RAB!$F$14:$F$40,RAB!$C$14:$C$40,C1227)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SUMIFS(RAB!$F$14:$F$40,RAB!$C$14:$C$40,C1228)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SUMIFS(RAB!$F$14:$F$40,RAB!$C$14:$C$40,C1229)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SUMIFS(RAB!$F$14:$F$40,RAB!$C$14:$C$40,C1230)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SUMIFS(RAB!$F$14:$F$40,RAB!$C$14:$C$40,C1231)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SUMIFS(RAB!$F$14:$F$40,RAB!$C$14:$C$40,C1232)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SUMIFS(RAB!$F$14:$F$40,RAB!$C$14:$C$40,C1233)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SUMIFS(RAB!$F$14:$F$40,RAB!$C$14:$C$40,C1234)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SUMIFS(RAB!$F$14:$F$40,RAB!$C$14:$C$40,C1235)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SUMIFS(RAB!$F$14:$F$40,RAB!$C$14:$C$40,C1236)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SUMIFS(RAB!$F$14:$F$40,RAB!$C$14:$C$40,C1237)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SUMIFS(RAB!$F$14:$F$40,RAB!$C$14:$C$40,C1238)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SUMIFS(RAB!$F$14:$F$40,RAB!$C$14:$C$40,C1239)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SUMIFS(RAB!$F$14:$F$40,RAB!$C$14:$C$40,C1240)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SUMIFS(RAB!$F$14:$F$40,RAB!$C$14:$C$40,C1241)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SUMIFS(RAB!$F$14:$F$40,RAB!$C$14:$C$40,C1242)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SUMIFS(RAB!$F$14:$F$40,RAB!$C$14:$C$40,C1243)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SUMIFS(RAB!$F$14:$F$40,RAB!$C$14:$C$40,C1244)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SUMIFS(RAB!$F$14:$F$40,RAB!$C$14:$C$40,C1245)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SUMIFS(RAB!$F$14:$F$40,RAB!$C$14:$C$40,C1246)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SUMIFS(RAB!$F$14:$F$40,RAB!$C$14:$C$40,C1247)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SUMIFS(RAB!$F$14:$F$40,RAB!$C$14:$C$40,C1248)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SUMIFS(RAB!$F$14:$F$40,RAB!$C$14:$C$40,C1249)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SUMIFS(RAB!$F$14:$F$40,RAB!$C$14:$C$40,C1250)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SUMIFS(RAB!$F$14:$F$40,RAB!$C$14:$C$40,C1251)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SUMIFS(RAB!$F$14:$F$40,RAB!$C$14:$C$40,C1252)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SUMIFS(RAB!$F$14:$F$40,RAB!$C$14:$C$40,C1253)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SUMIFS(RAB!$F$14:$F$40,RAB!$C$14:$C$40,C1254)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SUMIFS(RAB!$F$14:$F$40,RAB!$C$14:$C$40,C1255)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SUMIFS(RAB!$F$14:$F$40,RAB!$C$14:$C$40,C1256)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SUMIFS(RAB!$F$14:$F$40,RAB!$C$14:$C$40,C1257)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SUMIFS(RAB!$F$14:$F$40,RAB!$C$14:$C$40,C1258)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SUMIFS(RAB!$F$14:$F$40,RAB!$C$14:$C$40,C1259)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SUMIFS(RAB!$F$14:$F$40,RAB!$C$14:$C$40,C1260)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SUMIFS(RAB!$F$14:$F$40,RAB!$C$14:$C$40,C1261)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SUMIFS(RAB!$F$14:$F$40,RAB!$C$14:$C$40,C1262)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SUMIFS(RAB!$F$14:$F$40,RAB!$C$14:$C$40,C1263)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SUMIFS(RAB!$F$14:$F$40,RAB!$C$14:$C$40,C1264)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SUMIFS(RAB!$F$14:$F$40,RAB!$C$14:$C$40,C1265)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SUMIFS(RAB!$F$14:$F$40,RAB!$C$14:$C$40,C1266)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SUMIFS(RAB!$F$14:$F$40,RAB!$C$14:$C$40,C1267)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SUMIFS(RAB!$F$14:$F$40,RAB!$C$14:$C$40,C1268)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SUMIFS(RAB!$F$14:$F$40,RAB!$C$14:$C$40,C1269)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SUMIFS(RAB!$F$14:$F$40,RAB!$C$14:$C$40,C1270)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SUMIFS(RAB!$F$14:$F$40,RAB!$C$14:$C$40,C1271)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SUMIFS(RAB!$F$14:$F$40,RAB!$C$14:$C$40,C1272)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SUMIFS(RAB!$F$14:$F$40,RAB!$C$14:$C$40,C1273)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SUMIFS(RAB!$F$14:$F$40,RAB!$C$14:$C$40,C1274)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SUMIFS(RAB!$F$14:$F$40,RAB!$C$14:$C$40,C1275)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SUMIFS(RAB!$F$14:$F$40,RAB!$C$14:$C$40,C1276)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SUMIFS(RAB!$F$14:$F$40,RAB!$C$14:$C$40,C1277)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SUMIFS(RAB!$F$14:$F$40,RAB!$C$14:$C$40,C1278)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SUMIFS(RAB!$F$14:$F$40,RAB!$C$14:$C$40,C1279)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SUMIFS(RAB!$F$14:$F$40,RAB!$C$14:$C$40,C1280)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SUMIFS(RAB!$F$14:$F$40,RAB!$C$14:$C$40,C1281)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SUMIFS(RAB!$F$14:$F$40,RAB!$C$14:$C$40,C1282)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SUMIFS(RAB!$F$14:$F$40,RAB!$C$14:$C$40,C1283)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SUMIFS(RAB!$F$14:$F$40,RAB!$C$14:$C$40,C1284)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SUMIFS(RAB!$F$14:$F$40,RAB!$C$14:$C$40,C1285)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SUMIFS(RAB!$F$14:$F$40,RAB!$C$14:$C$40,C1286)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SUMIFS(RAB!$F$14:$F$40,RAB!$C$14:$C$40,C1287)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SUMIFS(RAB!$F$14:$F$40,RAB!$C$14:$C$40,C1288)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SUMIFS(RAB!$F$14:$F$40,RAB!$C$14:$C$40,C1289)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SUMIFS(RAB!$F$14:$F$40,RAB!$C$14:$C$40,C1290)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SUMIFS(RAB!$F$14:$F$40,RAB!$C$14:$C$40,C1291)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SUMIFS(RAB!$F$14:$F$40,RAB!$C$14:$C$40,C1292)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SUMIFS(RAB!$F$14:$F$40,RAB!$C$14:$C$40,C1293)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SUMIFS(RAB!$F$14:$F$40,RAB!$C$14:$C$40,C1294)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SUMIFS(RAB!$F$14:$F$40,RAB!$C$14:$C$40,C1295)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SUMIFS(RAB!$F$14:$F$40,RAB!$C$14:$C$40,C1296)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SUMIFS(RAB!$F$14:$F$40,RAB!$C$14:$C$40,C1297)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SUMIFS(RAB!$F$14:$F$40,RAB!$C$14:$C$40,C1298)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SUMIFS(RAB!$F$14:$F$40,RAB!$C$14:$C$40,C1299)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SUMIFS(RAB!$F$14:$F$40,RAB!$C$14:$C$40,C1300)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SUMIFS(RAB!$F$14:$F$40,RAB!$C$14:$C$40,C1301)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SUMIFS(RAB!$F$14:$F$40,RAB!$C$14:$C$40,C1302)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SUMIFS(RAB!$F$14:$F$40,RAB!$C$14:$C$40,C1303)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SUMIFS(RAB!$F$14:$F$40,RAB!$C$14:$C$40,C1304)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SUMIFS(RAB!$F$14:$F$40,RAB!$C$14:$C$40,C1305)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SUMIFS(RAB!$F$14:$F$40,RAB!$C$14:$C$40,C1306)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SUMIFS(RAB!$F$14:$F$40,RAB!$C$14:$C$40,C1307)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SUMIFS(RAB!$F$14:$F$40,RAB!$C$14:$C$40,C1308)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SUMIFS(RAB!$F$14:$F$40,RAB!$C$14:$C$40,C1309)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SUMIFS(RAB!$F$14:$F$40,RAB!$C$14:$C$40,C1310)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SUMIFS(RAB!$F$14:$F$40,RAB!$C$14:$C$40,C1311)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SUMIFS(RAB!$F$14:$F$40,RAB!$C$14:$C$40,C1312)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SUMIFS(RAB!$F$14:$F$40,RAB!$C$14:$C$40,C1313)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SUMIFS(RAB!$F$14:$F$40,RAB!$C$14:$C$40,C1314)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SUMIFS(RAB!$F$14:$F$40,RAB!$C$14:$C$40,C1315)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SUMIFS(RAB!$F$14:$F$40,RAB!$C$14:$C$40,C1316)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SUMIFS(RAB!$F$14:$F$40,RAB!$C$14:$C$40,C1317)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SUMIFS(RAB!$F$14:$F$40,RAB!$C$14:$C$40,C1318)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SUMIFS(RAB!$F$14:$F$40,RAB!$C$14:$C$40,C1319)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SUMIFS(RAB!$F$14:$F$40,RAB!$C$14:$C$40,C1320)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5" t="s">
        <v>1127</v>
      </c>
      <c r="C4" s="535"/>
      <c r="D4" s="535"/>
      <c r="E4" s="535"/>
      <c r="F4" s="535"/>
      <c r="G4" s="535"/>
      <c r="H4" s="535"/>
      <c r="I4" s="535"/>
      <c r="J4" s="535"/>
      <c r="K4" s="53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8" t="str">
        <f>RAB!G6</f>
        <v>BAWASLU</v>
      </c>
      <c r="H6" s="528"/>
      <c r="I6" s="528"/>
      <c r="J6" s="528"/>
      <c r="K6" s="52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SULTAN FATAH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6" t="s">
        <v>0</v>
      </c>
      <c r="C11" s="538" t="s">
        <v>1</v>
      </c>
      <c r="D11" s="541" t="s">
        <v>42</v>
      </c>
      <c r="E11" s="541" t="s">
        <v>43</v>
      </c>
      <c r="F11" s="541" t="s">
        <v>2</v>
      </c>
      <c r="G11" s="542" t="s">
        <v>41</v>
      </c>
      <c r="H11" s="541" t="s">
        <v>3</v>
      </c>
      <c r="I11" s="541"/>
      <c r="J11" s="541"/>
      <c r="K11" s="545"/>
      <c r="M11" s="33"/>
      <c r="N11" s="33"/>
      <c r="O11" s="33"/>
      <c r="P11" s="33"/>
      <c r="R11" s="34"/>
      <c r="S11" s="74"/>
      <c r="T11" s="74"/>
    </row>
    <row r="12" spans="1:21" ht="15" customHeight="1">
      <c r="B12" s="537"/>
      <c r="C12" s="539"/>
      <c r="D12" s="531"/>
      <c r="E12" s="531"/>
      <c r="F12" s="531"/>
      <c r="G12" s="543"/>
      <c r="H12" s="533" t="s">
        <v>46</v>
      </c>
      <c r="I12" s="533" t="s">
        <v>5</v>
      </c>
      <c r="J12" s="531" t="s">
        <v>47</v>
      </c>
      <c r="K12" s="53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7"/>
      <c r="C13" s="540"/>
      <c r="D13" s="531"/>
      <c r="E13" s="531"/>
      <c r="F13" s="531"/>
      <c r="G13" s="544"/>
      <c r="H13" s="534"/>
      <c r="I13" s="534"/>
      <c r="J13" s="531"/>
      <c r="K13" s="53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29" t="s">
        <v>1008</v>
      </c>
      <c r="D38" s="529"/>
      <c r="E38" s="529"/>
      <c r="F38" s="529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30" t="s">
        <v>462</v>
      </c>
      <c r="D39" s="530"/>
      <c r="E39" s="530"/>
      <c r="F39" s="530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19" t="s">
        <v>463</v>
      </c>
      <c r="D40" s="519"/>
      <c r="E40" s="519"/>
      <c r="F40" s="519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22" t="e">
        <f ca="1">"Terbilang : ( "&amp;L42&amp;" Rupiah )"</f>
        <v>#NAME?</v>
      </c>
      <c r="C41" s="523"/>
      <c r="D41" s="523"/>
      <c r="E41" s="523"/>
      <c r="F41" s="523"/>
      <c r="G41" s="523"/>
      <c r="H41" s="523"/>
      <c r="I41" s="523"/>
      <c r="J41" s="523"/>
      <c r="K41" s="524"/>
      <c r="L41" s="44"/>
      <c r="R41" s="58"/>
      <c r="S41" s="58"/>
      <c r="T41" s="58"/>
    </row>
    <row r="42" spans="1:20" s="36" customFormat="1">
      <c r="A42" s="30"/>
      <c r="B42" s="525"/>
      <c r="C42" s="526"/>
      <c r="D42" s="526"/>
      <c r="E42" s="526"/>
      <c r="F42" s="526"/>
      <c r="G42" s="526"/>
      <c r="H42" s="526"/>
      <c r="I42" s="526"/>
      <c r="J42" s="526"/>
      <c r="K42" s="527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0"/>
      <c r="I45" s="520"/>
      <c r="J45" s="521"/>
      <c r="K45" s="52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0"/>
      <c r="I46" s="520"/>
      <c r="J46" s="521"/>
      <c r="K46" s="52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0"/>
      <c r="I47" s="520"/>
      <c r="J47" s="521"/>
      <c r="K47" s="52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0"/>
      <c r="I52" s="520"/>
      <c r="J52" s="521"/>
      <c r="K52" s="52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SUMIFS(RAB!$F$14:$F$40,RAB!$C$14:$C$40,'REKAP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SUMIFS(RAB!$F$14:$F$40,RAB!$C$14:$C$40,'REKAP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SUMIFS(RAB!$F$14:$F$40,RAB!$C$14:$C$40,'REKAP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SUMIFS(RAB!$F$14:$F$40,RAB!$C$14:$C$40,'REKAP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SUMIFS(RAB!$F$14:$F$40,RAB!$C$14:$C$40,'REKAP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SUMIFS(RAB!$F$14:$F$40,RAB!$C$14:$C$40,'REKAP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SUMIFS(RAB!$F$14:$F$40,RAB!$C$14:$C$40,'REKAP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SUMIFS(RAB!$F$14:$F$40,RAB!$C$14:$C$40,'REKAP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SUMIFS(RAB!$F$14:$F$40,RAB!$C$14:$C$40,'REKAP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SUMIFS(RAB!$F$14:$F$40,RAB!$C$14:$C$40,'REKAP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SUMIFS(RAB!$F$14:$F$40,RAB!$C$14:$C$40,'REKAP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SUMIFS(RAB!$F$14:$F$40,RAB!$C$14:$C$40,'REKAP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SUMIFS(RAB!$F$14:$F$40,RAB!$C$14:$C$40,'REKAP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SUMIFS(RAB!$F$14:$F$40,RAB!$C$14:$C$40,'REKAP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SUMIFS(RAB!$F$14:$F$40,RAB!$C$14:$C$40,'REKAP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SUMIFS(RAB!$F$14:$F$40,RAB!$C$14:$C$40,'REKAP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SUMIFS(RAB!$F$14:$F$40,RAB!$C$14:$C$40,'REKAP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SUMIFS(RAB!$F$14:$F$40,RAB!$C$14:$C$40,'REKAP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SUMIFS(RAB!$F$14:$F$40,RAB!$C$14:$C$40,'REKAP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SUMIFS(RAB!$F$14:$F$40,RAB!$C$14:$C$40,'REKAP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5" t="s">
        <v>1034</v>
      </c>
      <c r="C4" s="535"/>
      <c r="D4" s="535"/>
      <c r="E4" s="535"/>
      <c r="F4" s="535"/>
      <c r="G4" s="535"/>
      <c r="H4" s="535"/>
      <c r="I4" s="535"/>
      <c r="J4" s="535"/>
      <c r="K4" s="53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8" t="str">
        <f>RAB!G6</f>
        <v>BAWASLU</v>
      </c>
      <c r="H6" s="528"/>
      <c r="I6" s="528"/>
      <c r="J6" s="528"/>
      <c r="K6" s="52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SULTAN FATAH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6" t="s">
        <v>0</v>
      </c>
      <c r="C11" s="538" t="s">
        <v>1</v>
      </c>
      <c r="D11" s="541" t="s">
        <v>42</v>
      </c>
      <c r="E11" s="541" t="s">
        <v>43</v>
      </c>
      <c r="F11" s="541" t="s">
        <v>2</v>
      </c>
      <c r="G11" s="542" t="s">
        <v>41</v>
      </c>
      <c r="H11" s="541" t="s">
        <v>3</v>
      </c>
      <c r="I11" s="541"/>
      <c r="J11" s="541"/>
      <c r="K11" s="545"/>
      <c r="M11" s="33"/>
      <c r="N11" s="33"/>
      <c r="O11" s="33"/>
      <c r="P11" s="33"/>
      <c r="R11" s="34"/>
      <c r="S11" s="74"/>
      <c r="T11" s="74"/>
    </row>
    <row r="12" spans="1:21" ht="15" customHeight="1">
      <c r="B12" s="537"/>
      <c r="C12" s="539"/>
      <c r="D12" s="531"/>
      <c r="E12" s="531"/>
      <c r="F12" s="531"/>
      <c r="G12" s="543"/>
      <c r="H12" s="533" t="s">
        <v>46</v>
      </c>
      <c r="I12" s="533" t="s">
        <v>5</v>
      </c>
      <c r="J12" s="531" t="s">
        <v>47</v>
      </c>
      <c r="K12" s="53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7"/>
      <c r="C13" s="540"/>
      <c r="D13" s="531"/>
      <c r="E13" s="531"/>
      <c r="F13" s="531"/>
      <c r="G13" s="544"/>
      <c r="H13" s="534"/>
      <c r="I13" s="534"/>
      <c r="J13" s="531"/>
      <c r="K13" s="53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16.5 kVA MCCB 25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 4 x 16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35</v>
      </c>
      <c r="G18" s="41">
        <f ca="1">IF(ISERROR(OFFSET('HARGA SATUAN'!$I$6,MATCH(C18,'HARGA SATUAN'!$C$7:$C$1492,0),0)),"",OFFSET('HARGA SATUAN'!$I$6,MATCH(C18,'HARGA SATUAN'!$C$7:$C$1492,0),0))</f>
        <v>13500</v>
      </c>
      <c r="H18" s="42">
        <f t="shared" ca="1" si="1"/>
        <v>472500</v>
      </c>
      <c r="I18" s="42">
        <f t="shared" ca="1" si="2"/>
        <v>0</v>
      </c>
      <c r="J18" s="42">
        <f t="shared" ca="1" si="3"/>
        <v>0</v>
      </c>
      <c r="K18" s="43">
        <f t="shared" ca="1" si="0"/>
        <v>472500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29" t="s">
        <v>1008</v>
      </c>
      <c r="D168" s="529"/>
      <c r="E168" s="529"/>
      <c r="F168" s="529"/>
      <c r="G168" s="77" t="s">
        <v>9</v>
      </c>
      <c r="H168" s="55">
        <f ca="1">SUM(H14:H167)</f>
        <v>5464800</v>
      </c>
      <c r="I168" s="55">
        <f ca="1">SUM(I14:I167)</f>
        <v>0</v>
      </c>
      <c r="J168" s="55">
        <f ca="1">SUM(J14:J167)</f>
        <v>0</v>
      </c>
      <c r="K168" s="55">
        <f ca="1">SUM(K14:K167)</f>
        <v>5464800</v>
      </c>
      <c r="L168" s="44"/>
      <c r="R168" s="99"/>
      <c r="S168" s="99"/>
      <c r="T168" s="99"/>
    </row>
    <row r="169" spans="1:20" s="36" customFormat="1">
      <c r="A169" s="30"/>
      <c r="B169" s="56"/>
      <c r="C169" s="530" t="s">
        <v>462</v>
      </c>
      <c r="D169" s="530"/>
      <c r="E169" s="530"/>
      <c r="F169" s="530"/>
      <c r="G169" s="59" t="s">
        <v>9</v>
      </c>
      <c r="H169" s="60">
        <f ca="1">H168*0.1</f>
        <v>546480</v>
      </c>
      <c r="I169" s="60">
        <f ca="1">I168*0.1</f>
        <v>0</v>
      </c>
      <c r="J169" s="60">
        <f ca="1">J168*0.1</f>
        <v>0</v>
      </c>
      <c r="K169" s="60">
        <f ca="1">K168*0.1</f>
        <v>546480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19" t="s">
        <v>463</v>
      </c>
      <c r="D170" s="519"/>
      <c r="E170" s="519"/>
      <c r="F170" s="519"/>
      <c r="G170" s="61" t="s">
        <v>9</v>
      </c>
      <c r="H170" s="78">
        <f ca="1">SUM(H168:H169)</f>
        <v>6011280</v>
      </c>
      <c r="I170" s="78">
        <f ca="1">SUM(I168:I169)</f>
        <v>0</v>
      </c>
      <c r="J170" s="61">
        <f ca="1">SUM(J168:J169)</f>
        <v>0</v>
      </c>
      <c r="K170" s="61">
        <f ca="1">SUM(K168:K169)</f>
        <v>6011280</v>
      </c>
      <c r="L170" s="44"/>
      <c r="R170" s="99"/>
      <c r="S170" s="99"/>
      <c r="T170" s="99"/>
    </row>
    <row r="171" spans="1:20" s="36" customFormat="1">
      <c r="A171" s="30"/>
      <c r="B171" s="522" t="e">
        <f ca="1">"Terbilang : ( "&amp;L172&amp;" Rupiah )"</f>
        <v>#NAME?</v>
      </c>
      <c r="C171" s="523"/>
      <c r="D171" s="523"/>
      <c r="E171" s="523"/>
      <c r="F171" s="523"/>
      <c r="G171" s="523"/>
      <c r="H171" s="523"/>
      <c r="I171" s="523"/>
      <c r="J171" s="523"/>
      <c r="K171" s="524"/>
      <c r="L171" s="44"/>
      <c r="R171" s="58"/>
      <c r="S171" s="58"/>
      <c r="T171" s="58"/>
    </row>
    <row r="172" spans="1:20" s="36" customFormat="1">
      <c r="A172" s="30"/>
      <c r="B172" s="525"/>
      <c r="C172" s="526"/>
      <c r="D172" s="526"/>
      <c r="E172" s="526"/>
      <c r="F172" s="526"/>
      <c r="G172" s="526"/>
      <c r="H172" s="526"/>
      <c r="I172" s="526"/>
      <c r="J172" s="526"/>
      <c r="K172" s="527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0"/>
      <c r="I175" s="520"/>
      <c r="J175" s="521"/>
      <c r="K175" s="52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0"/>
      <c r="I176" s="520"/>
      <c r="J176" s="521"/>
      <c r="K176" s="52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0"/>
      <c r="I177" s="520"/>
      <c r="J177" s="521"/>
      <c r="K177" s="52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0"/>
      <c r="I182" s="520"/>
      <c r="J182" s="521"/>
      <c r="K182" s="52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SUMIFS(RAB!$F$14:$F$40,RAB!$C$14:$C$40,C224)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SUMIFS(RAB!$F$14:$F$40,RAB!$C$14:$C$40,C225)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SUMIFS(RAB!$F$14:$F$40,RAB!$C$14:$C$40,C226)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SUMIFS(RAB!$F$14:$F$40,RAB!$C$14:$C$40,C227)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SUMIFS(RAB!$F$14:$F$40,RAB!$C$14:$C$40,C228)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SUMIFS(RAB!$F$14:$F$40,RAB!$C$14:$C$40,C229)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SUMIFS(RAB!$F$14:$F$40,RAB!$C$14:$C$40,C230)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SUMIFS(RAB!$F$14:$F$40,RAB!$C$14:$C$40,C231)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SUMIFS(RAB!$F$14:$F$40,RAB!$C$14:$C$40,C232)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SUMIFS(RAB!$F$14:$F$40,RAB!$C$14:$C$40,C233)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SUMIFS(RAB!$F$14:$F$40,RAB!$C$14:$C$40,C234)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SUMIFS(RAB!$F$14:$F$40,RAB!$C$14:$C$40,C235)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SUMIFS(RAB!$F$14:$F$40,RAB!$C$14:$C$40,C236)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SUMIFS(RAB!$F$14:$F$40,RAB!$C$14:$C$40,C237)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SUMIFS(RAB!$F$14:$F$40,RAB!$C$14:$C$40,C238)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SUMIFS(RAB!$F$14:$F$40,RAB!$C$14:$C$40,C239)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SUMIFS(RAB!$F$14:$F$40,RAB!$C$14:$C$40,C240)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SUMIFS(RAB!$F$14:$F$40,RAB!$C$14:$C$40,C241)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SUMIFS(RAB!$F$14:$F$40,RAB!$C$14:$C$40,C242)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SUMIFS(RAB!$F$14:$F$40,RAB!$C$14:$C$40,C243)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SUMIFS(RAB!$F$14:$F$40,RAB!$C$14:$C$40,C244)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SUMIFS(RAB!$F$14:$F$40,RAB!$C$14:$C$40,C245)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SUMIFS(RAB!$F$14:$F$40,RAB!$C$14:$C$40,C246)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SUMIFS(RAB!$F$14:$F$40,RAB!$C$14:$C$40,C247)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SUMIFS(RAB!$F$14:$F$40,RAB!$C$14:$C$40,C248)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SUMIFS(RAB!$F$14:$F$40,RAB!$C$14:$C$40,C249)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SUMIFS(RAB!$F$14:$F$40,RAB!$C$14:$C$40,C250)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SUMIFS(RAB!$F$14:$F$40,RAB!$C$14:$C$40,C251)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SUMIFS(RAB!$F$14:$F$40,RAB!$C$14:$C$40,C252)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SUMIFS(RAB!$F$14:$F$40,RAB!$C$14:$C$40,C253)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SUMIFS(RAB!$F$14:$F$40,RAB!$C$14:$C$40,C254)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SUMIFS(RAB!$F$14:$F$40,RAB!$C$14:$C$40,C255)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SUMIFS(RAB!$F$14:$F$40,RAB!$C$14:$C$40,C256)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SUMIFS(RAB!$F$14:$F$40,RAB!$C$14:$C$40,C257)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SUMIFS(RAB!$F$14:$F$40,RAB!$C$14:$C$40,C258)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SUMIFS(RAB!$F$14:$F$40,RAB!$C$14:$C$40,C259)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SUMIFS(RAB!$F$14:$F$40,RAB!$C$14:$C$40,C260)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SUMIFS(RAB!$F$14:$F$40,RAB!$C$14:$C$40,C261)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SUMIFS(RAB!$F$14:$F$40,RAB!$C$14:$C$40,C262)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SUMIFS(RAB!$F$14:$F$40,RAB!$C$14:$C$40,C263)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SUMIFS(RAB!$F$14:$F$40,RAB!$C$14:$C$40,C264)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SUMIFS(RAB!$F$14:$F$40,RAB!$C$14:$C$40,C265)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SUMIFS(RAB!$F$14:$F$40,RAB!$C$14:$C$40,C266)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SUMIFS(RAB!$F$14:$F$40,RAB!$C$14:$C$40,C267)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SUMIFS(RAB!$F$14:$F$40,RAB!$C$14:$C$40,C268)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SUMIFS(RAB!$F$14:$F$40,RAB!$C$14:$C$40,C269)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SUMIFS(RAB!$F$14:$F$40,RAB!$C$14:$C$40,C270)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SUMIFS(RAB!$F$14:$F$40,RAB!$C$14:$C$40,C271)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SUMIFS(RAB!$F$14:$F$40,RAB!$C$14:$C$40,C272)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SUMIFS(RAB!$F$14:$F$40,RAB!$C$14:$C$40,C273)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SUMIFS(RAB!$F$14:$F$40,RAB!$C$14:$C$40,C274)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SUMIFS(RAB!$F$14:$F$40,RAB!$C$14:$C$40,C275)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SUMIFS(RAB!$F$14:$F$40,RAB!$C$14:$C$40,C276)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SUMIFS(RAB!$F$14:$F$40,RAB!$C$14:$C$40,C277)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SUMIFS(RAB!$F$14:$F$40,RAB!$C$14:$C$40,C278)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SUMIFS(RAB!$F$14:$F$40,RAB!$C$14:$C$40,C279)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SUMIFS(RAB!$F$14:$F$40,RAB!$C$14:$C$40,C280)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SUMIFS(RAB!$F$14:$F$40,RAB!$C$14:$C$40,C281)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SUMIFS(RAB!$F$14:$F$40,RAB!$C$14:$C$40,C282)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SUMIFS(RAB!$F$14:$F$40,RAB!$C$14:$C$40,C283)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SUMIFS(RAB!$F$14:$F$40,RAB!$C$14:$C$40,C284)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SUMIFS(RAB!$F$14:$F$40,RAB!$C$14:$C$40,C285)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SUMIFS(RAB!$F$14:$F$40,RAB!$C$14:$C$40,C286)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SUMIFS(RAB!$F$14:$F$40,RAB!$C$14:$C$40,C287)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SUMIFS(RAB!$F$14:$F$40,RAB!$C$14:$C$40,C288)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SUMIFS(RAB!$F$14:$F$40,RAB!$C$14:$C$40,C289)</f>
        <v>1</v>
      </c>
      <c r="E289" s="24">
        <f t="shared" ref="E289:E352" ca="1" si="22">IF(D289=0,0,1)</f>
        <v>1</v>
      </c>
      <c r="F289" s="24">
        <f ca="1">IF(D289=0,0,SUM($E$223:E289))</f>
        <v>2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SUMIFS(RAB!$F$14:$F$40,RAB!$C$14:$C$40,C290)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SUMIFS(RAB!$F$14:$F$40,RAB!$C$14:$C$40,C291)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SUMIFS(RAB!$F$14:$F$40,RAB!$C$14:$C$40,C292)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SUMIFS(RAB!$F$14:$F$40,RAB!$C$14:$C$40,C293)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SUMIFS(RAB!$F$14:$F$40,RAB!$C$14:$C$40,C294)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SUMIFS(RAB!$F$14:$F$40,RAB!$C$14:$C$40,C295)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SUMIFS(RAB!$F$14:$F$40,RAB!$C$14:$C$40,C296)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SUMIFS(RAB!$F$14:$F$40,RAB!$C$14:$C$40,C297)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SUMIFS(RAB!$F$14:$F$40,RAB!$C$14:$C$40,C298)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SUMIFS(RAB!$F$14:$F$40,RAB!$C$14:$C$40,C299)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SUMIFS(RAB!$F$14:$F$40,RAB!$C$14:$C$40,C300)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SUMIFS(RAB!$F$14:$F$40,RAB!$C$14:$C$40,C301)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SUMIFS(RAB!$F$14:$F$40,RAB!$C$14:$C$40,C302)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SUMIFS(RAB!$F$14:$F$40,RAB!$C$14:$C$40,C303)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SUMIFS(RAB!$F$14:$F$40,RAB!$C$14:$C$40,C304)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SUMIFS(RAB!$F$14:$F$40,RAB!$C$14:$C$40,C305)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SUMIFS(RAB!$F$14:$F$40,RAB!$C$14:$C$40,C306)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SUMIFS(RAB!$F$14:$F$40,RAB!$C$14:$C$40,C307)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SUMIFS(RAB!$F$14:$F$40,RAB!$C$14:$C$40,C308)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SUMIFS(RAB!$F$14:$F$40,RAB!$C$14:$C$40,C309)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SUMIFS(RAB!$F$14:$F$40,RAB!$C$14:$C$40,C310)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SUMIFS(RAB!$F$14:$F$40,RAB!$C$14:$C$40,C311)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SUMIFS(RAB!$F$14:$F$40,RAB!$C$14:$C$40,C312)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SUMIFS(RAB!$F$14:$F$40,RAB!$C$14:$C$40,C313)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SUMIFS(RAB!$F$14:$F$40,RAB!$C$14:$C$40,C314)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SUMIFS(RAB!$F$14:$F$40,RAB!$C$14:$C$40,C315)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SUMIFS(RAB!$F$14:$F$40,RAB!$C$14:$C$40,C316)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SUMIFS(RAB!$F$14:$F$40,RAB!$C$14:$C$40,C317)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SUMIFS(RAB!$F$14:$F$40,RAB!$C$14:$C$40,C318)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SUMIFS(RAB!$F$14:$F$40,RAB!$C$14:$C$40,C319)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SUMIFS(RAB!$F$14:$F$40,RAB!$C$14:$C$40,C320)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SUMIFS(RAB!$F$14:$F$40,RAB!$C$14:$C$40,C321)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SUMIFS(RAB!$F$14:$F$40,RAB!$C$14:$C$40,C322)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SUMIFS(RAB!$F$14:$F$40,RAB!$C$14:$C$40,C323)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SUMIFS(RAB!$F$14:$F$40,RAB!$C$14:$C$40,C324)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SUMIFS(RAB!$F$14:$F$40,RAB!$C$14:$C$40,C325)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SUMIFS(RAB!$F$14:$F$40,RAB!$C$14:$C$40,C326)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SUMIFS(RAB!$F$14:$F$40,RAB!$C$14:$C$40,C327)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SUMIFS(RAB!$F$14:$F$40,RAB!$C$14:$C$40,C328)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SUMIFS(RAB!$F$14:$F$40,RAB!$C$14:$C$40,C329)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SUMIFS(RAB!$F$14:$F$40,RAB!$C$14:$C$40,C330)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SUMIFS(RAB!$F$14:$F$40,RAB!$C$14:$C$40,C331)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SUMIFS(RAB!$F$14:$F$40,RAB!$C$14:$C$40,C332)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SUMIFS(RAB!$F$14:$F$40,RAB!$C$14:$C$40,C333)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SUMIFS(RAB!$F$14:$F$40,RAB!$C$14:$C$40,C334)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SUMIFS(RAB!$F$14:$F$40,RAB!$C$14:$C$40,C335)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SUMIFS(RAB!$F$14:$F$40,RAB!$C$14:$C$40,C336)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SUMIFS(RAB!$F$14:$F$40,RAB!$C$14:$C$40,C337)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SUMIFS(RAB!$F$14:$F$40,RAB!$C$14:$C$40,C338)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SUMIFS(RAB!$F$14:$F$40,RAB!$C$14:$C$40,C339)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SUMIFS(RAB!$F$14:$F$40,RAB!$C$14:$C$40,C340)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SUMIFS(RAB!$F$14:$F$40,RAB!$C$14:$C$40,C341)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SUMIFS(RAB!$F$14:$F$40,RAB!$C$14:$C$40,C342)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SUMIFS(RAB!$F$14:$F$40,RAB!$C$14:$C$40,C343)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SUMIFS(RAB!$F$14:$F$40,RAB!$C$14:$C$40,C344)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SUMIFS(RAB!$F$14:$F$40,RAB!$C$14:$C$40,C345)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SUMIFS(RAB!$F$14:$F$40,RAB!$C$14:$C$40,C346)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SUMIFS(RAB!$F$14:$F$40,RAB!$C$14:$C$40,C347)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SUMIFS(RAB!$F$14:$F$40,RAB!$C$14:$C$40,C348)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SUMIFS(RAB!$F$14:$F$40,RAB!$C$14:$C$40,C349)</f>
        <v>35</v>
      </c>
      <c r="E349" s="24">
        <f t="shared" ca="1" si="22"/>
        <v>1</v>
      </c>
      <c r="F349" s="24">
        <f ca="1">IF(D349=0,0,SUM($E$223:E349))</f>
        <v>3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SUMIFS(RAB!$F$14:$F$40,RAB!$C$14:$C$40,C350)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SUMIFS(RAB!$F$14:$F$40,RAB!$C$14:$C$40,C351)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SUMIFS(RAB!$F$14:$F$40,RAB!$C$14:$C$40,C352)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SUMIFS(RAB!$F$14:$F$40,RAB!$C$14:$C$40,C353)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SUMIFS(RAB!$F$14:$F$40,RAB!$C$14:$C$40,C354)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SUMIFS(RAB!$F$14:$F$40,RAB!$C$14:$C$40,C355)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SUMIFS(RAB!$F$14:$F$40,RAB!$C$14:$C$40,C356)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SUMIFS(RAB!$F$14:$F$40,RAB!$C$14:$C$40,C357)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SUMIFS(RAB!$F$14:$F$40,RAB!$C$14:$C$40,C358)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SUMIFS(RAB!$F$14:$F$40,RAB!$C$14:$C$40,C359)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SUMIFS(RAB!$F$14:$F$40,RAB!$C$14:$C$40,C360)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SUMIFS(RAB!$F$14:$F$40,RAB!$C$14:$C$40,C361)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SUMIFS(RAB!$F$14:$F$40,RAB!$C$14:$C$40,C362)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SUMIFS(RAB!$F$14:$F$40,RAB!$C$14:$C$40,C363)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SUMIFS(RAB!$F$14:$F$40,RAB!$C$14:$C$40,C364)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SUMIFS(RAB!$F$14:$F$40,RAB!$C$14:$C$40,C365)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SUMIFS(RAB!$F$14:$F$40,RAB!$C$14:$C$40,C366)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SUMIFS(RAB!$F$14:$F$40,RAB!$C$14:$C$40,C367)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SUMIFS(RAB!$F$14:$F$40,RAB!$C$14:$C$40,C368)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SUMIFS(RAB!$F$14:$F$40,RAB!$C$14:$C$40,C369)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SUMIFS(RAB!$F$14:$F$40,RAB!$C$14:$C$40,C370)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SUMIFS(RAB!$F$14:$F$40,RAB!$C$14:$C$40,C371)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SUMIFS(RAB!$F$14:$F$40,RAB!$C$14:$C$40,C372)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SUMIFS(RAB!$F$14:$F$40,RAB!$C$14:$C$40,C373)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8" priority="5" operator="equal">
      <formula>0</formula>
    </cfRule>
  </conditionalFormatting>
  <conditionalFormatting sqref="C16:C165">
    <cfRule type="cellIs" dxfId="37" priority="4" stopIfTrue="1" operator="equal">
      <formula>0</formula>
    </cfRule>
  </conditionalFormatting>
  <conditionalFormatting sqref="C16:E165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G1:G115 E6:E15 H12:I12 N13 F14:F15 H14:K115 E166:K166 G166:G223 E167:F167 H167:K167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 G116:K165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10" activePane="bottomRight" state="frozen"/>
      <selection activeCell="D209" sqref="D209"/>
      <selection pane="topRight" activeCell="D209" sqref="D209"/>
      <selection pane="bottomLeft" activeCell="D209" sqref="D209"/>
      <selection pane="bottomRight" activeCell="C924" sqref="C92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7" t="s">
        <v>41</v>
      </c>
      <c r="C2" s="54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8" t="s">
        <v>23</v>
      </c>
      <c r="C4" s="549" t="s">
        <v>1012</v>
      </c>
      <c r="D4" s="549" t="s">
        <v>42</v>
      </c>
      <c r="E4" s="548" t="s">
        <v>43</v>
      </c>
      <c r="F4" s="108" t="s">
        <v>1609</v>
      </c>
      <c r="G4" s="108" t="s">
        <v>1608</v>
      </c>
      <c r="H4" s="546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8"/>
      <c r="C5" s="549"/>
      <c r="D5" s="549"/>
      <c r="E5" s="548"/>
      <c r="F5" s="93"/>
      <c r="G5" s="93"/>
      <c r="H5" s="546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9" priority="138" operator="equal">
      <formula>0</formula>
    </cfRule>
  </conditionalFormatting>
  <conditionalFormatting sqref="B8:C135">
    <cfRule type="cellIs" dxfId="28" priority="51" operator="equal">
      <formula>0</formula>
    </cfRule>
  </conditionalFormatting>
  <conditionalFormatting sqref="B150:G1493">
    <cfRule type="cellIs" dxfId="27" priority="1" operator="equal">
      <formula>0</formula>
    </cfRule>
  </conditionalFormatting>
  <conditionalFormatting sqref="C143:G149">
    <cfRule type="cellIs" dxfId="26" priority="5" operator="equal">
      <formula>0</formula>
    </cfRule>
  </conditionalFormatting>
  <conditionalFormatting sqref="D9:G142">
    <cfRule type="cellIs" dxfId="25" priority="11" operator="equal">
      <formula>0</formula>
    </cfRule>
  </conditionalFormatting>
  <conditionalFormatting sqref="D1:IV5 A1:C7 D6:K6 H1455:IV1457 H1458:XFD1485 H1486:H1493 I1486:XFD1494 A1494:H1494 A1495:XFD65536">
    <cfRule type="cellIs" dxfId="24" priority="163" operator="equal">
      <formula>0</formula>
    </cfRule>
  </conditionalFormatting>
  <conditionalFormatting sqref="D7:IV8 C136:C142 B136:B149">
    <cfRule type="cellIs" dxfId="23" priority="62" operator="equal">
      <formula>0</formula>
    </cfRule>
  </conditionalFormatting>
  <conditionalFormatting sqref="H9:H1418">
    <cfRule type="cellIs" dxfId="22" priority="129" operator="equal">
      <formula>0</formula>
    </cfRule>
  </conditionalFormatting>
  <conditionalFormatting sqref="H1419:I1454">
    <cfRule type="cellIs" dxfId="21" priority="128" operator="equal">
      <formula>0</formula>
    </cfRule>
  </conditionalFormatting>
  <conditionalFormatting sqref="I108:I1418">
    <cfRule type="cellIs" dxfId="20" priority="125" operator="equal">
      <formula>0</formula>
    </cfRule>
  </conditionalFormatting>
  <conditionalFormatting sqref="J108:IV1454">
    <cfRule type="cellIs" dxfId="19" priority="139" operator="equal">
      <formula>0</formula>
    </cfRule>
  </conditionalFormatting>
  <conditionalFormatting sqref="M6:IV6">
    <cfRule type="cellIs" dxfId="1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54" t="s">
        <v>1454</v>
      </c>
      <c r="C2" s="554"/>
      <c r="D2" s="554"/>
      <c r="E2" s="554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59" t="s">
        <v>1532</v>
      </c>
      <c r="C4" s="560"/>
      <c r="D4" s="560"/>
      <c r="E4" s="561"/>
      <c r="F4" s="442"/>
      <c r="G4" s="442"/>
      <c r="H4" s="443"/>
      <c r="I4" s="586" t="s">
        <v>1533</v>
      </c>
      <c r="J4" s="587"/>
      <c r="K4" s="587"/>
      <c r="L4" s="588"/>
    </row>
    <row r="5" spans="1:12" ht="34.5" customHeight="1">
      <c r="A5" s="204"/>
      <c r="B5" s="445" t="s">
        <v>1379</v>
      </c>
      <c r="C5" s="277" t="s">
        <v>9</v>
      </c>
      <c r="D5" s="555" t="str">
        <f>DATA!D14</f>
        <v>BAWASLU</v>
      </c>
      <c r="E5" s="556"/>
      <c r="F5" s="208"/>
      <c r="G5" s="208"/>
      <c r="I5" s="446" t="s">
        <v>1379</v>
      </c>
      <c r="J5" s="277" t="s">
        <v>9</v>
      </c>
      <c r="K5" s="589" t="str">
        <f>D5</f>
        <v>BAWASLU</v>
      </c>
      <c r="L5" s="590"/>
    </row>
    <row r="6" spans="1:12" ht="31.5" customHeight="1">
      <c r="A6" s="204"/>
      <c r="B6" s="445" t="s">
        <v>1529</v>
      </c>
      <c r="C6" s="277" t="s">
        <v>9</v>
      </c>
      <c r="D6" s="564">
        <f>DATA!D17*1000</f>
        <v>11000</v>
      </c>
      <c r="E6" s="565"/>
      <c r="F6" s="208"/>
      <c r="G6" s="208"/>
      <c r="I6" s="446" t="s">
        <v>1530</v>
      </c>
      <c r="J6" s="277" t="s">
        <v>9</v>
      </c>
      <c r="K6" s="591">
        <f>DATA!D20*1000</f>
        <v>16500</v>
      </c>
      <c r="L6" s="592"/>
    </row>
    <row r="7" spans="1:12" ht="30.75" customHeight="1">
      <c r="A7" s="204"/>
      <c r="B7" s="445" t="s">
        <v>1441</v>
      </c>
      <c r="C7" s="277" t="s">
        <v>9</v>
      </c>
      <c r="D7" s="562">
        <f>DATA!D18</f>
        <v>1</v>
      </c>
      <c r="E7" s="563"/>
      <c r="F7" s="444" t="s">
        <v>1453</v>
      </c>
      <c r="I7" s="446" t="s">
        <v>1441</v>
      </c>
      <c r="J7" s="277" t="s">
        <v>9</v>
      </c>
      <c r="K7" s="593">
        <f>DATA!D21</f>
        <v>3</v>
      </c>
      <c r="L7" s="594"/>
    </row>
    <row r="8" spans="1:12" ht="51" customHeight="1">
      <c r="A8" s="204"/>
      <c r="B8" s="445" t="s">
        <v>1442</v>
      </c>
      <c r="C8" s="277" t="s">
        <v>9</v>
      </c>
      <c r="D8" s="562">
        <f>DATA!D19</f>
        <v>220</v>
      </c>
      <c r="E8" s="563"/>
      <c r="F8" s="444" t="s">
        <v>1453</v>
      </c>
      <c r="G8" s="439">
        <v>220</v>
      </c>
      <c r="I8" s="446" t="s">
        <v>1442</v>
      </c>
      <c r="J8" s="277" t="s">
        <v>9</v>
      </c>
      <c r="K8" s="593">
        <f>DATA!D22</f>
        <v>380</v>
      </c>
      <c r="L8" s="594"/>
    </row>
    <row r="9" spans="1:12" ht="30" customHeight="1" thickBot="1">
      <c r="A9" s="204"/>
      <c r="B9" s="451" t="s">
        <v>1541</v>
      </c>
      <c r="C9" s="441" t="s">
        <v>9</v>
      </c>
      <c r="D9" s="557">
        <f>IF(D7=1,D6/(380/3^0.5),(D6/(380*3^0.5)))</f>
        <v>50.138312850678027</v>
      </c>
      <c r="E9" s="558"/>
      <c r="F9" s="207"/>
      <c r="G9" s="440">
        <v>380</v>
      </c>
      <c r="I9" s="452" t="s">
        <v>1541</v>
      </c>
      <c r="J9" s="441" t="s">
        <v>9</v>
      </c>
      <c r="K9" s="595">
        <f>IF(K7=1,K6/(380/3^0.5),(K6/(380*3^0.5)))</f>
        <v>25.069156425339017</v>
      </c>
      <c r="L9" s="596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566"/>
      <c r="E12" s="567"/>
      <c r="F12" s="208"/>
      <c r="G12" s="208"/>
      <c r="I12" s="468" t="s">
        <v>1534</v>
      </c>
      <c r="J12" s="469" t="s">
        <v>9</v>
      </c>
      <c r="K12" s="566"/>
      <c r="L12" s="567"/>
    </row>
    <row r="13" spans="1:12" ht="31.5" customHeight="1">
      <c r="A13" s="204"/>
      <c r="B13" s="476" t="s">
        <v>1380</v>
      </c>
      <c r="C13" s="456" t="s">
        <v>9</v>
      </c>
      <c r="D13" s="570"/>
      <c r="E13" s="571"/>
      <c r="F13" s="208"/>
      <c r="G13" s="208"/>
      <c r="I13" s="470" t="s">
        <v>1380</v>
      </c>
      <c r="J13" s="456" t="s">
        <v>9</v>
      </c>
      <c r="K13" s="570"/>
      <c r="L13" s="571"/>
    </row>
    <row r="14" spans="1:12" ht="30.75" customHeight="1">
      <c r="A14" s="204"/>
      <c r="B14" s="476" t="s">
        <v>1535</v>
      </c>
      <c r="C14" s="456" t="s">
        <v>9</v>
      </c>
      <c r="D14" s="578"/>
      <c r="E14" s="579"/>
      <c r="F14" s="444" t="s">
        <v>1453</v>
      </c>
      <c r="G14" s="448">
        <v>50</v>
      </c>
      <c r="I14" s="470" t="s">
        <v>1535</v>
      </c>
      <c r="J14" s="456" t="s">
        <v>9</v>
      </c>
      <c r="K14" s="580"/>
      <c r="L14" s="581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82">
        <v>0</v>
      </c>
      <c r="E16" s="583"/>
      <c r="F16" s="444"/>
      <c r="G16" s="448">
        <v>160</v>
      </c>
      <c r="I16" s="470" t="s">
        <v>1537</v>
      </c>
      <c r="J16" s="456" t="s">
        <v>9</v>
      </c>
      <c r="K16" s="584">
        <f>K9</f>
        <v>25.069156425339017</v>
      </c>
      <c r="L16" s="585"/>
    </row>
    <row r="17" spans="1:12" ht="34.5" customHeight="1">
      <c r="A17" s="204"/>
      <c r="B17" s="476" t="s">
        <v>1538</v>
      </c>
      <c r="C17" s="456" t="s">
        <v>9</v>
      </c>
      <c r="D17" s="572">
        <f>IF(D15=1,D14/(20/3^0.5),(D14/(20*3^0.5)))</f>
        <v>0</v>
      </c>
      <c r="E17" s="573"/>
      <c r="F17" s="444" t="s">
        <v>1453</v>
      </c>
      <c r="G17" s="449">
        <v>200</v>
      </c>
      <c r="I17" s="470" t="s">
        <v>1538</v>
      </c>
      <c r="J17" s="456" t="s">
        <v>9</v>
      </c>
      <c r="K17" s="576">
        <f>IF(K15=1,K14/(20/3^0.5),(K14/(20*3^0.5)))</f>
        <v>0</v>
      </c>
      <c r="L17" s="577"/>
    </row>
    <row r="18" spans="1:12" ht="34.5" customHeight="1">
      <c r="A18" s="204"/>
      <c r="B18" s="476" t="s">
        <v>1539</v>
      </c>
      <c r="C18" s="456" t="s">
        <v>9</v>
      </c>
      <c r="D18" s="572">
        <f>IF(D15=1,D14/(380/3^0.5),(D14/(380*3^0.5)))*1000</f>
        <v>0</v>
      </c>
      <c r="E18" s="573"/>
      <c r="F18" s="444" t="s">
        <v>1453</v>
      </c>
      <c r="G18" s="449">
        <v>250</v>
      </c>
      <c r="I18" s="470" t="s">
        <v>1539</v>
      </c>
      <c r="J18" s="456" t="s">
        <v>9</v>
      </c>
      <c r="K18" s="576">
        <f>IF(K15=1,K14/(380/3^0.5),(K14/(380*3^0.5)))*1000</f>
        <v>0</v>
      </c>
      <c r="L18" s="577"/>
    </row>
    <row r="19" spans="1:12" ht="30" customHeight="1">
      <c r="A19" s="204"/>
      <c r="B19" s="477" t="s">
        <v>1531</v>
      </c>
      <c r="C19" s="455" t="s">
        <v>9</v>
      </c>
      <c r="D19" s="572">
        <f>IF(D15=1,D14/(380/3^0.5),(D14/(380*3^0.5)))</f>
        <v>0</v>
      </c>
      <c r="E19" s="573"/>
      <c r="F19" s="207"/>
      <c r="G19" s="440"/>
      <c r="I19" s="472" t="s">
        <v>1531</v>
      </c>
      <c r="J19" s="455" t="s">
        <v>9</v>
      </c>
      <c r="K19" s="576">
        <f>IF(K15=1,K14/(380/3^0.5),(K14/(380*3^0.5)))</f>
        <v>0</v>
      </c>
      <c r="L19" s="577"/>
    </row>
    <row r="20" spans="1:12" ht="30" customHeight="1" thickBot="1">
      <c r="A20" s="204"/>
      <c r="B20" s="478" t="s">
        <v>1540</v>
      </c>
      <c r="C20" s="474" t="s">
        <v>9</v>
      </c>
      <c r="D20" s="568" t="e">
        <f>D16/D18</f>
        <v>#DIV/0!</v>
      </c>
      <c r="E20" s="569"/>
      <c r="F20" s="207"/>
      <c r="G20" s="440"/>
      <c r="I20" s="473" t="s">
        <v>1531</v>
      </c>
      <c r="J20" s="474" t="s">
        <v>9</v>
      </c>
      <c r="K20" s="574" t="e">
        <f>K16/K18</f>
        <v>#DIV/0!</v>
      </c>
      <c r="L20" s="575"/>
    </row>
    <row r="21" spans="1:12" ht="9.75" customHeight="1">
      <c r="A21" s="204"/>
      <c r="B21" s="463" t="s">
        <v>1540</v>
      </c>
      <c r="C21" s="464" t="s">
        <v>9</v>
      </c>
      <c r="D21" s="553">
        <v>1</v>
      </c>
      <c r="E21" s="553"/>
      <c r="F21" s="465"/>
      <c r="G21" s="466"/>
      <c r="H21" s="467"/>
      <c r="I21" s="463" t="s">
        <v>1531</v>
      </c>
      <c r="J21" s="464" t="s">
        <v>9</v>
      </c>
      <c r="K21" s="553">
        <v>1</v>
      </c>
      <c r="L21" s="553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50"/>
      <c r="C24" s="551"/>
      <c r="D24" s="551"/>
      <c r="E24" s="552"/>
      <c r="I24" s="550"/>
      <c r="J24" s="551"/>
      <c r="K24" s="551"/>
      <c r="L24" s="552"/>
    </row>
    <row r="26" spans="1:12">
      <c r="D26" s="458"/>
    </row>
    <row r="27" spans="1:12">
      <c r="D27" s="45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7" priority="5" stopIfTrue="1" operator="greaterThan">
      <formula>0.89</formula>
    </cfRule>
    <cfRule type="cellIs" dxfId="1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Normal="100" workbookViewId="0">
      <selection activeCell="D23" sqref="D23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597"/>
      <c r="C1" s="597"/>
      <c r="D1" s="597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5.5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5329500</v>
      </c>
    </row>
    <row r="10" spans="2:11" ht="20.100000000000001" customHeight="1">
      <c r="B10" s="291" t="s">
        <v>1446</v>
      </c>
      <c r="C10" s="292" t="s">
        <v>9</v>
      </c>
      <c r="D10" s="298">
        <f ca="1">RAB!K46</f>
        <v>6530680.449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130613.60898</v>
      </c>
    </row>
    <row r="12" spans="2:11" ht="9" customHeight="1">
      <c r="B12" s="598"/>
      <c r="C12" s="598"/>
      <c r="D12" s="598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1624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1619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11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16.5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3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380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7" activePane="bottomLeft" state="frozen"/>
      <selection activeCell="H1093" sqref="H1093"/>
      <selection pane="bottomLeft" activeCell="N16" sqref="N1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599" t="s">
        <v>1357</v>
      </c>
      <c r="C3" s="599"/>
      <c r="D3" s="599"/>
      <c r="E3" s="599"/>
      <c r="F3" s="305" t="str">
        <f>DATA!D14</f>
        <v>BAWASLU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0" t="s">
        <v>1349</v>
      </c>
      <c r="C5" s="600" t="s">
        <v>1358</v>
      </c>
      <c r="D5" s="601" t="s">
        <v>1359</v>
      </c>
      <c r="E5" s="601" t="s">
        <v>1360</v>
      </c>
      <c r="F5" s="600" t="s">
        <v>1361</v>
      </c>
      <c r="G5" s="600"/>
      <c r="H5" s="600"/>
      <c r="I5" s="600"/>
      <c r="J5" s="600"/>
      <c r="K5" s="600" t="s">
        <v>1362</v>
      </c>
      <c r="L5" s="600"/>
      <c r="M5" s="307"/>
      <c r="N5" s="604" t="s">
        <v>1363</v>
      </c>
      <c r="O5" s="601" t="s">
        <v>1364</v>
      </c>
      <c r="P5" s="601" t="s">
        <v>1365</v>
      </c>
      <c r="Q5" s="601" t="s">
        <v>1366</v>
      </c>
      <c r="R5" s="308"/>
      <c r="S5" s="309"/>
      <c r="T5" s="602" t="s">
        <v>1367</v>
      </c>
      <c r="U5" s="310"/>
    </row>
    <row r="6" spans="1:21" ht="20.100000000000001" customHeight="1">
      <c r="B6" s="600"/>
      <c r="C6" s="600"/>
      <c r="D6" s="600"/>
      <c r="E6" s="600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5"/>
      <c r="O6" s="600"/>
      <c r="P6" s="600"/>
      <c r="Q6" s="600"/>
      <c r="R6" s="308"/>
      <c r="S6" s="309"/>
      <c r="T6" s="600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1760</v>
      </c>
      <c r="D7" s="316">
        <f>C7*4/24</f>
        <v>293.33333333333331</v>
      </c>
      <c r="E7" s="316">
        <f>C7-D7</f>
        <v>1466.6666666666667</v>
      </c>
      <c r="F7" s="317">
        <f ca="1">DATA!D10/1000000</f>
        <v>6.5306804490000001</v>
      </c>
      <c r="G7" s="318">
        <f ca="1">DATA!$D$11/1000000</f>
        <v>0.13061360898000002</v>
      </c>
      <c r="H7" s="318">
        <f>C7*DATA!$D$5/1000000</f>
        <v>1.908060080760388</v>
      </c>
      <c r="I7" s="318">
        <f>(C7*DATA!$D$5*DATA!$D$7)/1000000</f>
        <v>4.2931351817108727E-2</v>
      </c>
      <c r="J7" s="316">
        <f ca="1">SUM(F7:I7)</f>
        <v>8.6122854905574968</v>
      </c>
      <c r="K7" s="319">
        <f>DATA!D9/1000000</f>
        <v>5.3295000000000003</v>
      </c>
      <c r="L7" s="316">
        <f>((D7*DATA!$D$23)/1000000)+((E7*DATA!$D$24)/1000000)</f>
        <v>2.542672</v>
      </c>
      <c r="M7" s="316">
        <f>K7+L7</f>
        <v>7.8721720000000008</v>
      </c>
      <c r="N7" s="316">
        <f ca="1">M7-J7</f>
        <v>-0.74011349055749598</v>
      </c>
      <c r="O7" s="314">
        <v>1</v>
      </c>
      <c r="P7" s="316">
        <f ca="1">O7*N7</f>
        <v>-0.74011349055749598</v>
      </c>
      <c r="Q7" s="316">
        <f ca="1">P7</f>
        <v>-0.74011349055749598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2640</v>
      </c>
      <c r="D8" s="316">
        <f>C8*4/24</f>
        <v>440</v>
      </c>
      <c r="E8" s="316">
        <f t="shared" ref="E8:E32" si="0">C8-D8</f>
        <v>2200</v>
      </c>
      <c r="F8" s="314"/>
      <c r="G8" s="318">
        <f ca="1">DATA!$D$11/1000000</f>
        <v>0.13061360898000002</v>
      </c>
      <c r="H8" s="318">
        <f>C8*DATA!$D$5/1000000</f>
        <v>2.8620901211405818</v>
      </c>
      <c r="I8" s="318">
        <f>(C8*DATA!$D$5*DATA!$D$7)/1000000</f>
        <v>6.4397027725663095E-2</v>
      </c>
      <c r="J8" s="316">
        <f t="shared" ref="J8:J32" ca="1" si="1">SUM(F8:I8)</f>
        <v>3.057100757846245</v>
      </c>
      <c r="K8" s="321"/>
      <c r="L8" s="316">
        <f>((D8*DATA!$D$23)/1000000)+((E8*DATA!$D$24)/1000000)</f>
        <v>3.8140079999999998</v>
      </c>
      <c r="M8" s="316">
        <f t="shared" ref="M8:M32" si="2">K8+L8</f>
        <v>3.8140079999999998</v>
      </c>
      <c r="N8" s="316">
        <f ca="1">M8-J8</f>
        <v>0.75690724215375482</v>
      </c>
      <c r="O8" s="315">
        <f>1/(1+'[93]Asumsi I'!$C$3)^(KKF!A8)</f>
        <v>0.89285714285714279</v>
      </c>
      <c r="P8" s="316">
        <f ca="1">O8*N8</f>
        <v>0.67581003763728109</v>
      </c>
      <c r="Q8" s="316">
        <f ca="1">Q7+P8</f>
        <v>-6.4303452920214887E-2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2640</v>
      </c>
      <c r="D9" s="316">
        <f t="shared" ref="D9:D32" si="5">C9*4/24</f>
        <v>440</v>
      </c>
      <c r="E9" s="316">
        <f t="shared" si="0"/>
        <v>2200</v>
      </c>
      <c r="F9" s="314"/>
      <c r="G9" s="318">
        <f ca="1">DATA!$D$11/1000000</f>
        <v>0.13061360898000002</v>
      </c>
      <c r="H9" s="318">
        <f>C9*DATA!$D$5/1000000</f>
        <v>2.8620901211405818</v>
      </c>
      <c r="I9" s="318">
        <f>(C9*DATA!$D$5*DATA!$D$7)/1000000</f>
        <v>6.4397027725663095E-2</v>
      </c>
      <c r="J9" s="316">
        <f t="shared" ca="1" si="1"/>
        <v>3.057100757846245</v>
      </c>
      <c r="K9" s="316"/>
      <c r="L9" s="316">
        <f>((D9*DATA!$D$23)/1000000)+((E9*DATA!$D$24)/1000000)</f>
        <v>3.8140079999999998</v>
      </c>
      <c r="M9" s="316">
        <f t="shared" si="2"/>
        <v>3.8140079999999998</v>
      </c>
      <c r="N9" s="316">
        <f t="shared" ref="N9:N32" ca="1" si="6">M9-J9</f>
        <v>0.75690724215375482</v>
      </c>
      <c r="O9" s="322">
        <f>1/(1+'[93]Asumsi I'!$C$3)^(KKF!A9)</f>
        <v>0.79719387755102034</v>
      </c>
      <c r="P9" s="316">
        <f t="shared" ref="P9:P32" ca="1" si="7">O9*N9</f>
        <v>0.60340181931900094</v>
      </c>
      <c r="Q9" s="316">
        <f ca="1">Q8+P9</f>
        <v>0.53909836639878606</v>
      </c>
      <c r="S9" s="304" t="str">
        <f t="shared" ca="1" si="3"/>
        <v/>
      </c>
      <c r="T9" s="320">
        <f ca="1">IF(Q7&gt;=0,"",IF(Q9&lt;0,"",IF(Q9=0,A9,(A9-(Q9/N9)))))</f>
        <v>1.2877616484883943</v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2640</v>
      </c>
      <c r="D10" s="316">
        <f t="shared" si="5"/>
        <v>440</v>
      </c>
      <c r="E10" s="316">
        <f t="shared" si="0"/>
        <v>2200</v>
      </c>
      <c r="F10" s="314"/>
      <c r="G10" s="318">
        <f ca="1">DATA!$D$11/1000000</f>
        <v>0.13061360898000002</v>
      </c>
      <c r="H10" s="318">
        <f>C10*DATA!$D$5/1000000</f>
        <v>2.8620901211405818</v>
      </c>
      <c r="I10" s="318">
        <f>(C10*DATA!$D$5*DATA!$D$7)/1000000</f>
        <v>6.4397027725663095E-2</v>
      </c>
      <c r="J10" s="316">
        <f t="shared" ca="1" si="1"/>
        <v>3.057100757846245</v>
      </c>
      <c r="K10" s="314"/>
      <c r="L10" s="316">
        <f>((D10*DATA!$D$23)/1000000)+((E10*DATA!$D$24)/1000000)</f>
        <v>3.8140079999999998</v>
      </c>
      <c r="M10" s="316">
        <f t="shared" si="2"/>
        <v>3.8140079999999998</v>
      </c>
      <c r="N10" s="316">
        <f t="shared" ca="1" si="6"/>
        <v>0.75690724215375482</v>
      </c>
      <c r="O10" s="315">
        <f>1/(1+'[93]Asumsi I'!$C$3)^(KKF!A10)</f>
        <v>0.71178024781341087</v>
      </c>
      <c r="P10" s="316">
        <f t="shared" ca="1" si="7"/>
        <v>0.538751624391965</v>
      </c>
      <c r="Q10" s="316">
        <f t="shared" ref="Q10:Q30" ca="1" si="9">Q9+P10</f>
        <v>1.0778499907907511</v>
      </c>
      <c r="S10" s="304" t="str">
        <f t="shared" ca="1" si="3"/>
        <v/>
      </c>
      <c r="T10" s="320">
        <f t="shared" ref="T10:T32" ca="1" si="10">IF(Q8&gt;=0,"",IF(Q10&lt;0,"",IF(Q10=0,A10,(A10-(Q10/N10)))))</f>
        <v>1.5759814006749835</v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2640</v>
      </c>
      <c r="D11" s="316">
        <f t="shared" si="5"/>
        <v>440</v>
      </c>
      <c r="E11" s="316">
        <f t="shared" si="0"/>
        <v>2200</v>
      </c>
      <c r="F11" s="314"/>
      <c r="G11" s="318">
        <f ca="1">DATA!$D$11/1000000</f>
        <v>0.13061360898000002</v>
      </c>
      <c r="H11" s="318">
        <f>C11*DATA!$D$5/1000000</f>
        <v>2.8620901211405818</v>
      </c>
      <c r="I11" s="318">
        <f>(C11*DATA!$D$5*DATA!$D$7)/1000000</f>
        <v>6.4397027725663095E-2</v>
      </c>
      <c r="J11" s="316">
        <f t="shared" ca="1" si="1"/>
        <v>3.057100757846245</v>
      </c>
      <c r="K11" s="314"/>
      <c r="L11" s="316">
        <f>((D11*DATA!$D$23)/1000000)+((E11*DATA!$D$24)/1000000)</f>
        <v>3.8140079999999998</v>
      </c>
      <c r="M11" s="316">
        <f t="shared" si="2"/>
        <v>3.8140079999999998</v>
      </c>
      <c r="N11" s="316">
        <f t="shared" ca="1" si="6"/>
        <v>0.75690724215375482</v>
      </c>
      <c r="O11" s="315">
        <f>1/(1+'[93]Asumsi I'!$C$3)^(KKF!A11)</f>
        <v>0.63551807840483121</v>
      </c>
      <c r="P11" s="316">
        <f t="shared" ca="1" si="7"/>
        <v>0.48102823606425454</v>
      </c>
      <c r="Q11" s="316">
        <f t="shared" ca="1" si="9"/>
        <v>1.5588782268550057</v>
      </c>
      <c r="S11" s="304" t="str">
        <f t="shared" ca="1" si="3"/>
        <v/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2640</v>
      </c>
      <c r="D12" s="316">
        <f t="shared" si="5"/>
        <v>440</v>
      </c>
      <c r="E12" s="316">
        <f t="shared" si="0"/>
        <v>2200</v>
      </c>
      <c r="F12" s="314"/>
      <c r="G12" s="318">
        <f ca="1">DATA!$D$11/1000000</f>
        <v>0.13061360898000002</v>
      </c>
      <c r="H12" s="318">
        <f>C12*DATA!$D$5/1000000</f>
        <v>2.8620901211405818</v>
      </c>
      <c r="I12" s="318">
        <f>(C12*DATA!$D$5*DATA!$D$7)/1000000</f>
        <v>6.4397027725663095E-2</v>
      </c>
      <c r="J12" s="316">
        <f t="shared" ca="1" si="1"/>
        <v>3.057100757846245</v>
      </c>
      <c r="K12" s="314"/>
      <c r="L12" s="316">
        <f>((D12*DATA!$D$23)/1000000)+((E12*DATA!$D$24)/1000000)</f>
        <v>3.8140079999999998</v>
      </c>
      <c r="M12" s="316">
        <f t="shared" si="2"/>
        <v>3.8140079999999998</v>
      </c>
      <c r="N12" s="316">
        <f t="shared" ca="1" si="6"/>
        <v>0.75690724215375482</v>
      </c>
      <c r="O12" s="315">
        <f>1/(1+'[93]Asumsi I'!$C$3)^(KKF!A12)</f>
        <v>0.56742685571859919</v>
      </c>
      <c r="P12" s="316">
        <f t="shared" ca="1" si="7"/>
        <v>0.42948949648594148</v>
      </c>
      <c r="Q12" s="316">
        <f t="shared" ca="1" si="9"/>
        <v>1.9883677233409471</v>
      </c>
      <c r="S12" s="304" t="str">
        <f t="shared" ca="1" si="3"/>
        <v/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2640</v>
      </c>
      <c r="D13" s="316">
        <f t="shared" si="5"/>
        <v>440</v>
      </c>
      <c r="E13" s="316">
        <f t="shared" si="0"/>
        <v>2200</v>
      </c>
      <c r="F13" s="314"/>
      <c r="G13" s="318">
        <f ca="1">DATA!$D$11/1000000</f>
        <v>0.13061360898000002</v>
      </c>
      <c r="H13" s="318">
        <f>C13*DATA!$D$5/1000000</f>
        <v>2.8620901211405818</v>
      </c>
      <c r="I13" s="318">
        <f>(C13*DATA!$D$5*DATA!$D$7)/1000000</f>
        <v>6.4397027725663095E-2</v>
      </c>
      <c r="J13" s="316">
        <f t="shared" ca="1" si="1"/>
        <v>3.057100757846245</v>
      </c>
      <c r="K13" s="314"/>
      <c r="L13" s="316">
        <f>((D13*DATA!$D$23)/1000000)+((E13*DATA!$D$24)/1000000)</f>
        <v>3.8140079999999998</v>
      </c>
      <c r="M13" s="316">
        <f t="shared" si="2"/>
        <v>3.8140079999999998</v>
      </c>
      <c r="N13" s="316">
        <f t="shared" ca="1" si="6"/>
        <v>0.75690724215375482</v>
      </c>
      <c r="O13" s="315">
        <f>1/(1+'[93]Asumsi I'!$C$3)^(KKF!A13)</f>
        <v>0.50663112117732068</v>
      </c>
      <c r="P13" s="316">
        <f t="shared" ca="1" si="7"/>
        <v>0.38347276471959058</v>
      </c>
      <c r="Q13" s="316">
        <f t="shared" ca="1" si="9"/>
        <v>2.3718404880605375</v>
      </c>
      <c r="S13" s="304" t="str">
        <f t="shared" ca="1" si="3"/>
        <v/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2640</v>
      </c>
      <c r="D14" s="316">
        <f t="shared" si="5"/>
        <v>440</v>
      </c>
      <c r="E14" s="316">
        <f t="shared" si="0"/>
        <v>2200</v>
      </c>
      <c r="F14" s="314"/>
      <c r="G14" s="318">
        <f ca="1">DATA!$D$11/1000000</f>
        <v>0.13061360898000002</v>
      </c>
      <c r="H14" s="318">
        <f>C14*DATA!$D$5/1000000</f>
        <v>2.8620901211405818</v>
      </c>
      <c r="I14" s="318">
        <f>(C14*DATA!$D$5*DATA!$D$7)/1000000</f>
        <v>6.4397027725663095E-2</v>
      </c>
      <c r="J14" s="316">
        <f t="shared" ca="1" si="1"/>
        <v>3.057100757846245</v>
      </c>
      <c r="K14" s="314"/>
      <c r="L14" s="316">
        <f>((D14*DATA!$D$23)/1000000)+((E14*DATA!$D$24)/1000000)</f>
        <v>3.8140079999999998</v>
      </c>
      <c r="M14" s="316">
        <f t="shared" si="2"/>
        <v>3.8140079999999998</v>
      </c>
      <c r="N14" s="316">
        <f t="shared" ca="1" si="6"/>
        <v>0.75690724215375482</v>
      </c>
      <c r="O14" s="315">
        <f>1/(1+'[93]Asumsi I'!$C$3)^(KKF!A14)</f>
        <v>0.45234921533689343</v>
      </c>
      <c r="P14" s="316">
        <f t="shared" ca="1" si="7"/>
        <v>0.342386397071063</v>
      </c>
      <c r="Q14" s="316">
        <f t="shared" ca="1" si="9"/>
        <v>2.7142268851316005</v>
      </c>
      <c r="S14" s="304" t="str">
        <f t="shared" ca="1" si="3"/>
        <v/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2640</v>
      </c>
      <c r="D15" s="316">
        <f t="shared" si="5"/>
        <v>440</v>
      </c>
      <c r="E15" s="316">
        <f t="shared" si="0"/>
        <v>2200</v>
      </c>
      <c r="F15" s="314"/>
      <c r="G15" s="318">
        <f ca="1">DATA!$D$11/1000000</f>
        <v>0.13061360898000002</v>
      </c>
      <c r="H15" s="318">
        <f>C15*DATA!$D$5/1000000</f>
        <v>2.8620901211405818</v>
      </c>
      <c r="I15" s="318">
        <f>(C15*DATA!$D$5*DATA!$D$7)/1000000</f>
        <v>6.4397027725663095E-2</v>
      </c>
      <c r="J15" s="316">
        <f t="shared" ca="1" si="1"/>
        <v>3.057100757846245</v>
      </c>
      <c r="K15" s="314"/>
      <c r="L15" s="316">
        <f>((D15*DATA!$D$23)/1000000)+((E15*DATA!$D$24)/1000000)</f>
        <v>3.8140079999999998</v>
      </c>
      <c r="M15" s="316">
        <f t="shared" si="2"/>
        <v>3.8140079999999998</v>
      </c>
      <c r="N15" s="316">
        <f t="shared" ca="1" si="6"/>
        <v>0.75690724215375482</v>
      </c>
      <c r="O15" s="315">
        <f>1/(1+'[93]Asumsi I'!$C$3)^(KKF!A15)</f>
        <v>0.4038832279793691</v>
      </c>
      <c r="P15" s="316">
        <f t="shared" ca="1" si="7"/>
        <v>0.30570214024202047</v>
      </c>
      <c r="Q15" s="316">
        <f t="shared" ca="1" si="9"/>
        <v>3.0199290253736208</v>
      </c>
      <c r="S15" s="304" t="str">
        <f t="shared" ca="1" si="3"/>
        <v/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2640</v>
      </c>
      <c r="D16" s="316">
        <f t="shared" si="5"/>
        <v>440</v>
      </c>
      <c r="E16" s="316">
        <f t="shared" si="0"/>
        <v>2200</v>
      </c>
      <c r="F16" s="314"/>
      <c r="G16" s="318">
        <f ca="1">DATA!$D$11/1000000</f>
        <v>0.13061360898000002</v>
      </c>
      <c r="H16" s="318">
        <f>C16*DATA!$D$5/1000000</f>
        <v>2.8620901211405818</v>
      </c>
      <c r="I16" s="318">
        <f>(C16*DATA!$D$5*DATA!$D$7)/1000000</f>
        <v>6.4397027725663095E-2</v>
      </c>
      <c r="J16" s="316">
        <f t="shared" ca="1" si="1"/>
        <v>3.057100757846245</v>
      </c>
      <c r="K16" s="314"/>
      <c r="L16" s="316">
        <f>((D16*DATA!$D$23)/1000000)+((E16*DATA!$D$24)/1000000)</f>
        <v>3.8140079999999998</v>
      </c>
      <c r="M16" s="316">
        <f t="shared" si="2"/>
        <v>3.8140079999999998</v>
      </c>
      <c r="N16" s="316">
        <f t="shared" ca="1" si="6"/>
        <v>0.75690724215375482</v>
      </c>
      <c r="O16" s="315">
        <f>1/(1+'[93]Asumsi I'!$C$3)^(KKF!A16)</f>
        <v>0.36061002498157957</v>
      </c>
      <c r="P16" s="316">
        <f t="shared" ca="1" si="7"/>
        <v>0.27294833950180403</v>
      </c>
      <c r="Q16" s="316">
        <f t="shared" ca="1" si="9"/>
        <v>3.2928773648754248</v>
      </c>
      <c r="S16" s="304" t="str">
        <f t="shared" ca="1" si="3"/>
        <v/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2640</v>
      </c>
      <c r="D17" s="316">
        <f t="shared" si="5"/>
        <v>440</v>
      </c>
      <c r="E17" s="316">
        <f t="shared" si="0"/>
        <v>2200</v>
      </c>
      <c r="F17" s="314"/>
      <c r="G17" s="318">
        <f ca="1">DATA!$D$11/1000000</f>
        <v>0.13061360898000002</v>
      </c>
      <c r="H17" s="318">
        <f>C17*DATA!$D$5/1000000</f>
        <v>2.8620901211405818</v>
      </c>
      <c r="I17" s="318">
        <f>(C17*DATA!$D$5*DATA!$D$7)/1000000</f>
        <v>6.4397027725663095E-2</v>
      </c>
      <c r="J17" s="316">
        <f t="shared" ca="1" si="1"/>
        <v>3.057100757846245</v>
      </c>
      <c r="K17" s="314"/>
      <c r="L17" s="316">
        <f>((D17*DATA!$D$23)/1000000)+((E17*DATA!$D$24)/1000000)</f>
        <v>3.8140079999999998</v>
      </c>
      <c r="M17" s="316">
        <f t="shared" si="2"/>
        <v>3.8140079999999998</v>
      </c>
      <c r="N17" s="316">
        <f t="shared" ca="1" si="6"/>
        <v>0.75690724215375482</v>
      </c>
      <c r="O17" s="315">
        <f>1/(1+'[93]Asumsi I'!$C$3)^(KKF!A17)</f>
        <v>0.32197323659069599</v>
      </c>
      <c r="P17" s="316">
        <f t="shared" ca="1" si="7"/>
        <v>0.24370387455518211</v>
      </c>
      <c r="Q17" s="316">
        <f t="shared" ca="1" si="9"/>
        <v>3.5365812394306069</v>
      </c>
      <c r="S17" s="304" t="str">
        <f t="shared" ca="1" si="3"/>
        <v/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2640</v>
      </c>
      <c r="D18" s="316">
        <f t="shared" si="5"/>
        <v>440</v>
      </c>
      <c r="E18" s="316">
        <f t="shared" si="0"/>
        <v>2200</v>
      </c>
      <c r="F18" s="314"/>
      <c r="G18" s="318">
        <f ca="1">DATA!$D$11/1000000</f>
        <v>0.13061360898000002</v>
      </c>
      <c r="H18" s="318">
        <f>C18*DATA!$D$5/1000000</f>
        <v>2.8620901211405818</v>
      </c>
      <c r="I18" s="318">
        <f>(C18*DATA!$D$5*DATA!$D$7)/1000000</f>
        <v>6.4397027725663095E-2</v>
      </c>
      <c r="J18" s="316">
        <f t="shared" ca="1" si="1"/>
        <v>3.057100757846245</v>
      </c>
      <c r="K18" s="314"/>
      <c r="L18" s="316">
        <f>((D18*DATA!$D$23)/1000000)+((E18*DATA!$D$24)/1000000)</f>
        <v>3.8140079999999998</v>
      </c>
      <c r="M18" s="316">
        <f t="shared" si="2"/>
        <v>3.8140079999999998</v>
      </c>
      <c r="N18" s="316">
        <f t="shared" ca="1" si="6"/>
        <v>0.75690724215375482</v>
      </c>
      <c r="O18" s="315">
        <f>1/(1+'[93]Asumsi I'!$C$3)^(KKF!A18)</f>
        <v>0.28747610409883567</v>
      </c>
      <c r="P18" s="316">
        <f t="shared" ca="1" si="7"/>
        <v>0.21759274513855545</v>
      </c>
      <c r="Q18" s="316">
        <f t="shared" ca="1" si="9"/>
        <v>3.7541739845691624</v>
      </c>
      <c r="S18" s="304" t="str">
        <f t="shared" ca="1" si="3"/>
        <v/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2640</v>
      </c>
      <c r="D19" s="316">
        <f t="shared" si="5"/>
        <v>440</v>
      </c>
      <c r="E19" s="316">
        <f t="shared" si="0"/>
        <v>2200</v>
      </c>
      <c r="F19" s="314"/>
      <c r="G19" s="318">
        <f ca="1">DATA!$D$11/1000000</f>
        <v>0.13061360898000002</v>
      </c>
      <c r="H19" s="318">
        <f>C19*DATA!$D$5/1000000</f>
        <v>2.8620901211405818</v>
      </c>
      <c r="I19" s="318">
        <f>(C19*DATA!$D$5*DATA!$D$7)/1000000</f>
        <v>6.4397027725663095E-2</v>
      </c>
      <c r="J19" s="316">
        <f t="shared" ca="1" si="1"/>
        <v>3.057100757846245</v>
      </c>
      <c r="K19" s="314"/>
      <c r="L19" s="316">
        <f>((D19*DATA!$D$23)/1000000)+((E19*DATA!$D$24)/1000000)</f>
        <v>3.8140079999999998</v>
      </c>
      <c r="M19" s="316">
        <f t="shared" si="2"/>
        <v>3.8140079999999998</v>
      </c>
      <c r="N19" s="316">
        <f t="shared" ca="1" si="6"/>
        <v>0.75690724215375482</v>
      </c>
      <c r="O19" s="315">
        <f>1/(1+'[93]Asumsi I'!$C$3)^(KKF!A19)</f>
        <v>0.25667509294538904</v>
      </c>
      <c r="P19" s="316">
        <f t="shared" ca="1" si="7"/>
        <v>0.19427923673085309</v>
      </c>
      <c r="Q19" s="316">
        <f t="shared" ca="1" si="9"/>
        <v>3.9484532213000154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2640</v>
      </c>
      <c r="D20" s="316">
        <f t="shared" si="5"/>
        <v>440</v>
      </c>
      <c r="E20" s="316">
        <f t="shared" si="0"/>
        <v>2200</v>
      </c>
      <c r="F20" s="314"/>
      <c r="G20" s="318">
        <f ca="1">DATA!$D$11/1000000</f>
        <v>0.13061360898000002</v>
      </c>
      <c r="H20" s="318">
        <f>C20*DATA!$D$5/1000000</f>
        <v>2.8620901211405818</v>
      </c>
      <c r="I20" s="318">
        <f>(C20*DATA!$D$5*DATA!$D$7)/1000000</f>
        <v>6.4397027725663095E-2</v>
      </c>
      <c r="J20" s="316">
        <f t="shared" ca="1" si="1"/>
        <v>3.057100757846245</v>
      </c>
      <c r="K20" s="314"/>
      <c r="L20" s="316">
        <f>((D20*DATA!$D$23)/1000000)+((E20*DATA!$D$24)/1000000)</f>
        <v>3.8140079999999998</v>
      </c>
      <c r="M20" s="316">
        <f t="shared" si="2"/>
        <v>3.8140079999999998</v>
      </c>
      <c r="N20" s="316">
        <f t="shared" ca="1" si="6"/>
        <v>0.75690724215375482</v>
      </c>
      <c r="O20" s="315">
        <f>1/(1+'[93]Asumsi I'!$C$3)^(KKF!A20)</f>
        <v>0.22917419012981158</v>
      </c>
      <c r="P20" s="316">
        <f t="shared" ca="1" si="7"/>
        <v>0.17346360422397594</v>
      </c>
      <c r="Q20" s="316">
        <f t="shared" ca="1" si="9"/>
        <v>4.1219168255239911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2640</v>
      </c>
      <c r="D21" s="316">
        <f t="shared" si="5"/>
        <v>440</v>
      </c>
      <c r="E21" s="316">
        <f t="shared" si="0"/>
        <v>2200</v>
      </c>
      <c r="F21" s="314"/>
      <c r="G21" s="318">
        <f ca="1">DATA!$D$11/1000000</f>
        <v>0.13061360898000002</v>
      </c>
      <c r="H21" s="318">
        <f>C21*DATA!$D$5/1000000</f>
        <v>2.8620901211405818</v>
      </c>
      <c r="I21" s="318">
        <f>(C21*DATA!$D$5*DATA!$D$7)/1000000</f>
        <v>6.4397027725663095E-2</v>
      </c>
      <c r="J21" s="316">
        <f t="shared" ca="1" si="1"/>
        <v>3.057100757846245</v>
      </c>
      <c r="K21" s="314"/>
      <c r="L21" s="316">
        <f>((D21*DATA!$D$23)/1000000)+((E21*DATA!$D$24)/1000000)</f>
        <v>3.8140079999999998</v>
      </c>
      <c r="M21" s="316">
        <f t="shared" si="2"/>
        <v>3.8140079999999998</v>
      </c>
      <c r="N21" s="316">
        <f t="shared" ca="1" si="6"/>
        <v>0.75690724215375482</v>
      </c>
      <c r="O21" s="315">
        <f>1/(1+'[93]Asumsi I'!$C$3)^(KKF!A21)</f>
        <v>0.20461981261590317</v>
      </c>
      <c r="P21" s="316">
        <f t="shared" ca="1" si="7"/>
        <v>0.15487821805712135</v>
      </c>
      <c r="Q21" s="316">
        <f t="shared" ca="1" si="9"/>
        <v>4.2767950435811128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2640</v>
      </c>
      <c r="D22" s="316">
        <f t="shared" si="5"/>
        <v>440</v>
      </c>
      <c r="E22" s="316">
        <f t="shared" si="0"/>
        <v>2200</v>
      </c>
      <c r="F22" s="314"/>
      <c r="G22" s="318">
        <f ca="1">DATA!$D$11/1000000</f>
        <v>0.13061360898000002</v>
      </c>
      <c r="H22" s="318">
        <f>C22*DATA!$D$5/1000000</f>
        <v>2.8620901211405818</v>
      </c>
      <c r="I22" s="318">
        <f>(C22*DATA!$D$5*DATA!$D$7)/1000000</f>
        <v>6.4397027725663095E-2</v>
      </c>
      <c r="J22" s="316">
        <f t="shared" ca="1" si="1"/>
        <v>3.057100757846245</v>
      </c>
      <c r="K22" s="314"/>
      <c r="L22" s="316">
        <f>((D22*DATA!$D$23)/1000000)+((E22*DATA!$D$24)/1000000)</f>
        <v>3.8140079999999998</v>
      </c>
      <c r="M22" s="316">
        <f t="shared" si="2"/>
        <v>3.8140079999999998</v>
      </c>
      <c r="N22" s="316">
        <f t="shared" ca="1" si="6"/>
        <v>0.75690724215375482</v>
      </c>
      <c r="O22" s="315">
        <f>1/(1+'[93]Asumsi I'!$C$3)^(KKF!A22)</f>
        <v>0.18269626126419927</v>
      </c>
      <c r="P22" s="316">
        <f t="shared" ca="1" si="7"/>
        <v>0.13828412326528694</v>
      </c>
      <c r="Q22" s="316">
        <f t="shared" ca="1" si="9"/>
        <v>4.4150791668464002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2640</v>
      </c>
      <c r="D23" s="316">
        <f t="shared" si="5"/>
        <v>440</v>
      </c>
      <c r="E23" s="316">
        <f t="shared" si="0"/>
        <v>2200</v>
      </c>
      <c r="F23" s="314"/>
      <c r="G23" s="318">
        <f ca="1">DATA!$D$11/1000000</f>
        <v>0.13061360898000002</v>
      </c>
      <c r="H23" s="318">
        <f>C23*DATA!$D$5/1000000</f>
        <v>2.8620901211405818</v>
      </c>
      <c r="I23" s="318">
        <f>(C23*DATA!$D$5*DATA!$D$7)/1000000</f>
        <v>6.4397027725663095E-2</v>
      </c>
      <c r="J23" s="316">
        <f t="shared" ca="1" si="1"/>
        <v>3.057100757846245</v>
      </c>
      <c r="K23" s="314"/>
      <c r="L23" s="316">
        <f>((D23*DATA!$D$23)/1000000)+((E23*DATA!$D$24)/1000000)</f>
        <v>3.8140079999999998</v>
      </c>
      <c r="M23" s="316">
        <f t="shared" si="2"/>
        <v>3.8140079999999998</v>
      </c>
      <c r="N23" s="316">
        <f t="shared" ca="1" si="6"/>
        <v>0.75690724215375482</v>
      </c>
      <c r="O23" s="315">
        <f>1/(1+'[93]Asumsi I'!$C$3)^(KKF!A23)</f>
        <v>0.16312166184303503</v>
      </c>
      <c r="P23" s="316">
        <f t="shared" ca="1" si="7"/>
        <v>0.12346796720114903</v>
      </c>
      <c r="Q23" s="316">
        <f t="shared" ca="1" si="9"/>
        <v>4.5385471340475494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2640</v>
      </c>
      <c r="D24" s="316">
        <f t="shared" si="5"/>
        <v>440</v>
      </c>
      <c r="E24" s="316">
        <f t="shared" si="0"/>
        <v>2200</v>
      </c>
      <c r="F24" s="314"/>
      <c r="G24" s="318">
        <f ca="1">DATA!$D$11/1000000</f>
        <v>0.13061360898000002</v>
      </c>
      <c r="H24" s="318">
        <f>C24*DATA!$D$5/1000000</f>
        <v>2.8620901211405818</v>
      </c>
      <c r="I24" s="318">
        <f>(C24*DATA!$D$5*DATA!$D$7)/1000000</f>
        <v>6.4397027725663095E-2</v>
      </c>
      <c r="J24" s="316">
        <f t="shared" ca="1" si="1"/>
        <v>3.057100757846245</v>
      </c>
      <c r="K24" s="314"/>
      <c r="L24" s="316">
        <f>((D24*DATA!$D$23)/1000000)+((E24*DATA!$D$24)/1000000)</f>
        <v>3.8140079999999998</v>
      </c>
      <c r="M24" s="316">
        <f t="shared" si="2"/>
        <v>3.8140079999999998</v>
      </c>
      <c r="N24" s="316">
        <f t="shared" ca="1" si="6"/>
        <v>0.75690724215375482</v>
      </c>
      <c r="O24" s="315">
        <f>1/(1+'[93]Asumsi I'!$C$3)^(KKF!A24)</f>
        <v>0.14564434093128129</v>
      </c>
      <c r="P24" s="316">
        <f t="shared" ca="1" si="7"/>
        <v>0.11023925642959735</v>
      </c>
      <c r="Q24" s="316">
        <f t="shared" ca="1" si="9"/>
        <v>4.6487863904771469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2640</v>
      </c>
      <c r="D25" s="316">
        <f t="shared" si="5"/>
        <v>440</v>
      </c>
      <c r="E25" s="316">
        <f t="shared" si="0"/>
        <v>2200</v>
      </c>
      <c r="F25" s="314"/>
      <c r="G25" s="318">
        <f ca="1">DATA!$D$11/1000000</f>
        <v>0.13061360898000002</v>
      </c>
      <c r="H25" s="318">
        <f>C25*DATA!$D$5/1000000</f>
        <v>2.8620901211405818</v>
      </c>
      <c r="I25" s="318">
        <f>(C25*DATA!$D$5*DATA!$D$7)/1000000</f>
        <v>6.4397027725663095E-2</v>
      </c>
      <c r="J25" s="316">
        <f t="shared" ca="1" si="1"/>
        <v>3.057100757846245</v>
      </c>
      <c r="K25" s="314"/>
      <c r="L25" s="316">
        <f>((D25*DATA!$D$23)/1000000)+((E25*DATA!$D$24)/1000000)</f>
        <v>3.8140079999999998</v>
      </c>
      <c r="M25" s="316">
        <f t="shared" si="2"/>
        <v>3.8140079999999998</v>
      </c>
      <c r="N25" s="316">
        <f t="shared" ca="1" si="6"/>
        <v>0.75690724215375482</v>
      </c>
      <c r="O25" s="315">
        <f>1/(1+'[93]Asumsi I'!$C$3)^(KKF!A25)</f>
        <v>0.13003959011721541</v>
      </c>
      <c r="P25" s="316">
        <f t="shared" ca="1" si="7"/>
        <v>9.8427907526426189E-2</v>
      </c>
      <c r="Q25" s="316">
        <f t="shared" ca="1" si="9"/>
        <v>4.7472142980035734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2640</v>
      </c>
      <c r="D26" s="316">
        <f t="shared" si="5"/>
        <v>440</v>
      </c>
      <c r="E26" s="316">
        <f t="shared" si="0"/>
        <v>2200</v>
      </c>
      <c r="F26" s="314"/>
      <c r="G26" s="318">
        <f ca="1">DATA!$D$11/1000000</f>
        <v>0.13061360898000002</v>
      </c>
      <c r="H26" s="318">
        <f>C26*DATA!$D$5/1000000</f>
        <v>2.8620901211405818</v>
      </c>
      <c r="I26" s="318">
        <f>(C26*DATA!$D$5*DATA!$D$7)/1000000</f>
        <v>6.4397027725663095E-2</v>
      </c>
      <c r="J26" s="316">
        <f t="shared" ca="1" si="1"/>
        <v>3.057100757846245</v>
      </c>
      <c r="K26" s="314"/>
      <c r="L26" s="316">
        <f>((D26*DATA!$D$23)/1000000)+((E26*DATA!$D$24)/1000000)</f>
        <v>3.8140079999999998</v>
      </c>
      <c r="M26" s="316">
        <f t="shared" si="2"/>
        <v>3.8140079999999998</v>
      </c>
      <c r="N26" s="316">
        <f t="shared" ca="1" si="6"/>
        <v>0.75690724215375482</v>
      </c>
      <c r="O26" s="315">
        <f>1/(1+'[93]Asumsi I'!$C$3)^(KKF!A26)</f>
        <v>0.1161067768903709</v>
      </c>
      <c r="P26" s="316">
        <f t="shared" ca="1" si="7"/>
        <v>8.7882060291451944E-2</v>
      </c>
      <c r="Q26" s="316">
        <f t="shared" ca="1" si="9"/>
        <v>4.8350963582950257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2640</v>
      </c>
      <c r="D27" s="316">
        <f t="shared" si="5"/>
        <v>440</v>
      </c>
      <c r="E27" s="316">
        <f t="shared" si="0"/>
        <v>2200</v>
      </c>
      <c r="F27" s="314"/>
      <c r="G27" s="318">
        <f ca="1">DATA!$D$11/1000000</f>
        <v>0.13061360898000002</v>
      </c>
      <c r="H27" s="318">
        <f>C27*DATA!$D$5/1000000</f>
        <v>2.8620901211405818</v>
      </c>
      <c r="I27" s="318">
        <f>(C27*DATA!$D$5*DATA!$D$7)/1000000</f>
        <v>6.4397027725663095E-2</v>
      </c>
      <c r="J27" s="316">
        <f t="shared" ca="1" si="1"/>
        <v>3.057100757846245</v>
      </c>
      <c r="K27" s="314"/>
      <c r="L27" s="316">
        <f>((D27*DATA!$D$23)/1000000)+((E27*DATA!$D$24)/1000000)</f>
        <v>3.8140079999999998</v>
      </c>
      <c r="M27" s="316">
        <f t="shared" si="2"/>
        <v>3.8140079999999998</v>
      </c>
      <c r="N27" s="316">
        <f t="shared" ca="1" si="6"/>
        <v>0.75690724215375482</v>
      </c>
      <c r="O27" s="315">
        <f>1/(1+'[93]Asumsi I'!$C$3)^(KKF!A27)</f>
        <v>0.1036667650806883</v>
      </c>
      <c r="P27" s="316">
        <f t="shared" ca="1" si="7"/>
        <v>7.846612526022495E-2</v>
      </c>
      <c r="Q27" s="316">
        <f t="shared" ca="1" si="9"/>
        <v>4.9135624835552507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2640</v>
      </c>
      <c r="D28" s="316">
        <f t="shared" si="5"/>
        <v>440</v>
      </c>
      <c r="E28" s="316">
        <f t="shared" si="0"/>
        <v>2200</v>
      </c>
      <c r="F28" s="314"/>
      <c r="G28" s="318">
        <f ca="1">DATA!$D$11/1000000</f>
        <v>0.13061360898000002</v>
      </c>
      <c r="H28" s="318">
        <f>C28*DATA!$D$5/1000000</f>
        <v>2.8620901211405818</v>
      </c>
      <c r="I28" s="318">
        <f>(C28*DATA!$D$5*DATA!$D$7)/1000000</f>
        <v>6.4397027725663095E-2</v>
      </c>
      <c r="J28" s="316">
        <f t="shared" ca="1" si="1"/>
        <v>3.057100757846245</v>
      </c>
      <c r="K28" s="314"/>
      <c r="L28" s="316">
        <f>((D28*DATA!$D$23)/1000000)+((E28*DATA!$D$24)/1000000)</f>
        <v>3.8140079999999998</v>
      </c>
      <c r="M28" s="316">
        <f t="shared" si="2"/>
        <v>3.8140079999999998</v>
      </c>
      <c r="N28" s="316">
        <f t="shared" ca="1" si="6"/>
        <v>0.75690724215375482</v>
      </c>
      <c r="O28" s="315">
        <f>1/(1+'[93]Asumsi I'!$C$3)^(KKF!A28)</f>
        <v>9.2559611679185971E-2</v>
      </c>
      <c r="P28" s="316">
        <f t="shared" ca="1" si="7"/>
        <v>7.0059040410915124E-2</v>
      </c>
      <c r="Q28" s="316">
        <f t="shared" ca="1" si="9"/>
        <v>4.9836215239661659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2640</v>
      </c>
      <c r="D29" s="316">
        <f t="shared" si="5"/>
        <v>440</v>
      </c>
      <c r="E29" s="316">
        <f t="shared" si="0"/>
        <v>2200</v>
      </c>
      <c r="F29" s="314"/>
      <c r="G29" s="318">
        <f ca="1">DATA!$D$11/1000000</f>
        <v>0.13061360898000002</v>
      </c>
      <c r="H29" s="318">
        <f>C29*DATA!$D$5/1000000</f>
        <v>2.8620901211405818</v>
      </c>
      <c r="I29" s="318">
        <f>(C29*DATA!$D$5*DATA!$D$7)/1000000</f>
        <v>6.4397027725663095E-2</v>
      </c>
      <c r="J29" s="316">
        <f t="shared" ca="1" si="1"/>
        <v>3.057100757846245</v>
      </c>
      <c r="K29" s="314"/>
      <c r="L29" s="316">
        <f>((D29*DATA!$D$23)/1000000)+((E29*DATA!$D$24)/1000000)</f>
        <v>3.8140079999999998</v>
      </c>
      <c r="M29" s="316">
        <f t="shared" si="2"/>
        <v>3.8140079999999998</v>
      </c>
      <c r="N29" s="316">
        <f t="shared" ca="1" si="6"/>
        <v>0.75690724215375482</v>
      </c>
      <c r="O29" s="315">
        <f>1/(1+'[93]Asumsi I'!$C$3)^(KKF!A29)</f>
        <v>8.2642510427844609E-2</v>
      </c>
      <c r="P29" s="316">
        <f t="shared" ca="1" si="7"/>
        <v>6.2552714652602787E-2</v>
      </c>
      <c r="Q29" s="316">
        <f t="shared" ca="1" si="9"/>
        <v>5.0461742386187689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2640</v>
      </c>
      <c r="D30" s="316">
        <f t="shared" si="5"/>
        <v>440</v>
      </c>
      <c r="E30" s="316">
        <f t="shared" si="0"/>
        <v>2200</v>
      </c>
      <c r="F30" s="314"/>
      <c r="G30" s="318">
        <f ca="1">DATA!$D$11/1000000</f>
        <v>0.13061360898000002</v>
      </c>
      <c r="H30" s="318">
        <f>C30*DATA!$D$5/1000000</f>
        <v>2.8620901211405818</v>
      </c>
      <c r="I30" s="318">
        <f>(C30*DATA!$D$5*DATA!$D$7)/1000000</f>
        <v>6.4397027725663095E-2</v>
      </c>
      <c r="J30" s="316">
        <f t="shared" ca="1" si="1"/>
        <v>3.057100757846245</v>
      </c>
      <c r="K30" s="314"/>
      <c r="L30" s="316">
        <f>((D30*DATA!$D$23)/1000000)+((E30*DATA!$D$24)/1000000)</f>
        <v>3.8140079999999998</v>
      </c>
      <c r="M30" s="316">
        <f t="shared" si="2"/>
        <v>3.8140079999999998</v>
      </c>
      <c r="N30" s="316">
        <f t="shared" ca="1" si="6"/>
        <v>0.75690724215375482</v>
      </c>
      <c r="O30" s="315">
        <f>1/(1+'[93]Asumsi I'!$C$3)^(KKF!A30)</f>
        <v>7.3787955739146982E-2</v>
      </c>
      <c r="P30" s="316">
        <f t="shared" ca="1" si="7"/>
        <v>5.5850638082681064E-2</v>
      </c>
      <c r="Q30" s="316">
        <f t="shared" ca="1" si="9"/>
        <v>5.1020248767014502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2640</v>
      </c>
      <c r="D31" s="316">
        <f t="shared" si="5"/>
        <v>440</v>
      </c>
      <c r="E31" s="316">
        <f t="shared" si="0"/>
        <v>2200</v>
      </c>
      <c r="F31" s="314"/>
      <c r="G31" s="318">
        <f ca="1">DATA!$D$11/1000000</f>
        <v>0.13061360898000002</v>
      </c>
      <c r="H31" s="318">
        <f>C31*DATA!$D$5/1000000</f>
        <v>2.8620901211405818</v>
      </c>
      <c r="I31" s="318">
        <f>(C31*DATA!$D$5*DATA!$D$7)/1000000</f>
        <v>6.4397027725663095E-2</v>
      </c>
      <c r="J31" s="316">
        <f t="shared" ca="1" si="1"/>
        <v>3.057100757846245</v>
      </c>
      <c r="K31" s="314"/>
      <c r="L31" s="316">
        <f>((D31*DATA!$D$23)/1000000)+((E31*DATA!$D$24)/1000000)</f>
        <v>3.8140079999999998</v>
      </c>
      <c r="M31" s="316">
        <f t="shared" si="2"/>
        <v>3.8140079999999998</v>
      </c>
      <c r="N31" s="316">
        <f t="shared" ca="1" si="6"/>
        <v>0.75690724215375482</v>
      </c>
      <c r="O31" s="315">
        <f>1/(1+'[93]Asumsi I'!$C$3)^(KKF!A31)</f>
        <v>6.5882103338524081E-2</v>
      </c>
      <c r="P31" s="316">
        <f t="shared" ca="1" si="7"/>
        <v>4.9866641145250946E-2</v>
      </c>
      <c r="Q31" s="316">
        <f ca="1">Q30+P31</f>
        <v>5.1518915178467015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2640</v>
      </c>
      <c r="D32" s="316">
        <f t="shared" si="5"/>
        <v>440</v>
      </c>
      <c r="E32" s="316">
        <f t="shared" si="0"/>
        <v>2200</v>
      </c>
      <c r="F32" s="314"/>
      <c r="G32" s="318">
        <f ca="1">DATA!$D$11/1000000</f>
        <v>0.13061360898000002</v>
      </c>
      <c r="H32" s="318">
        <f>C32*DATA!$D$5/1000000</f>
        <v>2.8620901211405818</v>
      </c>
      <c r="I32" s="318">
        <f>(C32*DATA!$D$5*DATA!$D$7)/1000000</f>
        <v>6.4397027725663095E-2</v>
      </c>
      <c r="J32" s="316">
        <f t="shared" ca="1" si="1"/>
        <v>3.057100757846245</v>
      </c>
      <c r="K32" s="314"/>
      <c r="L32" s="316">
        <f>((D32*DATA!$D$23)/1000000)+((E32*DATA!$D$24)/1000000)</f>
        <v>3.8140079999999998</v>
      </c>
      <c r="M32" s="316">
        <f t="shared" si="2"/>
        <v>3.8140079999999998</v>
      </c>
      <c r="N32" s="316">
        <f t="shared" ca="1" si="6"/>
        <v>0.75690724215375482</v>
      </c>
      <c r="O32" s="315">
        <f>1/(1+'[93]Asumsi I'!$C$3)^(KKF!A32)</f>
        <v>5.8823306552253637E-2</v>
      </c>
      <c r="P32" s="316">
        <f t="shared" ca="1" si="7"/>
        <v>4.4523786736831196E-2</v>
      </c>
      <c r="Q32" s="316">
        <f ca="1">Q31+P32</f>
        <v>5.1964153045835326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3" t="s">
        <v>1374</v>
      </c>
      <c r="G33" s="603"/>
      <c r="H33" s="603"/>
      <c r="I33" s="324"/>
      <c r="J33" s="325">
        <f ca="1">SUM(J7:J32)</f>
        <v>85.039804436713595</v>
      </c>
      <c r="K33" s="603" t="s">
        <v>1375</v>
      </c>
      <c r="L33" s="603"/>
      <c r="M33" s="325">
        <f>SUM(M7:M32)</f>
        <v>103.22237200000002</v>
      </c>
      <c r="N33" s="323"/>
      <c r="O33" s="323"/>
      <c r="P33" s="326"/>
      <c r="Q33" s="326"/>
      <c r="S33" s="304">
        <f ca="1">COUNTIF(S7:S32,"a")</f>
        <v>2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11.378257481130079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>
        <f ca="1">AVERAGE(T7:T32)</f>
        <v>1.4318715245816889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1.2138124338799232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4.6396565219495809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1.0226907559402116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5" priority="1" stopIfTrue="1" operator="greaterThanOrEqual">
      <formula>$F$7</formula>
    </cfRule>
    <cfRule type="cellIs" dxfId="14" priority="2" stopIfTrue="1" operator="lessThan">
      <formula>$F$7</formula>
    </cfRule>
  </conditionalFormatting>
  <conditionalFormatting sqref="Q7:Q32">
    <cfRule type="cellIs" dxfId="13" priority="3" operator="lessThan">
      <formula>0</formula>
    </cfRule>
    <cfRule type="cellIs" dxfId="12" priority="4" operator="lessThan">
      <formula>0</formula>
    </cfRule>
    <cfRule type="cellIs" dxfId="11" priority="5" operator="lessThan">
      <formula>-6395.81</formula>
    </cfRule>
    <cfRule type="cellIs" dxfId="1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61"/>
  <sheetViews>
    <sheetView showGridLines="0" tabSelected="1" zoomScale="70" zoomScaleNormal="70" zoomScaleSheetLayoutView="70" workbookViewId="0">
      <pane ySplit="13" topLeftCell="A14" activePane="bottomLeft" state="frozen"/>
      <selection activeCell="H1093" sqref="H1093"/>
      <selection pane="bottomLeft" activeCell="G8" sqref="G8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06" t="s">
        <v>1036</v>
      </c>
      <c r="P3" s="606"/>
      <c r="Q3" s="346"/>
      <c r="T3" s="344"/>
      <c r="U3" s="345" t="s">
        <v>1041</v>
      </c>
      <c r="V3" s="344"/>
    </row>
    <row r="4" spans="1:22" ht="15.75" customHeight="1">
      <c r="B4" s="607" t="s">
        <v>1023</v>
      </c>
      <c r="C4" s="607"/>
      <c r="D4" s="607"/>
      <c r="E4" s="607"/>
      <c r="F4" s="607"/>
      <c r="G4" s="607"/>
      <c r="H4" s="607"/>
      <c r="I4" s="607"/>
      <c r="J4" s="607"/>
      <c r="K4" s="607"/>
      <c r="O4" s="606"/>
      <c r="P4" s="606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3" t="str">
        <f>DATA!D14</f>
        <v>BAWASLU</v>
      </c>
      <c r="H6" s="623"/>
      <c r="I6" s="623"/>
      <c r="J6" s="623"/>
      <c r="K6" s="623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1625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09" t="s">
        <v>0</v>
      </c>
      <c r="C11" s="611" t="s">
        <v>1</v>
      </c>
      <c r="D11" s="614" t="s">
        <v>42</v>
      </c>
      <c r="E11" s="614" t="s">
        <v>43</v>
      </c>
      <c r="F11" s="614" t="s">
        <v>2</v>
      </c>
      <c r="G11" s="616" t="s">
        <v>41</v>
      </c>
      <c r="H11" s="614" t="s">
        <v>3</v>
      </c>
      <c r="I11" s="614"/>
      <c r="J11" s="614"/>
      <c r="K11" s="633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10"/>
      <c r="C12" s="612"/>
      <c r="D12" s="615"/>
      <c r="E12" s="615"/>
      <c r="F12" s="615"/>
      <c r="G12" s="617"/>
      <c r="H12" s="619" t="s">
        <v>46</v>
      </c>
      <c r="I12" s="619" t="s">
        <v>5</v>
      </c>
      <c r="J12" s="615" t="s">
        <v>47</v>
      </c>
      <c r="K12" s="634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10"/>
      <c r="C13" s="613"/>
      <c r="D13" s="615"/>
      <c r="E13" s="615"/>
      <c r="F13" s="615"/>
      <c r="G13" s="618"/>
      <c r="H13" s="620"/>
      <c r="I13" s="620"/>
      <c r="J13" s="615"/>
      <c r="K13" s="634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66" t="s">
        <v>1613</v>
      </c>
      <c r="C17" s="367" t="s">
        <v>1618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0</v>
      </c>
      <c r="J17" s="361">
        <f t="shared" ref="J17" ca="1" si="10">IF(D17="JASA",G17*F17,0)</f>
        <v>0</v>
      </c>
      <c r="K17" s="362">
        <f t="shared" ref="K17" ca="1" si="11">SUM(H17:J17)</f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65" customFormat="1">
      <c r="A18" s="336"/>
      <c r="B18" s="498"/>
      <c r="C18" s="499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501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ref="H18:H19" ca="1" si="12">IF(OR(D18="MDU",D18="MDU-KD"),(IF($O$3="RAB NON MDU","PLN KD",G18*F18)),0)</f>
        <v>0</v>
      </c>
      <c r="I18" s="361">
        <f t="shared" ref="I18:I19" ca="1" si="13">IF(D18="HDW",G18*F18,0)</f>
        <v>0</v>
      </c>
      <c r="J18" s="361">
        <f t="shared" ref="J18:J19" ca="1" si="14">IF(D18="JASA",G18*F18,0)</f>
        <v>0</v>
      </c>
      <c r="K18" s="362">
        <f t="shared" ref="K18:K19" ca="1" si="15">SUM(H18:J18)</f>
        <v>0</v>
      </c>
      <c r="L18" s="342"/>
      <c r="M18" s="342"/>
      <c r="N18" s="369"/>
      <c r="O18" s="344"/>
      <c r="P18" s="397"/>
      <c r="Q18" s="344"/>
    </row>
    <row r="19" spans="1:22">
      <c r="B19" s="366" t="s">
        <v>1614</v>
      </c>
      <c r="C19" s="367" t="s">
        <v>1616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501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12"/>
        <v>0</v>
      </c>
      <c r="I19" s="361">
        <f t="shared" ca="1" si="13"/>
        <v>0</v>
      </c>
      <c r="J19" s="361">
        <f t="shared" ca="1" si="14"/>
        <v>0</v>
      </c>
      <c r="K19" s="362">
        <f t="shared" ca="1" si="15"/>
        <v>0</v>
      </c>
    </row>
    <row r="20" spans="1:22">
      <c r="B20" s="494"/>
      <c r="C20" s="497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502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ref="H20" ca="1" si="16">IF(OR(D20="MDU",D20="MDU-KD"),(IF($O$3="RAB NON MDU","PLN KD",G20*F20)),0)</f>
        <v>0</v>
      </c>
      <c r="I20" s="361">
        <f t="shared" ref="I20" ca="1" si="17">IF(D20="HDW",G20*F20,0)</f>
        <v>0</v>
      </c>
      <c r="J20" s="361">
        <f t="shared" ref="J20" ca="1" si="18">IF(D20="JASA",G20*F20,0)</f>
        <v>0</v>
      </c>
      <c r="K20" s="362">
        <f t="shared" ref="K20" ca="1" si="19">SUM(H20:J20)</f>
        <v>0</v>
      </c>
    </row>
    <row r="21" spans="1:22">
      <c r="B21" s="495" t="s">
        <v>1615</v>
      </c>
      <c r="C21" s="500" t="s">
        <v>1621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ref="H21:H27" ca="1" si="20">IF(OR(D21="MDU",D21="MDU-KD"),(IF($O$3="RAB NON MDU","PLN KD",G21*F21)),0)</f>
        <v>0</v>
      </c>
      <c r="I21" s="361">
        <f t="shared" ref="I21:I27" ca="1" si="21">IF(D21="HDW",G21*F21,0)</f>
        <v>0</v>
      </c>
      <c r="J21" s="361">
        <f t="shared" ref="J21:J27" ca="1" si="22">IF(D21="JASA",G21*F21,0)</f>
        <v>0</v>
      </c>
      <c r="K21" s="362">
        <f t="shared" ref="K21:K27" ca="1" si="23">SUM(H21:J21)</f>
        <v>0</v>
      </c>
    </row>
    <row r="22" spans="1:22">
      <c r="B22" s="495"/>
      <c r="C22" s="496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504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20"/>
        <v>0</v>
      </c>
      <c r="I22" s="361">
        <f t="shared" ca="1" si="21"/>
        <v>0</v>
      </c>
      <c r="J22" s="361">
        <f t="shared" ca="1" si="22"/>
        <v>0</v>
      </c>
      <c r="K22" s="362">
        <f t="shared" ca="1" si="23"/>
        <v>0</v>
      </c>
    </row>
    <row r="23" spans="1:22">
      <c r="B23" s="495" t="s">
        <v>1035</v>
      </c>
      <c r="C23" s="496" t="s">
        <v>1622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>Unit</v>
      </c>
      <c r="F23" s="505">
        <v>1</v>
      </c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20"/>
        <v>0</v>
      </c>
      <c r="I23" s="361">
        <f t="shared" ca="1" si="21"/>
        <v>0</v>
      </c>
      <c r="J23" s="361">
        <f t="shared" ca="1" si="22"/>
        <v>0</v>
      </c>
      <c r="K23" s="362">
        <f t="shared" ca="1" si="23"/>
        <v>0</v>
      </c>
    </row>
    <row r="24" spans="1:22" ht="30">
      <c r="B24" s="705">
        <v>1</v>
      </c>
      <c r="C24" s="109" t="s">
        <v>1197</v>
      </c>
      <c r="D24" s="358" t="str">
        <f ca="1">IF(ISERROR(OFFSET('HARGA SATUAN'!$D$6,MATCH(RAB!C24,'HARGA SATUAN'!$C$7:$C$1492,0),0)),"",OFFSET('HARGA SATUAN'!$D$6,MATCH(RAB!C24,'HARGA SATUAN'!$C$7:$C$1492,0),0))</f>
        <v>MDU-KD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505">
        <f>F23*1</f>
        <v>1</v>
      </c>
      <c r="G24" s="360">
        <f ca="1">IF(ISERROR(OFFSET('HARGA SATUAN'!$I$6,MATCH(RAB!C24,'HARGA SATUAN'!$C$7:$C$1492,0),0)),0,OFFSET('HARGA SATUAN'!$I$6,MATCH(RAB!C24,'HARGA SATUAN'!$C$7:$C$1492,0),0))</f>
        <v>1427400</v>
      </c>
      <c r="H24" s="361">
        <f t="shared" ca="1" si="20"/>
        <v>1427400</v>
      </c>
      <c r="I24" s="361">
        <f t="shared" ca="1" si="21"/>
        <v>0</v>
      </c>
      <c r="J24" s="361">
        <f t="shared" ca="1" si="22"/>
        <v>0</v>
      </c>
      <c r="K24" s="362">
        <f t="shared" ca="1" si="23"/>
        <v>1427400</v>
      </c>
    </row>
    <row r="25" spans="1:22">
      <c r="B25" s="705">
        <v>2</v>
      </c>
      <c r="C25" s="706" t="s">
        <v>511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Unit</v>
      </c>
      <c r="F25" s="505">
        <f>F23*1</f>
        <v>1</v>
      </c>
      <c r="G25" s="360">
        <f ca="1">IF(ISERROR(OFFSET('HARGA SATUAN'!$I$6,MATCH(RAB!C25,'HARGA SATUAN'!$C$7:$C$1492,0),0)),0,OFFSET('HARGA SATUAN'!$I$6,MATCH(RAB!C25,'HARGA SATUAN'!$C$7:$C$1492,0),0))</f>
        <v>3564900</v>
      </c>
      <c r="H25" s="361">
        <f t="shared" ca="1" si="20"/>
        <v>3564900</v>
      </c>
      <c r="I25" s="361">
        <f t="shared" ca="1" si="21"/>
        <v>0</v>
      </c>
      <c r="J25" s="361">
        <f t="shared" ca="1" si="22"/>
        <v>0</v>
      </c>
      <c r="K25" s="362">
        <f t="shared" ca="1" si="23"/>
        <v>3564900</v>
      </c>
    </row>
    <row r="26" spans="1:22">
      <c r="B26" s="705">
        <v>3</v>
      </c>
      <c r="C26" s="706" t="s">
        <v>77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Mtr</v>
      </c>
      <c r="F26" s="505">
        <f>F23*35</f>
        <v>35</v>
      </c>
      <c r="G26" s="360">
        <f ca="1">IF(ISERROR(OFFSET('HARGA SATUAN'!$I$6,MATCH(RAB!C26,'HARGA SATUAN'!$C$7:$C$1492,0),0)),0,OFFSET('HARGA SATUAN'!$I$6,MATCH(RAB!C26,'HARGA SATUAN'!$C$7:$C$1492,0),0))</f>
        <v>13500</v>
      </c>
      <c r="H26" s="361">
        <f t="shared" ca="1" si="20"/>
        <v>472500</v>
      </c>
      <c r="I26" s="361">
        <f t="shared" ca="1" si="21"/>
        <v>0</v>
      </c>
      <c r="J26" s="361">
        <f t="shared" ca="1" si="22"/>
        <v>0</v>
      </c>
      <c r="K26" s="362">
        <f t="shared" ca="1" si="23"/>
        <v>472500</v>
      </c>
    </row>
    <row r="27" spans="1:22">
      <c r="B27" s="705">
        <v>4</v>
      </c>
      <c r="C27" s="706" t="s">
        <v>799</v>
      </c>
      <c r="D27" s="358" t="str">
        <f ca="1">IF(ISERROR(OFFSET('HARGA SATUAN'!$D$6,MATCH(RAB!C27,'HARGA SATUAN'!$C$7:$C$1492,0),0)),"",OFFSET('HARGA SATUAN'!$D$6,MATCH(RAB!C27,'HARGA SATUAN'!$C$7:$C$1492,0),0))</f>
        <v>JASA</v>
      </c>
      <c r="E27" s="359" t="str">
        <f ca="1">IF(B27="+","Unit",IF(ISERROR(OFFSET('HARGA SATUAN'!$E$6,MATCH(RAB!C27,'HARGA SATUAN'!$C$7:$C$1492,0),0)),"",OFFSET('HARGA SATUAN'!$E$6,MATCH(RAB!C27,'HARGA SATUAN'!$C$7:$C$1492,0),0)))</f>
        <v>Unit</v>
      </c>
      <c r="F27" s="505">
        <f>F23*1</f>
        <v>1</v>
      </c>
      <c r="G27" s="360">
        <f ca="1">IF(ISERROR(OFFSET('HARGA SATUAN'!$I$6,MATCH(RAB!C27,'HARGA SATUAN'!$C$7:$C$1492,0),0)),0,OFFSET('HARGA SATUAN'!$I$6,MATCH(RAB!C27,'HARGA SATUAN'!$C$7:$C$1492,0),0))</f>
        <v>106400</v>
      </c>
      <c r="H27" s="361">
        <f t="shared" ca="1" si="20"/>
        <v>0</v>
      </c>
      <c r="I27" s="361">
        <f t="shared" ca="1" si="21"/>
        <v>0</v>
      </c>
      <c r="J27" s="361">
        <f t="shared" ca="1" si="22"/>
        <v>106400</v>
      </c>
      <c r="K27" s="362">
        <f t="shared" ca="1" si="23"/>
        <v>106400</v>
      </c>
    </row>
    <row r="28" spans="1:22">
      <c r="B28" s="374"/>
      <c r="C28" s="503"/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/>
      </c>
      <c r="F28" s="368"/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ref="H28:H29" ca="1" si="24">IF(OR(D28="MDU",D28="MDU-KD"),(IF($O$3="RAB NON MDU","PLN KD",G28*F28)),0)</f>
        <v>0</v>
      </c>
      <c r="I28" s="361">
        <f t="shared" ref="I28:I29" ca="1" si="25">IF(D28="HDW",G28*F28,0)</f>
        <v>0</v>
      </c>
      <c r="J28" s="361">
        <f t="shared" ref="J28:J29" ca="1" si="26">IF(D28="JASA",G28*F28,0)</f>
        <v>0</v>
      </c>
      <c r="K28" s="362">
        <f t="shared" ref="K28:K29" ca="1" si="27">SUM(H28:J28)</f>
        <v>0</v>
      </c>
    </row>
    <row r="29" spans="1:22">
      <c r="B29" s="705" t="s">
        <v>1035</v>
      </c>
      <c r="C29" s="706" t="s">
        <v>1623</v>
      </c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>Unit</v>
      </c>
      <c r="F29" s="707">
        <v>1</v>
      </c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ca="1" si="24"/>
        <v>0</v>
      </c>
      <c r="I29" s="361">
        <f t="shared" ca="1" si="25"/>
        <v>0</v>
      </c>
      <c r="J29" s="361">
        <f t="shared" ca="1" si="26"/>
        <v>0</v>
      </c>
      <c r="K29" s="362">
        <f t="shared" ca="1" si="27"/>
        <v>0</v>
      </c>
    </row>
    <row r="30" spans="1:22">
      <c r="B30" s="705">
        <v>1</v>
      </c>
      <c r="C30" s="706" t="s">
        <v>115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Set</v>
      </c>
      <c r="F30" s="707">
        <f>F29*1</f>
        <v>1</v>
      </c>
      <c r="G30" s="360">
        <f ca="1">IF(ISERROR(OFFSET('HARGA SATUAN'!$I$6,MATCH(RAB!C30,'HARGA SATUAN'!$C$7:$C$1492,0),0)),0,OFFSET('HARGA SATUAN'!$I$6,MATCH(RAB!C30,'HARGA SATUAN'!$C$7:$C$1492,0),0))</f>
        <v>11500</v>
      </c>
      <c r="H30" s="361">
        <f t="shared" ref="H30:H38" ca="1" si="28">IF(OR(D30="MDU",D30="MDU-KD"),(IF($O$3="RAB NON MDU","PLN KD",G30*F30)),0)</f>
        <v>0</v>
      </c>
      <c r="I30" s="361">
        <f t="shared" ref="I30:I38" ca="1" si="29">IF(D30="HDW",G30*F30,0)</f>
        <v>11500</v>
      </c>
      <c r="J30" s="361">
        <f t="shared" ref="J30:J38" ca="1" si="30">IF(D30="JASA",G30*F30,0)</f>
        <v>0</v>
      </c>
      <c r="K30" s="362">
        <f t="shared" ref="K30:K38" ca="1" si="31">SUM(H30:J30)</f>
        <v>11500</v>
      </c>
    </row>
    <row r="31" spans="1:22">
      <c r="B31" s="705">
        <v>2</v>
      </c>
      <c r="C31" s="706" t="s">
        <v>145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Set</v>
      </c>
      <c r="F31" s="707">
        <f>F29*1</f>
        <v>1</v>
      </c>
      <c r="G31" s="360">
        <f ca="1">IF(ISERROR(OFFSET('HARGA SATUAN'!$I$6,MATCH(RAB!C31,'HARGA SATUAN'!$C$7:$C$1492,0),0)),0,OFFSET('HARGA SATUAN'!$I$6,MATCH(RAB!C31,'HARGA SATUAN'!$C$7:$C$1492,0),0))</f>
        <v>6200</v>
      </c>
      <c r="H31" s="361">
        <f t="shared" ca="1" si="28"/>
        <v>0</v>
      </c>
      <c r="I31" s="361">
        <f t="shared" ca="1" si="29"/>
        <v>6200</v>
      </c>
      <c r="J31" s="361">
        <f t="shared" ca="1" si="30"/>
        <v>0</v>
      </c>
      <c r="K31" s="362">
        <f t="shared" ca="1" si="31"/>
        <v>6200</v>
      </c>
    </row>
    <row r="32" spans="1:22">
      <c r="B32" s="705">
        <v>3</v>
      </c>
      <c r="C32" s="706" t="s">
        <v>587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Btg</v>
      </c>
      <c r="F32" s="707">
        <f>F29*1</f>
        <v>1</v>
      </c>
      <c r="G32" s="360">
        <f ca="1">IF(ISERROR(OFFSET('HARGA SATUAN'!$I$6,MATCH(RAB!C32,'HARGA SATUAN'!$C$7:$C$1492,0),0)),0,OFFSET('HARGA SATUAN'!$I$6,MATCH(RAB!C32,'HARGA SATUAN'!$C$7:$C$1492,0),0))</f>
        <v>45796</v>
      </c>
      <c r="H32" s="361">
        <f t="shared" ca="1" si="28"/>
        <v>0</v>
      </c>
      <c r="I32" s="361">
        <f t="shared" ca="1" si="29"/>
        <v>45796</v>
      </c>
      <c r="J32" s="361">
        <f t="shared" ca="1" si="30"/>
        <v>0</v>
      </c>
      <c r="K32" s="362">
        <f t="shared" ca="1" si="31"/>
        <v>45796</v>
      </c>
    </row>
    <row r="33" spans="2:13">
      <c r="B33" s="705">
        <v>4</v>
      </c>
      <c r="C33" s="706" t="s">
        <v>118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Set</v>
      </c>
      <c r="F33" s="707">
        <f>F29*1</f>
        <v>1</v>
      </c>
      <c r="G33" s="360">
        <f ca="1">IF(ISERROR(OFFSET('HARGA SATUAN'!$I$6,MATCH(RAB!C33,'HARGA SATUAN'!$C$7:$C$1492,0),0)),0,OFFSET('HARGA SATUAN'!$I$6,MATCH(RAB!C33,'HARGA SATUAN'!$C$7:$C$1492,0),0))</f>
        <v>5300</v>
      </c>
      <c r="H33" s="361">
        <f t="shared" ca="1" si="28"/>
        <v>0</v>
      </c>
      <c r="I33" s="361">
        <f t="shared" ca="1" si="29"/>
        <v>5300</v>
      </c>
      <c r="J33" s="361">
        <f t="shared" ca="1" si="30"/>
        <v>0</v>
      </c>
      <c r="K33" s="362">
        <f t="shared" ca="1" si="31"/>
        <v>5300</v>
      </c>
    </row>
    <row r="34" spans="2:13">
      <c r="B34" s="705">
        <v>5</v>
      </c>
      <c r="C34" s="706" t="s">
        <v>117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707">
        <f>F29*1</f>
        <v>1</v>
      </c>
      <c r="G34" s="360">
        <f ca="1">IF(ISERROR(OFFSET('HARGA SATUAN'!$I$6,MATCH(RAB!C34,'HARGA SATUAN'!$C$7:$C$1492,0),0)),0,OFFSET('HARGA SATUAN'!$I$6,MATCH(RAB!C34,'HARGA SATUAN'!$C$7:$C$1492,0),0))</f>
        <v>58600</v>
      </c>
      <c r="H34" s="361">
        <f t="shared" ca="1" si="28"/>
        <v>0</v>
      </c>
      <c r="I34" s="361">
        <f t="shared" ca="1" si="29"/>
        <v>58600</v>
      </c>
      <c r="J34" s="361">
        <f t="shared" ca="1" si="30"/>
        <v>0</v>
      </c>
      <c r="K34" s="362">
        <f t="shared" ca="1" si="31"/>
        <v>58600</v>
      </c>
    </row>
    <row r="35" spans="2:13">
      <c r="B35" s="705">
        <v>6</v>
      </c>
      <c r="C35" s="109" t="s">
        <v>1155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Set</v>
      </c>
      <c r="F35" s="707">
        <f>F29*2</f>
        <v>2</v>
      </c>
      <c r="G35" s="360">
        <f ca="1">IF(ISERROR(OFFSET('HARGA SATUAN'!$I$6,MATCH(RAB!C35,'HARGA SATUAN'!$C$7:$C$1492,0),0)),0,OFFSET('HARGA SATUAN'!$I$6,MATCH(RAB!C35,'HARGA SATUAN'!$C$7:$C$1492,0),0))</f>
        <v>2900</v>
      </c>
      <c r="H35" s="361">
        <f t="shared" ca="1" si="28"/>
        <v>0</v>
      </c>
      <c r="I35" s="361">
        <f t="shared" ca="1" si="29"/>
        <v>5800</v>
      </c>
      <c r="J35" s="361">
        <f t="shared" ca="1" si="30"/>
        <v>0</v>
      </c>
      <c r="K35" s="362">
        <f t="shared" ca="1" si="31"/>
        <v>5800</v>
      </c>
    </row>
    <row r="36" spans="2:13">
      <c r="B36" s="705">
        <v>7</v>
      </c>
      <c r="C36" s="706" t="s">
        <v>119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Set</v>
      </c>
      <c r="F36" s="707">
        <f>F29*4</f>
        <v>4</v>
      </c>
      <c r="G36" s="360">
        <f ca="1">IF(ISERROR(OFFSET('HARGA SATUAN'!$I$6,MATCH(RAB!C36,'HARGA SATUAN'!$C$7:$C$1492,0),0)),0,OFFSET('HARGA SATUAN'!$I$6,MATCH(RAB!C36,'HARGA SATUAN'!$C$7:$C$1492,0),0))</f>
        <v>8900</v>
      </c>
      <c r="H36" s="361">
        <f t="shared" ca="1" si="28"/>
        <v>0</v>
      </c>
      <c r="I36" s="361">
        <f t="shared" ca="1" si="29"/>
        <v>35600</v>
      </c>
      <c r="J36" s="361">
        <f t="shared" ca="1" si="30"/>
        <v>0</v>
      </c>
      <c r="K36" s="362">
        <f t="shared" ca="1" si="31"/>
        <v>35600</v>
      </c>
    </row>
    <row r="37" spans="2:13">
      <c r="B37" s="374"/>
      <c r="C37" s="503"/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368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ca="1" si="28"/>
        <v>0</v>
      </c>
      <c r="I37" s="361">
        <f t="shared" ca="1" si="29"/>
        <v>0</v>
      </c>
      <c r="J37" s="361">
        <f t="shared" ca="1" si="30"/>
        <v>0</v>
      </c>
      <c r="K37" s="362">
        <f t="shared" ca="1" si="31"/>
        <v>0</v>
      </c>
    </row>
    <row r="38" spans="2:13">
      <c r="B38" s="366" t="s">
        <v>22</v>
      </c>
      <c r="C38" s="367" t="s">
        <v>1617</v>
      </c>
      <c r="D38" s="358" t="str">
        <f ca="1">IF(ISERROR(OFFSET('HARGA SATUAN'!$D$6,MATCH(RAB!C38,'HARGA SATUAN'!$C$7:$C$1492,0),0)),"",OFFSET('HARGA SATUAN'!$D$6,MATCH(RAB!C38,'HARGA SATUAN'!$C$7:$C$1492,0),0))</f>
        <v/>
      </c>
      <c r="E38" s="359" t="str">
        <f ca="1">IF(B38="+","Unit",IF(ISERROR(OFFSET('HARGA SATUAN'!$E$6,MATCH(RAB!C38,'HARGA SATUAN'!$C$7:$C$1492,0),0)),"",OFFSET('HARGA SATUAN'!$E$6,MATCH(RAB!C38,'HARGA SATUAN'!$C$7:$C$1492,0),0)))</f>
        <v/>
      </c>
      <c r="F38" s="368"/>
      <c r="G38" s="360">
        <f ca="1">IF(ISERROR(OFFSET('HARGA SATUAN'!$I$6,MATCH(RAB!C38,'HARGA SATUAN'!$C$7:$C$1492,0),0)),0,OFFSET('HARGA SATUAN'!$I$6,MATCH(RAB!C38,'HARGA SATUAN'!$C$7:$C$1492,0),0))</f>
        <v>0</v>
      </c>
      <c r="H38" s="361">
        <f t="shared" ca="1" si="28"/>
        <v>0</v>
      </c>
      <c r="I38" s="361">
        <f t="shared" ca="1" si="29"/>
        <v>0</v>
      </c>
      <c r="J38" s="361">
        <f t="shared" ca="1" si="30"/>
        <v>0</v>
      </c>
      <c r="K38" s="362">
        <f t="shared" ca="1" si="31"/>
        <v>0</v>
      </c>
    </row>
    <row r="39" spans="2:13">
      <c r="B39" s="374"/>
      <c r="C39" s="373"/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368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ref="H39:H40" ca="1" si="32">IF(OR(D39="MDU",D39="MDU-KD"),(IF($O$3="RAB NON MDU","PLN KD",G39*F39)),0)</f>
        <v>0</v>
      </c>
      <c r="I39" s="361">
        <f t="shared" ref="I39:I40" ca="1" si="33">IF(D39="HDW",G39*F39,0)</f>
        <v>0</v>
      </c>
      <c r="J39" s="361">
        <f t="shared" ref="J39:J40" ca="1" si="34">IF(D39="JASA",G39*F39,0)</f>
        <v>0</v>
      </c>
      <c r="K39" s="362">
        <f t="shared" ref="K39:K40" ca="1" si="35">SUM(H39:J39)</f>
        <v>0</v>
      </c>
    </row>
    <row r="40" spans="2:13">
      <c r="B40" s="375"/>
      <c r="C40" s="376" t="s">
        <v>475</v>
      </c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/>
      </c>
      <c r="F40" s="368"/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ca="1" si="32"/>
        <v>0</v>
      </c>
      <c r="I40" s="361">
        <f t="shared" ca="1" si="33"/>
        <v>0</v>
      </c>
      <c r="J40" s="361">
        <f t="shared" ca="1" si="34"/>
        <v>0</v>
      </c>
      <c r="K40" s="362">
        <f t="shared" ca="1" si="35"/>
        <v>0</v>
      </c>
    </row>
    <row r="41" spans="2:13">
      <c r="B41" s="378">
        <v>1</v>
      </c>
      <c r="C41" s="379" t="s">
        <v>1091</v>
      </c>
      <c r="D41" s="380" t="str">
        <f ca="1">IF(ISERROR(OFFSET('HARGA SATUAN'!$D$6,MATCH(RAB!C41,'HARGA SATUAN'!$C$7:$C$1492,0),0)),"",OFFSET('HARGA SATUAN'!$D$6,MATCH(RAB!C41,'HARGA SATUAN'!$C$7:$C$1492,0),0))</f>
        <v>JASA</v>
      </c>
      <c r="E41" s="381" t="str">
        <f ca="1">IF(ISERROR(OFFSET('HARGA SATUAN'!$E$6,MATCH(RAB!C41,'HARGA SATUAN'!$C$7:$C$1492,0),0)),"",OFFSET('HARGA SATUAN'!$E$6,MATCH(RAB!C41,'HARGA SATUAN'!$C$7:$C$1492,0),0))</f>
        <v>Lot</v>
      </c>
      <c r="F41" s="382">
        <v>1</v>
      </c>
      <c r="G41" s="383">
        <f ca="1">IF(ISERROR(OFFSET('HARGA SATUAN'!$I$6,MATCH(RAB!C41,'HARGA SATUAN'!$C$7:$C$1492,0),0)),0,OFFSET('HARGA SATUAN'!$I$6,MATCH(RAB!C41,'HARGA SATUAN'!$C$7:$C$1492,0),0))</f>
        <v>2.5000000000000001E-2</v>
      </c>
      <c r="H41" s="384">
        <f ca="1">SUM(H14:H40)*G41</f>
        <v>136620</v>
      </c>
      <c r="I41" s="384">
        <f ca="1">SUM(I14:I40)*G41</f>
        <v>4219.9000000000005</v>
      </c>
      <c r="J41" s="384">
        <f ca="1">SUM(J14:J40)*G41</f>
        <v>2660</v>
      </c>
      <c r="K41" s="385">
        <f ca="1">SUM(H41:J41)</f>
        <v>143499.9</v>
      </c>
    </row>
    <row r="42" spans="2:13">
      <c r="B42" s="386"/>
      <c r="C42" s="387"/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IF(ISERROR(OFFSET('HARGA SATUAN'!$E$6,MATCH(RAB!C42,'HARGA SATUAN'!$C$7:$C$1492,0),0)),"",OFFSET('HARGA SATUAN'!$E$6,MATCH(RAB!C42,'HARGA SATUAN'!$C$7:$C$1492,0),0))</f>
        <v/>
      </c>
      <c r="F42" s="377"/>
      <c r="G42" s="360" t="str">
        <f ca="1">IF(ISERROR(OFFSET('HARGA SATUAN'!$I$6,MATCH(RAB!C42,'HARGA SATUAN'!$C$7:$C$1492,0),0)),"",OFFSET('HARGA SATUAN'!$I$6,MATCH(RAB!C42,'HARGA SATUAN'!$C$7:$C$1492,0),0))</f>
        <v/>
      </c>
      <c r="H42" s="361">
        <f ca="1">IF(OR(D42="MDU",D42="MDU-KD"),IF(G42="PLN",0,G42*F42),0)</f>
        <v>0</v>
      </c>
      <c r="I42" s="361">
        <f ca="1">IF(D42="HDW",IF(G42="PLN",0,G42*F42),0)</f>
        <v>0</v>
      </c>
      <c r="J42" s="361">
        <f ca="1">IF(D42="JASA",IF(G42="PLN",0,G42*F42),0)</f>
        <v>0</v>
      </c>
      <c r="K42" s="362">
        <f ca="1">SUM(H42:J42)</f>
        <v>0</v>
      </c>
    </row>
    <row r="43" spans="2:13" ht="15.75" thickBot="1">
      <c r="B43" s="388"/>
      <c r="C43" s="389"/>
      <c r="D43" s="390"/>
      <c r="E43" s="391"/>
      <c r="F43" s="391"/>
      <c r="G43" s="391"/>
      <c r="H43" s="392"/>
      <c r="I43" s="392"/>
      <c r="J43" s="392"/>
      <c r="K43" s="393"/>
    </row>
    <row r="44" spans="2:13">
      <c r="B44" s="394"/>
      <c r="C44" s="608" t="s">
        <v>1008</v>
      </c>
      <c r="D44" s="608"/>
      <c r="E44" s="608"/>
      <c r="F44" s="608"/>
      <c r="G44" s="395" t="s">
        <v>9</v>
      </c>
      <c r="H44" s="396">
        <f ca="1">SUM(H14:H42)</f>
        <v>5601420</v>
      </c>
      <c r="I44" s="396">
        <f ca="1">SUM(I14:I42)</f>
        <v>173015.9</v>
      </c>
      <c r="J44" s="396">
        <f ca="1">SUM(J14:J42)</f>
        <v>109060</v>
      </c>
      <c r="K44" s="396">
        <f ca="1">SUM(K14:K42)</f>
        <v>5883495.9000000004</v>
      </c>
    </row>
    <row r="45" spans="2:13">
      <c r="B45" s="398"/>
      <c r="C45" s="624" t="s">
        <v>1457</v>
      </c>
      <c r="D45" s="624"/>
      <c r="E45" s="624"/>
      <c r="F45" s="624"/>
      <c r="G45" s="399" t="s">
        <v>9</v>
      </c>
      <c r="H45" s="400">
        <f ca="1">H44*0.11</f>
        <v>616156.19999999995</v>
      </c>
      <c r="I45" s="400">
        <f ca="1">I44*0.11</f>
        <v>19031.749</v>
      </c>
      <c r="J45" s="400">
        <f ca="1">J44*0.11</f>
        <v>11996.6</v>
      </c>
      <c r="K45" s="400">
        <f ca="1">K44*0.11</f>
        <v>647184.549</v>
      </c>
    </row>
    <row r="46" spans="2:13" ht="15.75" thickBot="1">
      <c r="B46" s="398"/>
      <c r="C46" s="622" t="s">
        <v>463</v>
      </c>
      <c r="D46" s="622"/>
      <c r="E46" s="622"/>
      <c r="F46" s="622"/>
      <c r="G46" s="401" t="s">
        <v>9</v>
      </c>
      <c r="H46" s="402">
        <f ca="1">SUM(H44:H45)</f>
        <v>6217576.2000000002</v>
      </c>
      <c r="I46" s="402">
        <f ca="1">SUM(I44:I45)</f>
        <v>192047.649</v>
      </c>
      <c r="J46" s="401">
        <f ca="1">SUM(J44:J45)</f>
        <v>121056.6</v>
      </c>
      <c r="K46" s="401">
        <f ca="1">SUM(K44:K45)</f>
        <v>6530680.449</v>
      </c>
      <c r="M46" s="484"/>
    </row>
    <row r="47" spans="2:13">
      <c r="B47" s="625" t="str">
        <f ca="1">"Terbilang : "&amp;PROPER(IF(K46=0,"nol",IF(K46&lt;0,"minus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IF(--MID(TEXT(ABS(K46),"000000000000000"),1,3)=0,"",MID(TEXT(ABS(K46),"000000000000000"),1,1)&amp;" ratus "&amp;MID(TEXT(ABS(K46),"000000000000000"),2,1)&amp;" puluh "&amp;MID(TEXT(ABS(K46),"000000000000000"),3,1)&amp;" trilyun ")&amp; IF(--MID(TEXT(ABS(K46),"000000000000000"),4,3)=0,"",MID(TEXT(ABS(K46),"000000000000000"),4,1)&amp;" ratus "&amp;MID(TEXT(ABS(K46),"000000000000000"),5,1)&amp;" puluh "&amp;MID(TEXT(ABS(K46),"000000000000000"),6,1)&amp;" milyar ")&amp; IF(--MID(TEXT(ABS(K46),"000000000000000"),7,3)=0,"",MID(TEXT(ABS(K46),"000000000000000"),7,1)&amp;" ratus "&amp;MID(TEXT(ABS(K46),"000000000000000"),8,1)&amp;" puluh "&amp;MID(TEXT(ABS(K46),"000000000000000"),9,1)&amp;" juta ")&amp; IF(--MID(TEXT(ABS(K46),"000000000000000"),10,3)=0,"",IF(--MID(TEXT(ABS(K46),"000000000000000"),10,3)=1,"*",MID(TEXT(ABS(K46),"000000000000000"),10,1)&amp;" ratus "&amp;MID(TEXT(ABS(K46),"000000000000000"),11,1)&amp;" puluh ")&amp;MID(TEXT(ABS(K46),"000000000000000"),12,1)&amp;" ribu ")&amp; IF(--MID(TEXT(ABS(K46),"000000000000000"),13,3)=0,"",MID(TEXT(ABS(K46),"000000000000000"),13,1)&amp;" ratus "&amp;MID(TEXT(ABS(K46),"000000000000000"),14,1)&amp;" puluh "&amp;MID(TEXT(ABS(K46),"000000000000000"),15,1)),1,"satu"),2,"dua"),3,"tiga"),4,"empat"),5,"lima"),6,"enam"),7,"tujuh"),8,"delapan"),9,"sembilan"),"0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Enam Juta Lima Ratus Tiga Puluh Ribu Enam Ratus Delapan Puluh Rupiah</v>
      </c>
      <c r="C47" s="626"/>
      <c r="D47" s="626"/>
      <c r="E47" s="626"/>
      <c r="F47" s="626"/>
      <c r="G47" s="626"/>
      <c r="H47" s="626"/>
      <c r="I47" s="626"/>
      <c r="J47" s="626"/>
      <c r="K47" s="627"/>
    </row>
    <row r="48" spans="2:13">
      <c r="B48" s="628"/>
      <c r="C48" s="629"/>
      <c r="D48" s="629"/>
      <c r="E48" s="629"/>
      <c r="F48" s="629"/>
      <c r="G48" s="629"/>
      <c r="H48" s="629"/>
      <c r="I48" s="629"/>
      <c r="J48" s="629"/>
      <c r="K48" s="630"/>
    </row>
    <row r="49" spans="2:11" ht="15.75" thickBot="1">
      <c r="B49" s="403" t="str">
        <f>"Harga yang dipakai adalah "&amp;'HARGA SATUAN'!I5&amp;""</f>
        <v>Harga yang dipakai adalah RAB HSS 2023</v>
      </c>
      <c r="C49" s="404"/>
      <c r="D49" s="405"/>
      <c r="E49" s="405"/>
      <c r="F49" s="405"/>
      <c r="G49" s="406"/>
      <c r="H49" s="406"/>
      <c r="I49" s="406"/>
      <c r="J49" s="406"/>
      <c r="K49" s="407"/>
    </row>
    <row r="50" spans="2:11">
      <c r="C50" s="408"/>
      <c r="E50" s="410"/>
      <c r="F50" s="410"/>
      <c r="G50" s="410"/>
    </row>
    <row r="51" spans="2:11">
      <c r="C51" s="337"/>
      <c r="E51" s="410"/>
      <c r="F51" s="410"/>
      <c r="G51" s="410"/>
      <c r="H51" s="631"/>
      <c r="I51" s="631"/>
      <c r="J51" s="632"/>
      <c r="K51" s="632"/>
    </row>
    <row r="52" spans="2:11">
      <c r="C52" s="337"/>
      <c r="E52" s="410"/>
      <c r="F52" s="410"/>
      <c r="G52" s="410"/>
      <c r="H52" s="411"/>
      <c r="I52" s="621" t="s">
        <v>1610</v>
      </c>
      <c r="J52" s="621"/>
      <c r="K52" s="621"/>
    </row>
    <row r="53" spans="2:11">
      <c r="C53" s="337"/>
      <c r="E53" s="410"/>
      <c r="F53" s="410"/>
      <c r="G53" s="410"/>
      <c r="H53" s="411"/>
      <c r="I53" s="621" t="s">
        <v>1546</v>
      </c>
      <c r="J53" s="621"/>
      <c r="K53" s="621"/>
    </row>
    <row r="54" spans="2:11">
      <c r="C54" s="337"/>
      <c r="E54" s="410"/>
      <c r="F54" s="410"/>
      <c r="G54" s="410"/>
      <c r="H54" s="412"/>
      <c r="I54" s="413"/>
      <c r="J54" s="413"/>
      <c r="K54" s="413"/>
    </row>
    <row r="55" spans="2:11">
      <c r="C55" s="337"/>
      <c r="E55" s="410"/>
      <c r="F55" s="410"/>
      <c r="G55" s="410"/>
      <c r="H55" s="412"/>
      <c r="I55" s="412"/>
      <c r="J55" s="412"/>
      <c r="K55" s="412"/>
    </row>
    <row r="56" spans="2:11">
      <c r="C56" s="337"/>
      <c r="E56" s="410"/>
      <c r="F56" s="410"/>
      <c r="G56" s="410"/>
      <c r="H56" s="412"/>
      <c r="I56" s="412"/>
      <c r="J56" s="412"/>
      <c r="K56" s="412"/>
    </row>
    <row r="57" spans="2:11">
      <c r="C57" s="337"/>
      <c r="E57" s="410"/>
      <c r="F57" s="410"/>
      <c r="G57" s="410"/>
      <c r="H57" s="412"/>
      <c r="I57" s="412"/>
      <c r="J57" s="412"/>
      <c r="K57" s="412"/>
    </row>
    <row r="58" spans="2:11">
      <c r="C58" s="337"/>
      <c r="E58" s="410"/>
      <c r="F58" s="410"/>
      <c r="G58" s="410"/>
      <c r="H58" s="414"/>
      <c r="I58" s="621" t="s">
        <v>1547</v>
      </c>
      <c r="J58" s="621"/>
      <c r="K58" s="621"/>
    </row>
    <row r="59" spans="2:11">
      <c r="C59" s="408"/>
      <c r="E59" s="410"/>
      <c r="F59" s="410"/>
      <c r="G59" s="410"/>
      <c r="H59" s="412"/>
      <c r="I59" s="412"/>
      <c r="J59" s="412"/>
      <c r="K59" s="412"/>
    </row>
    <row r="60" spans="2:11">
      <c r="C60" s="408"/>
      <c r="E60" s="410"/>
      <c r="F60" s="410"/>
      <c r="G60" s="410"/>
      <c r="H60" s="412"/>
      <c r="I60" s="412"/>
      <c r="J60" s="412"/>
      <c r="K60" s="412"/>
    </row>
    <row r="61" spans="2:11">
      <c r="C61" s="408"/>
      <c r="E61" s="410"/>
      <c r="F61" s="410"/>
      <c r="G61" s="410"/>
      <c r="H61" s="412"/>
      <c r="I61" s="412"/>
      <c r="J61" s="412"/>
      <c r="K61" s="412"/>
    </row>
  </sheetData>
  <sheetProtection sort="0" autoFilter="0"/>
  <protectedRanges>
    <protectedRange sqref="B39 B22:B37" name="Range1_1"/>
    <protectedRange sqref="F14:F19 F21:F40" name="Range1_1_2_2"/>
    <protectedRange sqref="C39 C22:C23 C27 C25 C28:C37" name="Range1_1_1"/>
    <protectedRange sqref="B20:C21" name="Range1_6_2"/>
    <protectedRange sqref="C26" name="Range1_1_3_13"/>
    <protectedRange sqref="C24" name="Range1_1_3_4"/>
  </protectedRanges>
  <mergeCells count="22">
    <mergeCell ref="I53:K53"/>
    <mergeCell ref="I58:K58"/>
    <mergeCell ref="C46:F46"/>
    <mergeCell ref="G6:K6"/>
    <mergeCell ref="I52:K52"/>
    <mergeCell ref="C45:F45"/>
    <mergeCell ref="B47:K48"/>
    <mergeCell ref="H51:K51"/>
    <mergeCell ref="H11:K11"/>
    <mergeCell ref="H12:H13"/>
    <mergeCell ref="J12:J13"/>
    <mergeCell ref="K12:K13"/>
    <mergeCell ref="O3:P4"/>
    <mergeCell ref="B4:K4"/>
    <mergeCell ref="C44:F44"/>
    <mergeCell ref="B11:B13"/>
    <mergeCell ref="C11:C13"/>
    <mergeCell ref="D11:D13"/>
    <mergeCell ref="E11:E13"/>
    <mergeCell ref="F11:F13"/>
    <mergeCell ref="G11:G13"/>
    <mergeCell ref="I12:I13"/>
  </mergeCells>
  <phoneticPr fontId="138" type="noConversion"/>
  <conditionalFormatting sqref="C15 C17">
    <cfRule type="cellIs" dxfId="9" priority="513" operator="equal">
      <formula>0</formula>
    </cfRule>
  </conditionalFormatting>
  <conditionalFormatting sqref="C19">
    <cfRule type="cellIs" dxfId="8" priority="138" operator="equal">
      <formula>0</formula>
    </cfRule>
  </conditionalFormatting>
  <conditionalFormatting sqref="C38">
    <cfRule type="cellIs" dxfId="6" priority="5" operator="equal">
      <formula>0</formula>
    </cfRule>
  </conditionalFormatting>
  <conditionalFormatting sqref="E1:E3 G1:G13 E5:E13 H12:I12 O13 E41:G41 H41:K43 E42:H42 E43:F43 S14:V17 E14:K28 E37:K40 E29:E36 G29:K36">
    <cfRule type="cellIs" dxfId="5" priority="1093" stopIfTrue="1" operator="equal">
      <formula>0</formula>
    </cfRule>
  </conditionalFormatting>
  <conditionalFormatting sqref="G42:G65508 E47:E65508">
    <cfRule type="cellIs" dxfId="4" priority="227" stopIfTrue="1" operator="equal">
      <formula>0</formula>
    </cfRule>
  </conditionalFormatting>
  <conditionalFormatting sqref="C24">
    <cfRule type="cellIs" dxfId="2" priority="3" operator="equal">
      <formula>0</formula>
    </cfRule>
  </conditionalFormatting>
  <conditionalFormatting sqref="C35">
    <cfRule type="cellIs" dxfId="1" priority="2" operator="equal">
      <formula>0</formula>
    </cfRule>
  </conditionalFormatting>
  <conditionalFormatting sqref="F29:F36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8:F20 H14:K4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U23" sqref="U23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35" t="s">
        <v>1528</v>
      </c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  <c r="X4" s="636"/>
      <c r="Y4" s="636"/>
      <c r="Z4" s="636"/>
      <c r="AA4" s="636"/>
      <c r="AB4" s="636"/>
      <c r="AC4" s="637"/>
      <c r="AD4" s="217"/>
      <c r="AE4" s="216"/>
      <c r="AF4" s="216"/>
    </row>
    <row r="5" spans="2:32" ht="13.5" customHeight="1">
      <c r="B5" s="215"/>
      <c r="C5" s="215"/>
      <c r="D5" s="638"/>
      <c r="E5" s="639"/>
      <c r="F5" s="639"/>
      <c r="G5" s="639"/>
      <c r="H5" s="639"/>
      <c r="I5" s="639"/>
      <c r="J5" s="639"/>
      <c r="K5" s="639"/>
      <c r="L5" s="639"/>
      <c r="M5" s="639"/>
      <c r="N5" s="639"/>
      <c r="O5" s="639"/>
      <c r="P5" s="639"/>
      <c r="Q5" s="639"/>
      <c r="R5" s="639"/>
      <c r="S5" s="639"/>
      <c r="T5" s="639"/>
      <c r="U5" s="639"/>
      <c r="V5" s="639"/>
      <c r="W5" s="639"/>
      <c r="X5" s="639"/>
      <c r="Y5" s="639"/>
      <c r="Z5" s="639"/>
      <c r="AA5" s="639"/>
      <c r="AB5" s="639"/>
      <c r="AC5" s="640"/>
      <c r="AD5" s="217"/>
      <c r="AE5" s="216"/>
      <c r="AF5" s="216"/>
    </row>
    <row r="6" spans="2:32" ht="12.75" customHeight="1">
      <c r="B6" s="215"/>
      <c r="C6" s="215"/>
      <c r="D6" s="638"/>
      <c r="E6" s="639"/>
      <c r="F6" s="639"/>
      <c r="G6" s="639"/>
      <c r="H6" s="639"/>
      <c r="I6" s="639"/>
      <c r="J6" s="639"/>
      <c r="K6" s="639"/>
      <c r="L6" s="639"/>
      <c r="M6" s="639"/>
      <c r="N6" s="639"/>
      <c r="O6" s="639"/>
      <c r="P6" s="639"/>
      <c r="Q6" s="639"/>
      <c r="R6" s="639"/>
      <c r="S6" s="639"/>
      <c r="T6" s="639"/>
      <c r="U6" s="639"/>
      <c r="V6" s="639"/>
      <c r="W6" s="639"/>
      <c r="X6" s="639"/>
      <c r="Y6" s="639"/>
      <c r="Z6" s="639"/>
      <c r="AA6" s="639"/>
      <c r="AB6" s="639"/>
      <c r="AC6" s="640"/>
      <c r="AE6" s="216"/>
      <c r="AF6" s="216"/>
    </row>
    <row r="7" spans="2:32" ht="12.75" customHeight="1" thickBot="1">
      <c r="B7" s="215"/>
      <c r="C7" s="215"/>
      <c r="D7" s="641"/>
      <c r="E7" s="642"/>
      <c r="F7" s="642"/>
      <c r="G7" s="642"/>
      <c r="H7" s="642"/>
      <c r="I7" s="642"/>
      <c r="J7" s="642"/>
      <c r="K7" s="642"/>
      <c r="L7" s="642"/>
      <c r="M7" s="642"/>
      <c r="N7" s="642"/>
      <c r="O7" s="642"/>
      <c r="P7" s="642"/>
      <c r="Q7" s="642"/>
      <c r="R7" s="642"/>
      <c r="S7" s="642"/>
      <c r="T7" s="642"/>
      <c r="U7" s="642"/>
      <c r="V7" s="642"/>
      <c r="W7" s="642"/>
      <c r="X7" s="642"/>
      <c r="Y7" s="642"/>
      <c r="Z7" s="642"/>
      <c r="AA7" s="642"/>
      <c r="AB7" s="642"/>
      <c r="AC7" s="643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6" zoomScaleNormal="115" zoomScaleSheetLayoutView="100" workbookViewId="0">
      <selection activeCell="S16" sqref="S16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4" t="s">
        <v>1439</v>
      </c>
      <c r="X2" s="645"/>
      <c r="Y2" s="645"/>
      <c r="Z2" s="645"/>
      <c r="AA2" s="645"/>
      <c r="AB2" s="645"/>
      <c r="AC2" s="645"/>
      <c r="AD2" s="646"/>
    </row>
    <row r="3" spans="3:30">
      <c r="C3" s="238"/>
      <c r="W3" s="647"/>
      <c r="X3" s="648"/>
      <c r="Y3" s="648"/>
      <c r="Z3" s="648"/>
      <c r="AA3" s="648"/>
      <c r="AB3" s="648"/>
      <c r="AC3" s="648"/>
      <c r="AD3" s="649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0" t="s">
        <v>990</v>
      </c>
      <c r="Y5" s="650"/>
      <c r="Z5" s="650"/>
      <c r="AA5" s="650" t="s">
        <v>988</v>
      </c>
      <c r="AB5" s="650"/>
      <c r="AC5" s="650" t="s">
        <v>989</v>
      </c>
      <c r="AD5" s="651"/>
    </row>
    <row r="6" spans="3:30">
      <c r="C6" s="238"/>
      <c r="W6" s="241">
        <v>1</v>
      </c>
      <c r="X6" s="650" t="s">
        <v>993</v>
      </c>
      <c r="Y6" s="650"/>
      <c r="Z6" s="650"/>
      <c r="AA6" s="650"/>
      <c r="AB6" s="650"/>
      <c r="AC6" s="650"/>
      <c r="AD6" s="651"/>
    </row>
    <row r="7" spans="3:30">
      <c r="C7" s="238"/>
      <c r="E7" s="490" t="str">
        <f>PETA!C6</f>
        <v>KOORDINAT : -6.778550, 110.621719</v>
      </c>
      <c r="W7" s="241">
        <v>2</v>
      </c>
      <c r="X7" s="650" t="s">
        <v>994</v>
      </c>
      <c r="Y7" s="650"/>
      <c r="Z7" s="650"/>
      <c r="AA7" s="650"/>
      <c r="AB7" s="650"/>
      <c r="AC7" s="650"/>
      <c r="AD7" s="651"/>
    </row>
    <row r="8" spans="3:30">
      <c r="C8" s="238"/>
      <c r="W8" s="241">
        <v>3</v>
      </c>
      <c r="X8" s="650" t="s">
        <v>995</v>
      </c>
      <c r="Y8" s="650"/>
      <c r="Z8" s="650"/>
      <c r="AA8" s="650"/>
      <c r="AB8" s="650"/>
      <c r="AC8" s="650"/>
      <c r="AD8" s="651"/>
    </row>
    <row r="9" spans="3:30">
      <c r="C9" s="238"/>
      <c r="W9" s="241">
        <v>4</v>
      </c>
      <c r="X9" s="650" t="s">
        <v>996</v>
      </c>
      <c r="Y9" s="650"/>
      <c r="Z9" s="650"/>
      <c r="AA9" s="650"/>
      <c r="AB9" s="650"/>
      <c r="AC9" s="650"/>
      <c r="AD9" s="651"/>
    </row>
    <row r="10" spans="3:30">
      <c r="C10" s="238"/>
      <c r="W10" s="241">
        <v>5</v>
      </c>
      <c r="X10" s="650" t="s">
        <v>997</v>
      </c>
      <c r="Y10" s="650"/>
      <c r="Z10" s="650"/>
      <c r="AA10" s="650"/>
      <c r="AB10" s="650"/>
      <c r="AC10" s="650"/>
      <c r="AD10" s="651"/>
    </row>
    <row r="11" spans="3:30">
      <c r="C11" s="238"/>
      <c r="W11" s="241">
        <v>6</v>
      </c>
      <c r="X11" s="650" t="s">
        <v>998</v>
      </c>
      <c r="Y11" s="650"/>
      <c r="Z11" s="650"/>
      <c r="AA11" s="650"/>
      <c r="AB11" s="650"/>
      <c r="AC11" s="650"/>
      <c r="AD11" s="651"/>
    </row>
    <row r="12" spans="3:30">
      <c r="C12" s="238"/>
      <c r="W12" s="241">
        <v>7</v>
      </c>
      <c r="X12" s="650" t="s">
        <v>999</v>
      </c>
      <c r="Y12" s="650"/>
      <c r="Z12" s="650"/>
      <c r="AA12" s="650"/>
      <c r="AB12" s="650"/>
      <c r="AC12" s="650"/>
      <c r="AD12" s="651"/>
    </row>
    <row r="13" spans="3:30" ht="12.75" customHeight="1">
      <c r="C13" s="238"/>
      <c r="W13" s="241">
        <v>8</v>
      </c>
      <c r="X13" s="650" t="s">
        <v>1000</v>
      </c>
      <c r="Y13" s="650"/>
      <c r="Z13" s="650"/>
      <c r="AA13" s="650"/>
      <c r="AB13" s="650"/>
      <c r="AC13" s="650"/>
      <c r="AD13" s="651"/>
    </row>
    <row r="14" spans="3:30">
      <c r="C14" s="238"/>
      <c r="W14" s="241">
        <v>9</v>
      </c>
      <c r="X14" s="650" t="s">
        <v>1001</v>
      </c>
      <c r="Y14" s="650"/>
      <c r="Z14" s="650"/>
      <c r="AA14" s="650"/>
      <c r="AB14" s="650"/>
      <c r="AC14" s="650"/>
      <c r="AD14" s="651"/>
    </row>
    <row r="15" spans="3:30">
      <c r="C15" s="238"/>
      <c r="W15" s="241">
        <v>10</v>
      </c>
      <c r="X15" s="650" t="s">
        <v>1010</v>
      </c>
      <c r="Y15" s="650"/>
      <c r="Z15" s="650"/>
      <c r="AA15" s="650"/>
      <c r="AB15" s="650"/>
      <c r="AC15" s="650"/>
      <c r="AD15" s="651"/>
    </row>
    <row r="16" spans="3:30">
      <c r="C16" s="238"/>
      <c r="W16" s="241">
        <v>11</v>
      </c>
      <c r="X16" s="650" t="s">
        <v>1455</v>
      </c>
      <c r="Y16" s="650"/>
      <c r="Z16" s="650"/>
      <c r="AA16" s="650"/>
      <c r="AB16" s="650"/>
      <c r="AC16" s="650"/>
      <c r="AD16" s="651"/>
    </row>
    <row r="17" spans="3:30">
      <c r="C17" s="238"/>
      <c r="S17" s="242"/>
      <c r="W17" s="241">
        <v>12</v>
      </c>
      <c r="X17" s="650" t="s">
        <v>1011</v>
      </c>
      <c r="Y17" s="650"/>
      <c r="Z17" s="650"/>
      <c r="AA17" s="650"/>
      <c r="AB17" s="650"/>
      <c r="AC17" s="650"/>
      <c r="AD17" s="651"/>
    </row>
    <row r="18" spans="3:30">
      <c r="C18" s="243"/>
      <c r="D18" s="244"/>
      <c r="E18" s="244"/>
      <c r="W18" s="241">
        <v>13</v>
      </c>
      <c r="X18" s="650"/>
      <c r="Y18" s="650"/>
      <c r="Z18" s="650"/>
      <c r="AA18" s="650"/>
      <c r="AB18" s="650"/>
      <c r="AC18" s="650"/>
      <c r="AD18" s="651"/>
    </row>
    <row r="19" spans="3:30">
      <c r="C19" s="238"/>
      <c r="W19" s="245"/>
      <c r="X19" s="667"/>
      <c r="Y19" s="667"/>
      <c r="Z19" s="667"/>
      <c r="AA19" s="667"/>
      <c r="AB19" s="667"/>
      <c r="AC19" s="667"/>
      <c r="AD19" s="668"/>
    </row>
    <row r="20" spans="3:30">
      <c r="C20" s="238"/>
      <c r="O20" s="507"/>
      <c r="W20" s="652" t="s">
        <v>992</v>
      </c>
      <c r="X20" s="653"/>
      <c r="Y20" s="653"/>
      <c r="Z20" s="653"/>
      <c r="AA20" s="653"/>
      <c r="AB20" s="653"/>
      <c r="AC20" s="653"/>
      <c r="AD20" s="654"/>
    </row>
    <row r="21" spans="3:30">
      <c r="C21" s="238"/>
      <c r="O21" s="507"/>
      <c r="W21" s="655" t="s">
        <v>985</v>
      </c>
      <c r="X21" s="656"/>
      <c r="Y21" s="656"/>
      <c r="Z21" s="657"/>
      <c r="AA21" s="658" t="s">
        <v>986</v>
      </c>
      <c r="AB21" s="659"/>
      <c r="AC21" s="659"/>
      <c r="AD21" s="660"/>
    </row>
    <row r="22" spans="3:30">
      <c r="C22" s="238"/>
      <c r="O22" s="507"/>
      <c r="W22" s="661"/>
      <c r="X22" s="662"/>
      <c r="Y22" s="492"/>
      <c r="Z22" s="493"/>
      <c r="AA22" s="663"/>
      <c r="AB22" s="664"/>
      <c r="AC22" s="248"/>
      <c r="AD22" s="249"/>
    </row>
    <row r="23" spans="3:30">
      <c r="C23" s="238"/>
      <c r="O23" s="507"/>
      <c r="W23" s="661"/>
      <c r="X23" s="662"/>
      <c r="Y23" s="492"/>
      <c r="Z23" s="493"/>
      <c r="AA23" s="665"/>
      <c r="AB23" s="666"/>
      <c r="AC23" s="248"/>
      <c r="AD23" s="249"/>
    </row>
    <row r="24" spans="3:30">
      <c r="C24" s="238"/>
      <c r="O24" s="507"/>
      <c r="W24" s="671"/>
      <c r="X24" s="672"/>
      <c r="Y24" s="246"/>
      <c r="Z24" s="247"/>
      <c r="AA24" s="673"/>
      <c r="AB24" s="674"/>
      <c r="AC24" s="248"/>
      <c r="AD24" s="249"/>
    </row>
    <row r="25" spans="3:30">
      <c r="C25" s="238"/>
      <c r="O25" s="507"/>
      <c r="W25" s="671"/>
      <c r="X25" s="672"/>
      <c r="Y25" s="246"/>
      <c r="Z25" s="247"/>
      <c r="AA25" s="665"/>
      <c r="AB25" s="666"/>
      <c r="AC25" s="248"/>
      <c r="AD25" s="249"/>
    </row>
    <row r="26" spans="3:30">
      <c r="C26" s="238"/>
      <c r="O26" s="507"/>
      <c r="W26" s="480"/>
      <c r="X26" s="481"/>
      <c r="Y26" s="246"/>
      <c r="Z26" s="247"/>
      <c r="AA26" s="665"/>
      <c r="AB26" s="666"/>
      <c r="AC26" s="248"/>
      <c r="AD26" s="249"/>
    </row>
    <row r="27" spans="3:30">
      <c r="C27" s="238"/>
      <c r="W27" s="480"/>
      <c r="X27" s="481"/>
      <c r="Y27" s="246"/>
      <c r="Z27" s="247"/>
      <c r="AA27" s="669"/>
      <c r="AB27" s="670"/>
      <c r="AC27" s="248"/>
      <c r="AD27" s="249"/>
    </row>
    <row r="28" spans="3:30">
      <c r="C28" s="238"/>
      <c r="W28" s="480"/>
      <c r="X28" s="481"/>
      <c r="Y28" s="246"/>
      <c r="Z28" s="247"/>
      <c r="AA28" s="669"/>
      <c r="AB28" s="670"/>
      <c r="AC28" s="248"/>
      <c r="AD28" s="249"/>
    </row>
    <row r="29" spans="3:30">
      <c r="C29" s="238"/>
      <c r="W29" s="480"/>
      <c r="X29" s="481"/>
      <c r="Y29" s="246"/>
      <c r="Z29" s="247"/>
      <c r="AA29" s="669"/>
      <c r="AB29" s="670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69"/>
      <c r="AB30" s="670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69"/>
      <c r="AB31" s="670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69"/>
      <c r="AB32" s="670"/>
      <c r="AC32" s="248"/>
      <c r="AD32" s="249"/>
    </row>
    <row r="33" spans="3:30">
      <c r="C33" s="238"/>
      <c r="W33" s="480"/>
      <c r="X33" s="481"/>
      <c r="Y33" s="246"/>
      <c r="Z33" s="247"/>
      <c r="AA33" s="669"/>
      <c r="AB33" s="670"/>
      <c r="AC33" s="248"/>
      <c r="AD33" s="249"/>
    </row>
    <row r="34" spans="3:30">
      <c r="C34" s="238"/>
      <c r="W34" s="480"/>
      <c r="X34" s="481"/>
      <c r="Y34" s="246"/>
      <c r="Z34" s="247"/>
      <c r="AA34" s="669"/>
      <c r="AB34" s="670"/>
      <c r="AC34" s="248"/>
      <c r="AD34" s="249"/>
    </row>
    <row r="35" spans="3:30">
      <c r="C35" s="238"/>
      <c r="W35" s="671"/>
      <c r="X35" s="684"/>
      <c r="Y35" s="246"/>
      <c r="Z35" s="247"/>
      <c r="AA35" s="669"/>
      <c r="AB35" s="670"/>
      <c r="AC35" s="248"/>
      <c r="AD35" s="249"/>
    </row>
    <row r="36" spans="3:30">
      <c r="C36" s="238"/>
      <c r="W36" s="675"/>
      <c r="X36" s="676"/>
      <c r="Y36" s="246"/>
      <c r="Z36" s="251"/>
      <c r="AA36" s="677"/>
      <c r="AB36" s="670"/>
      <c r="AC36" s="248"/>
      <c r="AD36" s="249"/>
    </row>
    <row r="37" spans="3:30" ht="12.75" customHeight="1">
      <c r="C37" s="238"/>
      <c r="W37" s="678"/>
      <c r="X37" s="679"/>
      <c r="Y37" s="246"/>
      <c r="Z37" s="251"/>
      <c r="AA37" s="680"/>
      <c r="AB37" s="681"/>
      <c r="AC37" s="252"/>
      <c r="AD37" s="253"/>
    </row>
    <row r="38" spans="3:30" ht="12.75" customHeight="1">
      <c r="C38" s="238"/>
      <c r="W38" s="678"/>
      <c r="X38" s="679"/>
      <c r="Y38" s="254"/>
      <c r="Z38" s="251"/>
      <c r="AA38" s="255"/>
      <c r="AB38" s="256"/>
      <c r="AC38" s="252"/>
      <c r="AD38" s="253"/>
    </row>
    <row r="39" spans="3:30" ht="12" customHeight="1">
      <c r="C39" s="238"/>
      <c r="D39" s="506"/>
      <c r="W39" s="678"/>
      <c r="X39" s="679"/>
      <c r="Y39" s="254"/>
      <c r="Z39" s="257"/>
      <c r="AA39" s="682"/>
      <c r="AB39" s="683"/>
      <c r="AC39" s="252"/>
      <c r="AD39" s="253"/>
    </row>
    <row r="40" spans="3:30" ht="12" customHeight="1">
      <c r="C40" s="238"/>
      <c r="D40" s="506"/>
      <c r="W40" s="688"/>
      <c r="X40" s="689"/>
      <c r="Y40" s="254"/>
      <c r="Z40" s="257"/>
      <c r="AA40" s="258"/>
      <c r="AB40" s="259"/>
      <c r="AC40" s="252"/>
      <c r="AD40" s="253"/>
    </row>
    <row r="41" spans="3:30" ht="12" customHeight="1">
      <c r="C41" s="238"/>
      <c r="D41" s="506"/>
      <c r="W41" s="690"/>
      <c r="X41" s="691"/>
      <c r="Y41" s="260"/>
      <c r="Z41" s="261"/>
      <c r="AA41" s="682"/>
      <c r="AB41" s="683"/>
      <c r="AC41" s="252"/>
      <c r="AD41" s="253"/>
    </row>
    <row r="42" spans="3:30" ht="12" customHeight="1">
      <c r="C42" s="238"/>
      <c r="D42" s="506"/>
      <c r="W42" s="692" t="s">
        <v>1456</v>
      </c>
      <c r="X42" s="693"/>
      <c r="Y42" s="693"/>
      <c r="Z42" s="693"/>
      <c r="AA42" s="262"/>
      <c r="AB42" s="262"/>
      <c r="AC42" s="262"/>
      <c r="AD42" s="263"/>
    </row>
    <row r="43" spans="3:30" ht="12" customHeight="1">
      <c r="C43" s="238"/>
      <c r="D43" s="506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506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5" t="s">
        <v>11</v>
      </c>
      <c r="X44" s="686"/>
      <c r="Y44" s="650"/>
      <c r="Z44" s="650"/>
      <c r="AA44" s="650"/>
      <c r="AB44" s="650"/>
      <c r="AC44" s="650"/>
      <c r="AD44" s="651"/>
    </row>
    <row r="45" spans="3:30">
      <c r="C45" s="268"/>
      <c r="D45" s="506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5" t="s">
        <v>984</v>
      </c>
      <c r="X45" s="686"/>
      <c r="Y45" s="650">
        <v>1</v>
      </c>
      <c r="Z45" s="650"/>
      <c r="AA45" s="650"/>
      <c r="AB45" s="650" t="s">
        <v>12</v>
      </c>
      <c r="AC45" s="650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5" t="s">
        <v>15</v>
      </c>
      <c r="X46" s="686"/>
      <c r="Y46" s="687"/>
      <c r="Z46" s="687"/>
      <c r="AA46" s="687"/>
      <c r="AB46" s="650" t="s">
        <v>16</v>
      </c>
      <c r="AC46" s="650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8" t="s">
        <v>17</v>
      </c>
      <c r="X47" s="698"/>
      <c r="Y47" s="698"/>
      <c r="Z47" s="698"/>
      <c r="AA47" s="698"/>
      <c r="AB47" s="698"/>
      <c r="AC47" s="698"/>
      <c r="AD47" s="699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0" t="str">
        <f>RAB!G6</f>
        <v>BAWASLU</v>
      </c>
      <c r="X48" s="700"/>
      <c r="Y48" s="700"/>
      <c r="Z48" s="700"/>
      <c r="AA48" s="700"/>
      <c r="AB48" s="700"/>
      <c r="AC48" s="700"/>
      <c r="AD48" s="701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0"/>
      <c r="X49" s="700"/>
      <c r="Y49" s="700"/>
      <c r="Z49" s="700"/>
      <c r="AA49" s="700"/>
      <c r="AB49" s="700"/>
      <c r="AC49" s="700"/>
      <c r="AD49" s="701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00"/>
      <c r="X50" s="700"/>
      <c r="Y50" s="700"/>
      <c r="Z50" s="700"/>
      <c r="AA50" s="700"/>
      <c r="AB50" s="700"/>
      <c r="AC50" s="700"/>
      <c r="AD50" s="701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02"/>
      <c r="X51" s="702"/>
      <c r="Y51" s="702"/>
      <c r="Z51" s="702"/>
      <c r="AA51" s="702"/>
      <c r="AB51" s="702"/>
      <c r="AC51" s="702"/>
      <c r="AD51" s="703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5" t="s">
        <v>18</v>
      </c>
      <c r="X52" s="686"/>
      <c r="Y52" s="650" t="s">
        <v>1549</v>
      </c>
      <c r="Z52" s="650"/>
      <c r="AA52" s="650"/>
      <c r="AB52" s="650"/>
      <c r="AC52" s="650"/>
      <c r="AD52" s="651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5" t="s">
        <v>19</v>
      </c>
      <c r="X53" s="686"/>
      <c r="Y53" s="650" t="s">
        <v>1549</v>
      </c>
      <c r="Z53" s="650"/>
      <c r="AA53" s="650"/>
      <c r="AB53" s="650"/>
      <c r="AC53" s="650"/>
      <c r="AD53" s="651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5" t="s">
        <v>20</v>
      </c>
      <c r="X54" s="686"/>
      <c r="Y54" s="694" t="s">
        <v>1550</v>
      </c>
      <c r="Z54" s="694"/>
      <c r="AA54" s="694"/>
      <c r="AB54" s="650"/>
      <c r="AC54" s="650"/>
      <c r="AD54" s="651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5" t="s">
        <v>21</v>
      </c>
      <c r="X55" s="696"/>
      <c r="Y55" s="694" t="s">
        <v>1551</v>
      </c>
      <c r="Z55" s="694"/>
      <c r="AA55" s="694"/>
      <c r="AB55" s="694"/>
      <c r="AC55" s="694"/>
      <c r="AD55" s="697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6" zoomScale="70" zoomScaleNormal="40" zoomScaleSheetLayoutView="70" workbookViewId="0">
      <selection activeCell="U34" sqref="U34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39" t="s">
        <v>1527</v>
      </c>
      <c r="D3" s="639"/>
      <c r="E3" s="639"/>
      <c r="F3" s="639"/>
      <c r="G3" s="639"/>
      <c r="H3" s="639"/>
      <c r="I3" s="639"/>
      <c r="J3" s="639"/>
      <c r="K3" s="639"/>
      <c r="L3" s="639"/>
      <c r="M3" s="639"/>
      <c r="N3" s="639"/>
      <c r="O3" s="639"/>
      <c r="P3" s="639"/>
      <c r="Q3" s="639"/>
      <c r="R3" s="639"/>
      <c r="S3" s="639"/>
      <c r="T3" s="639"/>
      <c r="U3" s="639"/>
      <c r="V3" s="639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639"/>
      <c r="D4" s="639"/>
      <c r="E4" s="639"/>
      <c r="F4" s="639"/>
      <c r="G4" s="639"/>
      <c r="H4" s="639"/>
      <c r="I4" s="639"/>
      <c r="J4" s="639"/>
      <c r="K4" s="639"/>
      <c r="L4" s="639"/>
      <c r="M4" s="639"/>
      <c r="N4" s="639"/>
      <c r="O4" s="639"/>
      <c r="P4" s="639"/>
      <c r="Q4" s="639"/>
      <c r="R4" s="639"/>
      <c r="S4" s="639"/>
      <c r="T4" s="639"/>
      <c r="U4" s="639"/>
      <c r="V4" s="639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04" t="s">
        <v>1620</v>
      </c>
      <c r="D6" s="704"/>
      <c r="E6" s="704"/>
      <c r="F6" s="704"/>
      <c r="G6" s="704"/>
      <c r="H6" s="704"/>
      <c r="I6" s="704"/>
      <c r="J6" s="704"/>
      <c r="K6" s="704"/>
      <c r="L6" s="704"/>
      <c r="M6" s="704"/>
      <c r="W6" s="182"/>
      <c r="Y6" s="428"/>
      <c r="Z6" s="428"/>
      <c r="AA6" s="428"/>
      <c r="AB6" s="429"/>
      <c r="AC6" s="429"/>
    </row>
    <row r="7" spans="1:29" ht="18" customHeight="1">
      <c r="A7" s="181"/>
      <c r="C7" s="704"/>
      <c r="D7" s="704"/>
      <c r="E7" s="704"/>
      <c r="F7" s="704"/>
      <c r="G7" s="704"/>
      <c r="H7" s="704"/>
      <c r="I7" s="704"/>
      <c r="J7" s="704"/>
      <c r="K7" s="704"/>
      <c r="L7" s="704"/>
      <c r="M7" s="704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SLD</vt:lpstr>
      <vt:lpstr>GAMBAR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2024-03-15T08:09:45Z</dcterms:modified>
</cp:coreProperties>
</file>