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A45F1E20-1E77-4439-B6FF-9D1C009908C3}" xr6:coauthVersionLast="47" xr6:coauthVersionMax="47" xr10:uidLastSave="{00000000-0000-0000-0000-000000000000}"/>
  <bookViews>
    <workbookView xWindow="28680" yWindow="-120" windowWidth="20730" windowHeight="1104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6" i="11" l="1"/>
  <c r="F35" i="11"/>
  <c r="F34" i="11"/>
  <c r="F33" i="11"/>
  <c r="F32" i="11"/>
  <c r="F31" i="11"/>
  <c r="F30" i="11"/>
  <c r="F29" i="11"/>
  <c r="F28" i="11"/>
  <c r="F27" i="11"/>
  <c r="F26" i="11"/>
  <c r="F25" i="11"/>
  <c r="F59" i="11"/>
  <c r="F58" i="11"/>
  <c r="F57" i="11"/>
  <c r="F56" i="11"/>
  <c r="F55" i="11"/>
  <c r="G37" i="11" l="1"/>
  <c r="E37" i="11"/>
  <c r="D37" i="11"/>
  <c r="H37" i="11" s="1"/>
  <c r="E36" i="11"/>
  <c r="D36" i="11"/>
  <c r="I36" i="11" s="1"/>
  <c r="E35" i="11"/>
  <c r="D35" i="11"/>
  <c r="J35" i="11" s="1"/>
  <c r="E34" i="11"/>
  <c r="D34" i="11"/>
  <c r="J34" i="11" s="1"/>
  <c r="E33" i="11"/>
  <c r="D33" i="11"/>
  <c r="J33" i="11" s="1"/>
  <c r="E32" i="11"/>
  <c r="D32" i="11"/>
  <c r="H32" i="11" s="1"/>
  <c r="E31" i="11"/>
  <c r="D31" i="11"/>
  <c r="J31" i="11" s="1"/>
  <c r="E30" i="11"/>
  <c r="D30" i="11"/>
  <c r="E29" i="11"/>
  <c r="D29" i="11"/>
  <c r="E28" i="11"/>
  <c r="D28" i="11"/>
  <c r="H28" i="11" s="1"/>
  <c r="E27" i="11"/>
  <c r="D27" i="11"/>
  <c r="J27" i="11" s="1"/>
  <c r="E26" i="11"/>
  <c r="D26" i="11"/>
  <c r="J26" i="11" s="1"/>
  <c r="E25" i="11"/>
  <c r="D25" i="11"/>
  <c r="G24" i="11"/>
  <c r="E24" i="11"/>
  <c r="D24" i="11"/>
  <c r="J24" i="11" s="1"/>
  <c r="G23" i="11"/>
  <c r="E23" i="11"/>
  <c r="D23" i="11"/>
  <c r="J23" i="11" s="1"/>
  <c r="G22" i="11"/>
  <c r="E22" i="11"/>
  <c r="D22" i="11"/>
  <c r="J22" i="11" s="1"/>
  <c r="D47" i="11"/>
  <c r="J47" i="11" s="1"/>
  <c r="D48" i="11"/>
  <c r="H48" i="11" s="1"/>
  <c r="D49" i="11"/>
  <c r="H49" i="11" s="1"/>
  <c r="D50" i="11"/>
  <c r="J50" i="11" s="1"/>
  <c r="D51" i="11"/>
  <c r="J51" i="11" s="1"/>
  <c r="D52" i="11"/>
  <c r="H52" i="11" s="1"/>
  <c r="G60" i="11"/>
  <c r="E60" i="11"/>
  <c r="D60" i="11"/>
  <c r="J60" i="11" s="1"/>
  <c r="E59" i="11"/>
  <c r="D59" i="11"/>
  <c r="E58" i="11"/>
  <c r="D58" i="11"/>
  <c r="H58" i="11" s="1"/>
  <c r="E57" i="11"/>
  <c r="D57" i="11"/>
  <c r="J57" i="11" s="1"/>
  <c r="E56" i="11"/>
  <c r="D56" i="11"/>
  <c r="J56" i="11" s="1"/>
  <c r="E55" i="11"/>
  <c r="D55" i="11"/>
  <c r="G54" i="11"/>
  <c r="E54" i="11"/>
  <c r="D54" i="11"/>
  <c r="J54" i="11" s="1"/>
  <c r="G53" i="11"/>
  <c r="E53" i="11"/>
  <c r="D53" i="11"/>
  <c r="J53" i="11" s="1"/>
  <c r="F52" i="11"/>
  <c r="E52" i="11"/>
  <c r="F51" i="11"/>
  <c r="E51" i="11"/>
  <c r="F50" i="11"/>
  <c r="E50" i="11"/>
  <c r="F49" i="11"/>
  <c r="E49" i="11"/>
  <c r="F48" i="11"/>
  <c r="E48" i="11"/>
  <c r="G47" i="11"/>
  <c r="E47" i="11"/>
  <c r="E18" i="11"/>
  <c r="D18" i="11"/>
  <c r="J18" i="11" s="1"/>
  <c r="H22" i="11" l="1"/>
  <c r="I22" i="11"/>
  <c r="I25" i="11"/>
  <c r="J25" i="11"/>
  <c r="H27" i="11"/>
  <c r="J30" i="11"/>
  <c r="H33" i="11"/>
  <c r="H30" i="11"/>
  <c r="J28" i="11"/>
  <c r="H36" i="11"/>
  <c r="H35" i="11"/>
  <c r="H24" i="11"/>
  <c r="I24" i="11"/>
  <c r="H26" i="11"/>
  <c r="H29" i="11"/>
  <c r="J32" i="11"/>
  <c r="I23" i="11"/>
  <c r="J29" i="11"/>
  <c r="H31" i="11"/>
  <c r="H34" i="11"/>
  <c r="I37" i="11"/>
  <c r="H23" i="11"/>
  <c r="J37" i="11"/>
  <c r="H56" i="11"/>
  <c r="I52" i="11"/>
  <c r="H59" i="11"/>
  <c r="I59" i="11"/>
  <c r="J49" i="11"/>
  <c r="H60" i="11"/>
  <c r="J55" i="11"/>
  <c r="J58" i="11"/>
  <c r="H57" i="11"/>
  <c r="I60" i="11"/>
  <c r="H55" i="11"/>
  <c r="H54" i="11"/>
  <c r="I54" i="11"/>
  <c r="H51" i="11"/>
  <c r="H53" i="11"/>
  <c r="H47" i="11"/>
  <c r="I53" i="11"/>
  <c r="J48" i="11"/>
  <c r="H50" i="11"/>
  <c r="I47" i="11"/>
  <c r="H18" i="11"/>
  <c r="F66" i="11"/>
  <c r="F65" i="11"/>
  <c r="F64" i="11"/>
  <c r="F63" i="11"/>
  <c r="F62" i="11"/>
  <c r="G46" i="11"/>
  <c r="G61" i="11"/>
  <c r="G67" i="11"/>
  <c r="G68" i="11"/>
  <c r="H70" i="11"/>
  <c r="I70" i="11"/>
  <c r="G71" i="11"/>
  <c r="D46" i="11"/>
  <c r="H46" i="11" s="1"/>
  <c r="E46" i="11"/>
  <c r="D61" i="11"/>
  <c r="J61" i="11" s="1"/>
  <c r="E61" i="11"/>
  <c r="D62" i="11"/>
  <c r="E62" i="11"/>
  <c r="D63" i="11"/>
  <c r="H63" i="11" s="1"/>
  <c r="E63" i="11"/>
  <c r="D64" i="11"/>
  <c r="H64" i="11" s="1"/>
  <c r="E64" i="11"/>
  <c r="D65" i="11"/>
  <c r="J65" i="11" s="1"/>
  <c r="E65" i="11"/>
  <c r="D66" i="11"/>
  <c r="I66" i="11" s="1"/>
  <c r="E66" i="11"/>
  <c r="D67" i="11"/>
  <c r="I67" i="11" s="1"/>
  <c r="E67" i="11"/>
  <c r="D68" i="11"/>
  <c r="H68" i="11" s="1"/>
  <c r="E68" i="11"/>
  <c r="D69" i="11"/>
  <c r="E69" i="11"/>
  <c r="D19" i="11"/>
  <c r="I19" i="11" s="1"/>
  <c r="E19" i="11"/>
  <c r="F45" i="11"/>
  <c r="F44" i="11"/>
  <c r="F43" i="11"/>
  <c r="F42" i="11"/>
  <c r="F41" i="11"/>
  <c r="D39" i="11"/>
  <c r="J39" i="11" s="1"/>
  <c r="E39" i="11"/>
  <c r="G39" i="11"/>
  <c r="D40" i="11"/>
  <c r="J40" i="11" s="1"/>
  <c r="E40" i="11"/>
  <c r="G40" i="11"/>
  <c r="D41" i="11"/>
  <c r="J41" i="11" s="1"/>
  <c r="E41" i="11"/>
  <c r="D42" i="11"/>
  <c r="H42" i="11" s="1"/>
  <c r="E42" i="11"/>
  <c r="D43" i="11"/>
  <c r="H43" i="11" s="1"/>
  <c r="E43" i="11"/>
  <c r="D44" i="11"/>
  <c r="J44" i="11" s="1"/>
  <c r="E44" i="11"/>
  <c r="D45" i="11"/>
  <c r="E45" i="11"/>
  <c r="D17" i="11"/>
  <c r="H17" i="11" s="1"/>
  <c r="E17" i="11"/>
  <c r="K22" i="11" l="1"/>
  <c r="K23" i="11"/>
  <c r="K37" i="11"/>
  <c r="K24" i="11"/>
  <c r="K47" i="11"/>
  <c r="K54" i="11"/>
  <c r="K60" i="11"/>
  <c r="K53" i="11"/>
  <c r="I61" i="11"/>
  <c r="H67" i="11"/>
  <c r="J69" i="11"/>
  <c r="H62" i="11"/>
  <c r="J46" i="11"/>
  <c r="H66" i="11"/>
  <c r="J64" i="11"/>
  <c r="I69" i="11"/>
  <c r="J68" i="11"/>
  <c r="H65" i="11"/>
  <c r="J63" i="11"/>
  <c r="H61" i="11"/>
  <c r="I46" i="11"/>
  <c r="I68" i="11"/>
  <c r="J67" i="11"/>
  <c r="J62" i="11"/>
  <c r="H19" i="11"/>
  <c r="I40" i="11"/>
  <c r="I39" i="11"/>
  <c r="H39" i="11"/>
  <c r="H44" i="11"/>
  <c r="J42" i="11"/>
  <c r="H40" i="11"/>
  <c r="I45" i="11"/>
  <c r="H45" i="11"/>
  <c r="J43" i="11"/>
  <c r="H41" i="11"/>
  <c r="J17" i="11"/>
  <c r="F78" i="11"/>
  <c r="F76" i="11"/>
  <c r="F75" i="11"/>
  <c r="K46" i="11" l="1"/>
  <c r="K67" i="11"/>
  <c r="K61" i="11"/>
  <c r="K68" i="11"/>
  <c r="K40" i="11"/>
  <c r="K39" i="11"/>
  <c r="G79" i="11" l="1"/>
  <c r="G80" i="11"/>
  <c r="G81" i="11"/>
  <c r="G82" i="11"/>
  <c r="D79" i="11"/>
  <c r="H79" i="11" s="1"/>
  <c r="E79" i="11"/>
  <c r="D80" i="11"/>
  <c r="J80" i="11" s="1"/>
  <c r="E80" i="11"/>
  <c r="D81" i="11"/>
  <c r="I81" i="11" s="1"/>
  <c r="E81" i="11"/>
  <c r="D82" i="11"/>
  <c r="H82" i="11" s="1"/>
  <c r="E82" i="11"/>
  <c r="D71" i="11"/>
  <c r="E71" i="11"/>
  <c r="F70" i="11"/>
  <c r="I71" i="11" l="1"/>
  <c r="J71" i="11"/>
  <c r="H71" i="11"/>
  <c r="J79" i="11"/>
  <c r="H81" i="11"/>
  <c r="I79" i="11"/>
  <c r="I80" i="11"/>
  <c r="J82" i="11"/>
  <c r="H80" i="11"/>
  <c r="I82" i="11"/>
  <c r="J81" i="11"/>
  <c r="K71" i="11" l="1"/>
  <c r="K82" i="11"/>
  <c r="K80" i="11"/>
  <c r="K79" i="11"/>
  <c r="K81" i="11"/>
  <c r="D73" i="11" l="1"/>
  <c r="D74" i="11"/>
  <c r="D76" i="11"/>
  <c r="D77" i="11"/>
  <c r="D78" i="11"/>
  <c r="D20" i="11"/>
  <c r="J20" i="11" s="1"/>
  <c r="E20" i="11"/>
  <c r="D38" i="11"/>
  <c r="H38" i="11" s="1"/>
  <c r="E38" i="11"/>
  <c r="G38" i="11"/>
  <c r="E7" i="64"/>
  <c r="D15" i="11"/>
  <c r="J15" i="11" s="1"/>
  <c r="E15" i="11"/>
  <c r="G15" i="11"/>
  <c r="D16" i="11"/>
  <c r="J16" i="11" s="1"/>
  <c r="E16" i="11"/>
  <c r="G16" i="11"/>
  <c r="J38" i="11" l="1"/>
  <c r="I38" i="11"/>
  <c r="H20" i="11"/>
  <c r="I15" i="11"/>
  <c r="H15" i="11"/>
  <c r="I16" i="11"/>
  <c r="H16" i="11"/>
  <c r="K38" i="11" l="1"/>
  <c r="K15" i="11"/>
  <c r="K16" i="11"/>
  <c r="G6" i="11" l="1"/>
  <c r="D72" i="11"/>
  <c r="J72" i="11" s="1"/>
  <c r="E72" i="11"/>
  <c r="G72" i="11"/>
  <c r="H73" i="11"/>
  <c r="E73" i="11"/>
  <c r="G73" i="11"/>
  <c r="E74" i="11"/>
  <c r="G74" i="11"/>
  <c r="J75" i="11"/>
  <c r="E75" i="11"/>
  <c r="J76" i="11"/>
  <c r="E76" i="11"/>
  <c r="E77" i="11"/>
  <c r="H78" i="11"/>
  <c r="E78" i="11"/>
  <c r="H74" i="11" l="1"/>
  <c r="J77" i="11"/>
  <c r="I75" i="11"/>
  <c r="H75" i="11"/>
  <c r="J74" i="11"/>
  <c r="J73" i="11"/>
  <c r="I73" i="11"/>
  <c r="I77" i="11"/>
  <c r="H72" i="11"/>
  <c r="I76" i="11"/>
  <c r="I72" i="11"/>
  <c r="I78" i="11"/>
  <c r="I74" i="11"/>
  <c r="D14" i="11"/>
  <c r="J14" i="11" s="1"/>
  <c r="E14" i="11"/>
  <c r="G14" i="11"/>
  <c r="K19" i="60"/>
  <c r="D19" i="60"/>
  <c r="K73" i="11" l="1"/>
  <c r="K75" i="11"/>
  <c r="K74" i="11"/>
  <c r="K72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8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3" i="11"/>
  <c r="D84" i="11"/>
  <c r="H84" i="11" s="1"/>
  <c r="E8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/>
  <c r="J123" i="10"/>
  <c r="L123" i="10" s="1"/>
  <c r="N123" i="10" s="1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L127" i="10" s="1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L135" i="10" s="1"/>
  <c r="N135" i="10" s="1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M188" i="10" s="1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P193" i="10" s="1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L235" i="10" s="1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N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N648" i="10" s="1"/>
  <c r="K648" i="10"/>
  <c r="M648" i="10" s="1"/>
  <c r="O648" i="10"/>
  <c r="P648" i="10" s="1"/>
  <c r="J649" i="10"/>
  <c r="L649" i="10" s="1"/>
  <c r="K649" i="10"/>
  <c r="M649" i="10" s="1"/>
  <c r="N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N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N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N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N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N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N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N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N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N860" i="10" s="1"/>
  <c r="O860" i="10"/>
  <c r="P860" i="10" s="1"/>
  <c r="J861" i="10"/>
  <c r="L861" i="10"/>
  <c r="K861" i="10"/>
  <c r="M861" i="10" s="1"/>
  <c r="N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N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N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N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N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N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N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N989" i="10" s="1"/>
  <c r="K989" i="10"/>
  <c r="M989" i="10" s="1"/>
  <c r="O989" i="10"/>
  <c r="P989" i="10" s="1"/>
  <c r="J990" i="10"/>
  <c r="L990" i="10" s="1"/>
  <c r="K990" i="10"/>
  <c r="M990" i="10" s="1"/>
  <c r="N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N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N997" i="10" s="1"/>
  <c r="K997" i="10"/>
  <c r="M997" i="10" s="1"/>
  <c r="O997" i="10"/>
  <c r="P997" i="10" s="1"/>
  <c r="J998" i="10"/>
  <c r="L998" i="10" s="1"/>
  <c r="K998" i="10"/>
  <c r="M998" i="10" s="1"/>
  <c r="N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N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N1011" i="10" s="1"/>
  <c r="O1011" i="10"/>
  <c r="P1011" i="10" s="1"/>
  <c r="J1012" i="10"/>
  <c r="L1012" i="10" s="1"/>
  <c r="K1012" i="10"/>
  <c r="M1012" i="10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N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N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N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N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N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N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N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N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 s="1"/>
  <c r="O1133" i="10"/>
  <c r="P1133" i="10" s="1"/>
  <c r="J1134" i="10"/>
  <c r="L1134" i="10" s="1"/>
  <c r="K1134" i="10"/>
  <c r="M1134" i="10" s="1"/>
  <c r="N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N1137" i="10" s="1"/>
  <c r="K1137" i="10"/>
  <c r="M1137" i="10" s="1"/>
  <c r="O1137" i="10"/>
  <c r="P1137" i="10" s="1"/>
  <c r="J1138" i="10"/>
  <c r="L1138" i="10" s="1"/>
  <c r="K1138" i="10"/>
  <c r="M1138" i="10" s="1"/>
  <c r="N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N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N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N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N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739" i="10"/>
  <c r="N1113" i="10"/>
  <c r="N874" i="10"/>
  <c r="N1073" i="10"/>
  <c r="N857" i="10"/>
  <c r="N1081" i="10"/>
  <c r="N700" i="10"/>
  <c r="N775" i="10"/>
  <c r="N971" i="10"/>
  <c r="N905" i="10"/>
  <c r="N983" i="10"/>
  <c r="N965" i="10"/>
  <c r="N960" i="10"/>
  <c r="N944" i="10"/>
  <c r="N676" i="10"/>
  <c r="N822" i="10"/>
  <c r="N723" i="10"/>
  <c r="N973" i="10"/>
  <c r="N968" i="10"/>
  <c r="N963" i="10"/>
  <c r="N956" i="10"/>
  <c r="N751" i="10"/>
  <c r="N1143" i="10"/>
  <c r="N912" i="10"/>
  <c r="N1132" i="10"/>
  <c r="N1124" i="10"/>
  <c r="N952" i="10"/>
  <c r="N863" i="10"/>
  <c r="N838" i="10"/>
  <c r="N831" i="10"/>
  <c r="N664" i="10"/>
  <c r="N986" i="10"/>
  <c r="N922" i="10"/>
  <c r="N921" i="10"/>
  <c r="N908" i="10"/>
  <c r="N892" i="10"/>
  <c r="N763" i="10"/>
  <c r="N993" i="10"/>
  <c r="N964" i="10"/>
  <c r="N1072" i="10"/>
  <c r="N1085" i="10"/>
  <c r="N1077" i="10"/>
  <c r="N1053" i="10"/>
  <c r="N1045" i="10"/>
  <c r="N977" i="10"/>
  <c r="N945" i="10"/>
  <c r="N937" i="10"/>
  <c r="N845" i="10"/>
  <c r="N813" i="10"/>
  <c r="N925" i="10"/>
  <c r="N911" i="10"/>
  <c r="N909" i="10"/>
  <c r="N896" i="10"/>
  <c r="N840" i="10"/>
  <c r="N689" i="10"/>
  <c r="N681" i="10"/>
  <c r="N693" i="10"/>
  <c r="N668" i="10"/>
  <c r="P184" i="10"/>
  <c r="O7" i="10"/>
  <c r="P188" i="10"/>
  <c r="G9" i="39"/>
  <c r="G6" i="39"/>
  <c r="C2" i="41"/>
  <c r="J7" i="10"/>
  <c r="L112" i="10"/>
  <c r="K7" i="10"/>
  <c r="M7" i="10" s="1"/>
  <c r="L172" i="10"/>
  <c r="L201" i="10"/>
  <c r="L202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8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G26" i="11" s="1"/>
  <c r="I26" i="11" s="1"/>
  <c r="K26" i="11" s="1"/>
  <c r="I398" i="10"/>
  <c r="I414" i="10"/>
  <c r="G41" i="11" s="1"/>
  <c r="I41" i="11" s="1"/>
  <c r="K41" i="11" s="1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G59" i="11" s="1"/>
  <c r="J59" i="11" s="1"/>
  <c r="K59" i="11" s="1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G25" i="11" s="1"/>
  <c r="H25" i="11" s="1"/>
  <c r="K25" i="11" s="1"/>
  <c r="I233" i="10"/>
  <c r="I270" i="10"/>
  <c r="I294" i="10"/>
  <c r="I315" i="10"/>
  <c r="I336" i="10"/>
  <c r="I358" i="10"/>
  <c r="I379" i="10"/>
  <c r="G27" i="11" s="1"/>
  <c r="I27" i="11" s="1"/>
  <c r="K27" i="11" s="1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19" i="11" s="1"/>
  <c r="J19" i="11" s="1"/>
  <c r="K19" i="11" s="1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G18" i="11" s="1"/>
  <c r="I18" i="11" s="1"/>
  <c r="K18" i="11" s="1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62" i="11" s="1"/>
  <c r="I62" i="11" s="1"/>
  <c r="K62" i="11" s="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G77" i="11" s="1"/>
  <c r="H77" i="11" s="1"/>
  <c r="K77" i="11" s="1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 s="1"/>
  <c r="I29" i="11" s="1"/>
  <c r="K29" i="11" s="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G20" i="11" s="1"/>
  <c r="I20" i="11" s="1"/>
  <c r="K20" i="11" s="1"/>
  <c r="I228" i="10"/>
  <c r="G69" i="11" s="1"/>
  <c r="H69" i="11" s="1"/>
  <c r="K69" i="11" s="1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G52" i="11" s="1"/>
  <c r="J52" i="11" s="1"/>
  <c r="K52" i="11" s="1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G45" i="11" s="1"/>
  <c r="J45" i="11" s="1"/>
  <c r="K45" i="11" s="1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70" i="11" s="1"/>
  <c r="J70" i="11" s="1"/>
  <c r="K70" i="11" s="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G32" i="11" s="1"/>
  <c r="I32" i="11" s="1"/>
  <c r="K32" i="11" s="1"/>
  <c r="I566" i="10"/>
  <c r="I663" i="10"/>
  <c r="I716" i="10"/>
  <c r="I785" i="10"/>
  <c r="I848" i="10"/>
  <c r="I890" i="10"/>
  <c r="I998" i="10"/>
  <c r="I1054" i="10"/>
  <c r="G78" i="11" s="1"/>
  <c r="J78" i="11" s="1"/>
  <c r="K78" i="11" s="1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 s="1"/>
  <c r="I30" i="11" s="1"/>
  <c r="K30" i="11" s="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G17" i="11" s="1"/>
  <c r="I17" i="11" s="1"/>
  <c r="K17" i="11" s="1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G55" i="11" s="1"/>
  <c r="I55" i="11" s="1"/>
  <c r="K55" i="11" s="1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 s="1"/>
  <c r="I31" i="11" s="1"/>
  <c r="K31" i="11" s="1"/>
  <c r="I565" i="10"/>
  <c r="I667" i="10"/>
  <c r="I742" i="10"/>
  <c r="G36" i="11" s="1"/>
  <c r="J36" i="11" s="1"/>
  <c r="K36" i="11" s="1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8" i="11" s="1"/>
  <c r="I28" i="11" s="1"/>
  <c r="K28" i="11" s="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63" i="11" s="1"/>
  <c r="I63" i="11" s="1"/>
  <c r="K63" i="11" s="1"/>
  <c r="I578" i="10"/>
  <c r="I670" i="10"/>
  <c r="G66" i="11" s="1"/>
  <c r="J66" i="11" s="1"/>
  <c r="K66" i="11" s="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G76" i="11" s="1"/>
  <c r="H76" i="11" s="1"/>
  <c r="K76" i="11" s="1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G48" i="11" s="1"/>
  <c r="I48" i="11" s="1"/>
  <c r="K48" i="11" s="1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1" i="11"/>
  <c r="I1220" i="10"/>
  <c r="I1219" i="10"/>
  <c r="I9" i="10"/>
  <c r="G75" i="11" s="1"/>
  <c r="P191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08" i="10"/>
  <c r="L172" i="29"/>
  <c r="B171" i="29" s="1"/>
  <c r="L42" i="39"/>
  <c r="B41" i="39" s="1"/>
  <c r="L206" i="10"/>
  <c r="L129" i="10"/>
  <c r="L247" i="10"/>
  <c r="N1192" i="10"/>
  <c r="N1131" i="10"/>
  <c r="N1099" i="10"/>
  <c r="N1059" i="10"/>
  <c r="G8" i="39"/>
  <c r="I107" i="10"/>
  <c r="I1408" i="10"/>
  <c r="I1411" i="10"/>
  <c r="I1414" i="10"/>
  <c r="M120" i="10"/>
  <c r="M229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19" i="10"/>
  <c r="M1432" i="10"/>
  <c r="M118" i="10"/>
  <c r="M1413" i="10"/>
  <c r="M222" i="10"/>
  <c r="M225" i="10"/>
  <c r="P80" i="10"/>
  <c r="N1298" i="10"/>
  <c r="N1051" i="10"/>
  <c r="G8" i="29"/>
  <c r="N1359" i="10"/>
  <c r="N1209" i="10"/>
  <c r="N1208" i="10"/>
  <c r="N1060" i="10"/>
  <c r="N1003" i="10"/>
  <c r="N1370" i="10"/>
  <c r="N1091" i="10"/>
  <c r="N1052" i="10"/>
  <c r="N976" i="10"/>
  <c r="N961" i="10"/>
  <c r="N1292" i="10"/>
  <c r="N1213" i="10"/>
  <c r="N1199" i="10"/>
  <c r="N1177" i="10"/>
  <c r="N1175" i="10"/>
  <c r="N1108" i="10"/>
  <c r="N1029" i="10"/>
  <c r="N969" i="10"/>
  <c r="N916" i="10"/>
  <c r="N887" i="10"/>
  <c r="N867" i="10"/>
  <c r="N835" i="10"/>
  <c r="N870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1" i="10"/>
  <c r="N894" i="10"/>
  <c r="N882" i="10"/>
  <c r="N850" i="10"/>
  <c r="N849" i="10"/>
  <c r="N844" i="10"/>
  <c r="N830" i="10"/>
  <c r="N829" i="10"/>
  <c r="N826" i="10"/>
  <c r="N933" i="10"/>
  <c r="N932" i="10"/>
  <c r="N931" i="10"/>
  <c r="N930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9" i="10"/>
  <c r="N138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N1237" i="10"/>
  <c r="N1211" i="10"/>
  <c r="N1164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903" i="10"/>
  <c r="N871" i="10"/>
  <c r="N862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82" i="10"/>
  <c r="N774" i="10"/>
  <c r="N770" i="10"/>
  <c r="N766" i="10"/>
  <c r="N1103" i="10"/>
  <c r="N1097" i="10"/>
  <c r="N1092" i="10"/>
  <c r="N1084" i="10"/>
  <c r="N694" i="10"/>
  <c r="N682" i="10"/>
  <c r="N670" i="10"/>
  <c r="N650" i="10"/>
  <c r="N646" i="10"/>
  <c r="N1009" i="10"/>
  <c r="N1005" i="10"/>
  <c r="N1001" i="10"/>
  <c r="N975" i="10"/>
  <c r="N974" i="10"/>
  <c r="N959" i="10"/>
  <c r="N943" i="10"/>
  <c r="N936" i="10"/>
  <c r="N927" i="10"/>
  <c r="N904" i="10"/>
  <c r="N895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34" i="10"/>
  <c r="N1312" i="10"/>
  <c r="N1296" i="10"/>
  <c r="N1168" i="10"/>
  <c r="N1158" i="10"/>
  <c r="N1157" i="10"/>
  <c r="N1140" i="10"/>
  <c r="N1136" i="10"/>
  <c r="N1135" i="10"/>
  <c r="N1090" i="10"/>
  <c r="N1071" i="10"/>
  <c r="N1056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69" i="10"/>
  <c r="L256" i="10"/>
  <c r="L240" i="10"/>
  <c r="L85" i="10"/>
  <c r="N85" i="10" s="1"/>
  <c r="L233" i="10"/>
  <c r="L120" i="10"/>
  <c r="N120" i="10" s="1"/>
  <c r="L241" i="10"/>
  <c r="L268" i="10"/>
  <c r="L146" i="10"/>
  <c r="L181" i="10"/>
  <c r="L141" i="10"/>
  <c r="N141" i="10" s="1"/>
  <c r="N1270" i="10"/>
  <c r="N1407" i="10"/>
  <c r="N1121" i="10"/>
  <c r="N1297" i="10"/>
  <c r="N1173" i="10"/>
  <c r="N1223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10" i="10"/>
  <c r="N1076" i="10"/>
  <c r="N1063" i="10"/>
  <c r="N1302" i="10"/>
  <c r="N1257" i="10"/>
  <c r="N1240" i="10"/>
  <c r="N1174" i="10"/>
  <c r="N1160" i="10"/>
  <c r="N1159" i="10"/>
  <c r="N1115" i="10"/>
  <c r="N103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N1235" i="10" l="1"/>
  <c r="N1130" i="10"/>
  <c r="L237" i="10"/>
  <c r="L224" i="10"/>
  <c r="N224" i="10" s="1"/>
  <c r="L93" i="10"/>
  <c r="N93" i="10" s="1"/>
  <c r="L70" i="10"/>
  <c r="N70" i="10" s="1"/>
  <c r="G50" i="11"/>
  <c r="I50" i="11" s="1"/>
  <c r="K50" i="11" s="1"/>
  <c r="G64" i="11"/>
  <c r="I64" i="11" s="1"/>
  <c r="K64" i="11" s="1"/>
  <c r="G43" i="11"/>
  <c r="I43" i="11" s="1"/>
  <c r="K43" i="11" s="1"/>
  <c r="L90" i="10"/>
  <c r="N90" i="10" s="1"/>
  <c r="G49" i="11"/>
  <c r="I49" i="11" s="1"/>
  <c r="K49" i="11" s="1"/>
  <c r="G42" i="11"/>
  <c r="I42" i="11" s="1"/>
  <c r="K42" i="11" s="1"/>
  <c r="L228" i="10"/>
  <c r="N228" i="10" s="1"/>
  <c r="L222" i="10"/>
  <c r="N222" i="10" s="1"/>
  <c r="L225" i="10"/>
  <c r="N225" i="10" s="1"/>
  <c r="L217" i="10"/>
  <c r="N217" i="10" s="1"/>
  <c r="L137" i="10"/>
  <c r="N137" i="10" s="1"/>
  <c r="L246" i="10"/>
  <c r="L117" i="10"/>
  <c r="N117" i="10" s="1"/>
  <c r="N1278" i="10"/>
  <c r="N1375" i="10"/>
  <c r="N1347" i="10"/>
  <c r="N1329" i="10"/>
  <c r="N1304" i="10"/>
  <c r="N1285" i="10"/>
  <c r="N1215" i="10"/>
  <c r="N1122" i="10"/>
  <c r="N898" i="10"/>
  <c r="N846" i="10"/>
  <c r="N837" i="10"/>
  <c r="N807" i="10"/>
  <c r="N791" i="10"/>
  <c r="N765" i="10"/>
  <c r="N761" i="10"/>
  <c r="N757" i="10"/>
  <c r="N745" i="10"/>
  <c r="N637" i="10"/>
  <c r="G58" i="11"/>
  <c r="I58" i="11" s="1"/>
  <c r="K58" i="11" s="1"/>
  <c r="G35" i="11"/>
  <c r="I35" i="11" s="1"/>
  <c r="K35" i="11" s="1"/>
  <c r="G51" i="11"/>
  <c r="I51" i="11" s="1"/>
  <c r="K51" i="11" s="1"/>
  <c r="G44" i="11"/>
  <c r="I44" i="11" s="1"/>
  <c r="K44" i="11" s="1"/>
  <c r="G65" i="11"/>
  <c r="I65" i="11" s="1"/>
  <c r="K65" i="11" s="1"/>
  <c r="L232" i="10"/>
  <c r="N1449" i="10"/>
  <c r="N1419" i="10"/>
  <c r="N1336" i="10"/>
  <c r="N1335" i="10"/>
  <c r="N1327" i="10"/>
  <c r="N1300" i="10"/>
  <c r="N1253" i="10"/>
  <c r="N1246" i="10"/>
  <c r="N1241" i="10"/>
  <c r="N1227" i="10"/>
  <c r="N1220" i="10"/>
  <c r="N1167" i="10"/>
  <c r="N1088" i="10"/>
  <c r="N799" i="10"/>
  <c r="N706" i="10"/>
  <c r="N659" i="10"/>
  <c r="N125" i="10"/>
  <c r="G33" i="11"/>
  <c r="I33" i="11" s="1"/>
  <c r="K33" i="11" s="1"/>
  <c r="G56" i="11"/>
  <c r="I56" i="11" s="1"/>
  <c r="K56" i="11" s="1"/>
  <c r="G57" i="11"/>
  <c r="I57" i="11" s="1"/>
  <c r="K57" i="11" s="1"/>
  <c r="G34" i="11"/>
  <c r="I34" i="11" s="1"/>
  <c r="K34" i="11" s="1"/>
  <c r="N1365" i="10"/>
  <c r="N1361" i="10"/>
  <c r="N1313" i="10"/>
  <c r="N1303" i="10"/>
  <c r="N1284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3" i="11"/>
  <c r="J83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N1435" i="10"/>
  <c r="C274" i="29"/>
  <c r="D274" i="29" s="1"/>
  <c r="E274" i="29" s="1"/>
  <c r="C292" i="29"/>
  <c r="D292" i="29" s="1"/>
  <c r="E292" i="29" s="1"/>
  <c r="C285" i="29"/>
  <c r="D285" i="29" s="1"/>
  <c r="F285" i="29" s="1"/>
  <c r="C300" i="29"/>
  <c r="D300" i="29" s="1"/>
  <c r="F300" i="29" s="1"/>
  <c r="C280" i="29"/>
  <c r="D280" i="29" s="1"/>
  <c r="F280" i="29" s="1"/>
  <c r="C244" i="29"/>
  <c r="D244" i="29" s="1"/>
  <c r="E244" i="29" s="1"/>
  <c r="C254" i="29"/>
  <c r="D254" i="29" s="1"/>
  <c r="E254" i="29" s="1"/>
  <c r="C279" i="29"/>
  <c r="D279" i="29" s="1"/>
  <c r="E279" i="29" s="1"/>
  <c r="C227" i="29"/>
  <c r="D227" i="29" s="1"/>
  <c r="F227" i="29" s="1"/>
  <c r="C267" i="29"/>
  <c r="D267" i="29" s="1"/>
  <c r="F267" i="29" s="1"/>
  <c r="C243" i="29"/>
  <c r="D243" i="29" s="1"/>
  <c r="F243" i="29" s="1"/>
  <c r="C277" i="29"/>
  <c r="D277" i="29" s="1"/>
  <c r="F277" i="29" s="1"/>
  <c r="C314" i="29"/>
  <c r="D314" i="29" s="1"/>
  <c r="E314" i="29" s="1"/>
  <c r="N9" i="10"/>
  <c r="C296" i="29"/>
  <c r="D296" i="29" s="1"/>
  <c r="C317" i="29"/>
  <c r="D317" i="29" s="1"/>
  <c r="E317" i="29" s="1"/>
  <c r="C235" i="29"/>
  <c r="D235" i="29" s="1"/>
  <c r="E235" i="29" s="1"/>
  <c r="C236" i="29"/>
  <c r="D236" i="29" s="1"/>
  <c r="F236" i="29" s="1"/>
  <c r="C246" i="29"/>
  <c r="D246" i="29" s="1"/>
  <c r="E246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L188" i="10"/>
  <c r="N188" i="10" s="1"/>
  <c r="L183" i="10"/>
  <c r="N183" i="10" s="1"/>
  <c r="B31" i="54"/>
  <c r="B32" i="54"/>
  <c r="D8" i="54"/>
  <c r="C9" i="54"/>
  <c r="J36" i="39"/>
  <c r="I36" i="39"/>
  <c r="H36" i="39"/>
  <c r="J84" i="11"/>
  <c r="I84" i="11"/>
  <c r="C278" i="29" l="1"/>
  <c r="D278" i="29" s="1"/>
  <c r="E278" i="29" s="1"/>
  <c r="C252" i="29"/>
  <c r="D252" i="29" s="1"/>
  <c r="F252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94" i="29"/>
  <c r="D294" i="29" s="1"/>
  <c r="E294" i="29" s="1"/>
  <c r="C287" i="29"/>
  <c r="D287" i="29" s="1"/>
  <c r="E287" i="29" s="1"/>
  <c r="C315" i="29"/>
  <c r="D315" i="29" s="1"/>
  <c r="E315" i="29" s="1"/>
  <c r="C293" i="29"/>
  <c r="D293" i="29" s="1"/>
  <c r="E293" i="29" s="1"/>
  <c r="C270" i="29"/>
  <c r="D270" i="29" s="1"/>
  <c r="E270" i="29" s="1"/>
  <c r="C261" i="29"/>
  <c r="D261" i="29" s="1"/>
  <c r="F261" i="29" s="1"/>
  <c r="C316" i="29"/>
  <c r="D316" i="29" s="1"/>
  <c r="E316" i="29" s="1"/>
  <c r="C228" i="29"/>
  <c r="D228" i="29" s="1"/>
  <c r="E228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C324" i="29"/>
  <c r="D324" i="29" s="1"/>
  <c r="E324" i="29" s="1"/>
  <c r="C263" i="29"/>
  <c r="D263" i="29" s="1"/>
  <c r="E263" i="29" s="1"/>
  <c r="C275" i="29"/>
  <c r="D275" i="29" s="1"/>
  <c r="E275" i="29" s="1"/>
  <c r="C75" i="39"/>
  <c r="D75" i="39" s="1"/>
  <c r="E75" i="3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E313" i="29" s="1"/>
  <c r="C276" i="29"/>
  <c r="D276" i="29" s="1"/>
  <c r="F276" i="29" s="1"/>
  <c r="H83" i="11"/>
  <c r="I83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296" i="29"/>
  <c r="E280" i="29"/>
  <c r="E306" i="29"/>
  <c r="E267" i="29"/>
  <c r="E243" i="29"/>
  <c r="F234" i="29"/>
  <c r="E247" i="29"/>
  <c r="E300" i="29"/>
  <c r="F302" i="29"/>
  <c r="E311" i="29"/>
  <c r="F310" i="29"/>
  <c r="E245" i="29"/>
  <c r="F274" i="29"/>
  <c r="F294" i="29"/>
  <c r="F244" i="29"/>
  <c r="E285" i="29"/>
  <c r="F289" i="29"/>
  <c r="F303" i="29"/>
  <c r="E239" i="29"/>
  <c r="E268" i="29"/>
  <c r="E277" i="29"/>
  <c r="E236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5" i="29"/>
  <c r="E276" i="29"/>
  <c r="F250" i="29"/>
  <c r="F263" i="29"/>
  <c r="F275" i="29"/>
  <c r="F298" i="29"/>
  <c r="E309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84" i="11"/>
  <c r="E321" i="29" l="1"/>
  <c r="F240" i="29"/>
  <c r="F308" i="29"/>
  <c r="E282" i="29"/>
  <c r="F284" i="29"/>
  <c r="E251" i="29"/>
  <c r="E273" i="29"/>
  <c r="E288" i="29"/>
  <c r="F256" i="29"/>
  <c r="F304" i="29"/>
  <c r="F266" i="29"/>
  <c r="K83" i="1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6" i="11"/>
  <c r="H87" i="11" s="1"/>
  <c r="I86" i="11"/>
  <c r="I8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8" i="11"/>
  <c r="I8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86" i="11" l="1"/>
  <c r="K87" i="11" s="1"/>
  <c r="K88" i="11" s="1"/>
  <c r="B8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86" i="11"/>
  <c r="J8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35" i="39" l="1"/>
  <c r="F77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<sst xmlns="http://schemas.openxmlformats.org/spreadsheetml/2006/main" count="4750" uniqueCount="1634">
  <si>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</si>
  <si>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</si>
  <si>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</si>
  <si>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</si>
  <si>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</si>
  <si>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</si>
  <si>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</si>
  <si>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</si>
  <si>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</si>
  <si>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</si>
  <si>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</si>
  <si>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</si>
  <si>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</si>
  <si>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</si>
  <si>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</si>
  <si>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</si>
  <si>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</si>
  <si>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</si>
  <si>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</si>
  <si>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</si>
  <si>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</si>
  <si>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</si>
  <si>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</si>
  <si>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</si>
  <si>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</si>
  <si>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</si>
  <si>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</si>
  <si>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</si>
  <si>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</si>
  <si>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</si>
  <si>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</si>
  <si>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</si>
  <si>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</si>
  <si>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</si>
  <si>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</si>
  <si>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</si>
  <si>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</si>
  <si>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</si>
  <si>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</si>
  <si>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</si>
  <si>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</si>
  <si>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</si>
  <si>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</si>
  <si>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</si>
  <si>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</si>
  <si>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</si>
  <si>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</si>
  <si>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</si>
  <si>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</si>
  <si>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</si>
  <si>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</si>
  <si>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</si>
  <si>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</si>
  <si>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</si>
  <si>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</si>
  <si>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</si>
  <si>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</si>
  <si>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</si>
  <si>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</si>
  <si>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</si>
  <si>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</si>
  <si>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</si>
  <si>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</si>
  <si>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</si>
  <si>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</si>
  <si>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</si>
  <si>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</si>
  <si>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</si>
  <si>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</si>
  <si>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</si>
  <si>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</si>
  <si>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</si>
  <si>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</si>
  <si>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</si>
  <si>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</si>
  <si>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</si>
  <si>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</si>
  <si>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</si>
  <si>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</si>
  <si>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</si>
  <si>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</si>
  <si>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</si>
  <si>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</si>
  <si>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</si>
  <si>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</si>
  <si>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</si>
  <si>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</si>
  <si>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</si>
  <si>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</si>
  <si>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</si>
  <si>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</si>
  <si>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</si>
  <si>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</si>
  <si>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</si>
  <si>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</si>
  <si>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</si>
  <si>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</si>
  <si>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</si>
  <si>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</si>
  <si>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</si>
  <si>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</si>
  <si>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</si>
  <si>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</si>
  <si>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</si>
  <si>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</si>
  <si>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</si>
  <si>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</si>
  <si>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</si>
  <si>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</si>
  <si>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</si>
  <si>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</si>
  <si>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</si>
  <si>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</si>
  <si>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</si>
  <si>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</si>
  <si>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</si>
  <si>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</si>
  <si>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</si>
  <si>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</si>
  <si>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</si>
  <si>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</si>
  <si>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</si>
  <si>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</si>
  <si>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</si>
  <si>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</si>
  <si>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</si>
  <si>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</si>
  <si>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</si>
  <si>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</si>
  <si>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</si>
  <si>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</si>
  <si>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</si>
  <si>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</si>
  <si>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</si>
  <si>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</si>
  <si>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</si>
  <si>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</si>
  <si>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</si>
  <si>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</si>
  <si>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</si>
  <si>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</si>
  <si>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</si>
  <si>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</si>
  <si>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</si>
  <si>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</si>
  <si>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</si>
  <si>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</si>
  <si>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</si>
  <si>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</si>
  <si>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</si>
  <si>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</si>
  <si>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</si>
  <si>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</si>
  <si>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</si>
  <si>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</si>
  <si>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</si>
  <si>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</si>
  <si>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</si>
  <si>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</si>
  <si>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</si>
  <si>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</si>
  <si>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</si>
  <si>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</si>
  <si>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</si>
  <si>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</si>
  <si>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</si>
  <si>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</si>
  <si>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</si>
  <si>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</si>
  <si>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</si>
  <si>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</si>
  <si>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</si>
  <si>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</si>
  <si>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</si>
  <si>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</si>
  <si>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</si>
  <si>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</si>
  <si>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</si>
  <si>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</si>
  <si>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</si>
  <si>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</si>
  <si>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</si>
  <si>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</si>
  <si>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</si>
  <si>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</si>
  <si>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</si>
  <si>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</si>
  <si>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</si>
  <si>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</si>
  <si>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</si>
  <si>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</si>
  <si>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</si>
  <si>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</si>
  <si>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</si>
  <si>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</si>
  <si>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</si>
  <si>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</si>
  <si>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</si>
  <si>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</si>
  <si>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</si>
  <si>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</si>
  <si>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</si>
  <si>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</si>
  <si>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</si>
  <si>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</si>
  <si>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</si>
  <si>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</si>
  <si>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</si>
  <si>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</si>
  <si>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</si>
  <si>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</si>
  <si>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</si>
  <si>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</si>
  <si>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</si>
  <si>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</si>
  <si>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</si>
  <si>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</si>
  <si>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</si>
  <si>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</si>
  <si>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</si>
  <si>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</si>
  <si>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</si>
  <si>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</si>
  <si>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</si>
  <si>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</si>
  <si>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</si>
  <si>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</si>
  <si>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</si>
  <si>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</si>
  <si>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</si>
  <si>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</si>
  <si>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</si>
  <si>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</si>
  <si>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</si>
  <si>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</si>
  <si>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</si>
  <si>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</si>
  <si>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</si>
  <si>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</si>
  <si>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</si>
  <si>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</si>
  <si>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</si>
  <si>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</si>
  <si>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</si>
  <si>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</si>
  <si>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</si>
  <si>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</si>
  <si>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</si>
  <si>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</si>
  <si>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</si>
  <si>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</si>
  <si>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</si>
  <si>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</si>
  <si>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</si>
  <si>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</si>
  <si>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</si>
  <si>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</si>
  <si>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</si>
  <si>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</si>
  <si>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</si>
  <si>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</si>
  <si>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</si>
  <si>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</si>
  <si>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</si>
  <si>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</si>
  <si>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</si>
  <si>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</si>
  <si>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</si>
  <si>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</si>
  <si>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</si>
  <si>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</si>
  <si>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</si>
  <si>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</si>
  <si>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</si>
  <si>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</si>
  <si>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</si>
  <si>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</si>
  <si>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</si>
  <si>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</si>
  <si>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</si>
  <si>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</si>
  <si>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</si>
  <si>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</si>
  <si>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</si>
  <si>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</si>
  <si>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</si>
  <si>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</si>
  <si>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</si>
  <si>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</si>
  <si>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</si>
  <si>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</si>
  <si>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</si>
  <si>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</si>
  <si>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</si>
  <si>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</si>
  <si>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</si>
  <si>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</si>
  <si>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</si>
  <si>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</si>
  <si>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</si>
  <si>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</si>
  <si>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</si>
  <si>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</si>
  <si>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</si>
  <si>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</si>
  <si>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</si>
  <si>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</si>
  <si>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</si>
  <si>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</si>
  <si>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</si>
  <si>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</si>
  <si>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</si>
  <si>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</si>
  <si>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</si>
  <si>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</si>
  <si>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</si>
  <si>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</si>
  <si>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</si>
  <si>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</si>
  <si>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</si>
  <si>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</si>
  <si>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</si>
  <si>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</si>
  <si>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</si>
  <si>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</si>
  <si>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</si>
  <si>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</si>
  <si>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</si>
  <si>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</si>
  <si>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</si>
  <si>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</si>
  <si>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</si>
  <si>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</si>
  <si>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</si>
  <si>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</si>
  <si>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</si>
  <si>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</si>
  <si>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</si>
  <si>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</si>
  <si>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</si>
  <si>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</si>
  <si>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</si>
  <si>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</si>
  <si>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</si>
  <si>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</si>
  <si>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</si>
  <si>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</si>
  <si>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</si>
  <si>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</si>
  <si>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</si>
  <si>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</si>
  <si>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</si>
  <si>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</si>
  <si>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</si>
  <si>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</si>
  <si>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</si>
  <si>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</si>
  <si>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</si>
  <si>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</si>
  <si>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</si>
  <si>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</si>
  <si>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</si>
  <si>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</si>
  <si>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</si>
  <si>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</si>
  <si>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</si>
  <si>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</si>
  <si>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</si>
  <si>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</si>
  <si>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</si>
  <si>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</si>
  <si>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</si>
  <si>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</si>
  <si>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</si>
  <si>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</si>
  <si>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</si>
  <si>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</si>
  <si>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</si>
  <si>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</si>
  <si>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</si>
  <si>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</si>
  <si>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</si>
  <si>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</si>
  <si>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</si>
  <si>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</si>
  <si>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</si>
  <si>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</si>
  <si>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</si>
  <si>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</si>
  <si>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</si>
  <si>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</si>
  <si>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</si>
  <si>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</si>
  <si>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</si>
  <si>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</si>
  <si>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</si>
  <si>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</si>
  <si>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</si>
  <si>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</si>
  <si>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</si>
  <si>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</si>
  <si>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</si>
  <si>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</si>
  <si>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</si>
  <si>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</si>
  <si>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</si>
  <si>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</si>
  <si>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</si>
  <si>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</si>
  <si>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</si>
  <si>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</si>
  <si>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</si>
  <si>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</si>
  <si>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</si>
  <si>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</si>
  <si>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</si>
  <si>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</si>
  <si>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</si>
  <si>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</si>
  <si>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</si>
  <si>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</si>
  <si>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</si>
  <si>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</si>
  <si>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</si>
  <si>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</si>
  <si>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</si>
  <si>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</si>
  <si>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</si>
  <si>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</si>
  <si>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</si>
  <si>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</si>
  <si>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</si>
  <si>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</si>
  <si>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</si>
  <si>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</si>
  <si>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</si>
  <si>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</si>
  <si>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</si>
  <si>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</si>
  <si>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</si>
  <si>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</si>
  <si>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</si>
  <si>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</si>
  <si>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</si>
  <si>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</si>
  <si>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</si>
  <si>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</si>
  <si>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</si>
  <si>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</si>
  <si>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</si>
  <si>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</si>
  <si>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</si>
  <si>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</si>
  <si>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</si>
  <si>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</si>
  <si>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</si>
  <si>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</si>
  <si>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</si>
  <si>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</si>
  <si>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</si>
  <si>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</si>
  <si>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</si>
  <si>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</si>
  <si>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</si>
  <si>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</si>
  <si>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</si>
  <si>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</si>
  <si>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</si>
  <si>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</si>
  <si>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</si>
  <si>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</si>
  <si>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</si>
  <si>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</si>
  <si>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</si>
  <si>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</si>
  <si>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</si>
  <si>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</si>
  <si>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</si>
  <si>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</si>
  <si>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</si>
  <si>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</si>
  <si>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</si>
  <si>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</si>
  <si>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</si>
  <si>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</si>
  <si>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</si>
  <si>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</si>
  <si>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</si>
  <si>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</si>
  <si>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</si>
  <si>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</si>
  <si>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</si>
  <si>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</si>
  <si>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</si>
  <si>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</si>
  <si>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</si>
  <si>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</si>
  <si>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</si>
  <si>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</si>
  <si>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</si>
  <si>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</si>
  <si>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</si>
  <si>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</si>
  <si>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</si>
  <si>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</si>
  <si>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</si>
  <si>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</si>
  <si>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</si>
  <si>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</si>
  <si>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</si>
  <si>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</si>
  <si>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</si>
  <si>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</si>
  <si>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</si>
  <si>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</si>
  <si>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</si>
  <si>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</si>
  <si>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</si>
  <si>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</si>
  <si>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</si>
  <si>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</si>
  <si>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</si>
  <si>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</si>
  <si>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</si>
  <si>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</si>
  <si>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</si>
  <si>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</si>
  <si>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</si>
  <si>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</si>
  <si>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</si>
  <si>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</si>
  <si>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</si>
  <si>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</si>
  <si>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</si>
  <si>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</si>
  <si>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</si>
  <si>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</si>
  <si>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</si>
  <si>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</si>
  <si>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</si>
  <si>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</si>
  <si>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</si>
  <si>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</si>
  <si>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</si>
  <si>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</si>
  <si>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</si>
  <si>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</si>
  <si>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</si>
  <si>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</si>
  <si>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</si>
  <si>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</si>
  <si>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</si>
  <si>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</si>
  <si>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</si>
  <si>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</si>
  <si>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</si>
  <si>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</si>
  <si>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</si>
  <si>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</si>
  <si>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</si>
  <si>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</si>
  <si>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</si>
  <si>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</si>
  <si>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</si>
  <si>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</si>
  <si>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</si>
  <si>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</si>
  <si>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</si>
  <si>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</si>
  <si>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</si>
  <si>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</si>
  <si>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</si>
  <si>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</si>
  <si>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</si>
  <si>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</si>
  <si>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</si>
  <si>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</si>
  <si>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</si>
  <si>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</si>
  <si>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</si>
  <si>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</si>
  <si>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</si>
  <si>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</si>
  <si>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</si>
  <si>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</si>
  <si>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</si>
  <si>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</si>
  <si>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</si>
  <si>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</si>
  <si>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</si>
  <si>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</si>
  <si>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</si>
  <si>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</si>
  <si>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</si>
  <si>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</si>
  <si>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</si>
  <si>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</si>
  <si>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</si>
  <si>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</si>
  <si>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</si>
  <si>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</si>
  <si>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</si>
  <si>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</si>
  <si>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</si>
  <si>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</si>
  <si>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</si>
  <si>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</si>
  <si>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</si>
  <si>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</si>
  <si>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</si>
  <si>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</si>
  <si>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</si>
  <si>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</si>
  <si>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</si>
  <si>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</si>
  <si>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</si>
  <si>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</si>
  <si>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</si>
  <si>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</si>
  <si>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</si>
  <si>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</si>
  <si>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</si>
  <si>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</si>
  <si>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</si>
  <si>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</si>
  <si>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</si>
  <si>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</si>
  <si>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</si>
  <si>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</si>
  <si>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</si>
  <si>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</si>
  <si>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</si>
  <si>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</si>
  <si>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</si>
  <si>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</si>
  <si>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</si>
  <si>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</si>
  <si>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</si>
  <si>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</si>
  <si>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</si>
  <si>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</si>
  <si>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</si>
  <si>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</si>
  <si>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</si>
  <si>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</si>
  <si>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</si>
  <si>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</si>
  <si>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</si>
  <si>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</si>
  <si>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</si>
  <si>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</si>
  <si>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</si>
  <si>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</si>
  <si>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</si>
  <si>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</si>
  <si>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</si>
  <si>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</si>
  <si>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</si>
  <si>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</si>
  <si>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</si>
  <si>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</si>
  <si>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</si>
  <si>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</si>
  <si>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</si>
  <si>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</si>
  <si>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</si>
  <si>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</si>
  <si>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</si>
  <si>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</si>
  <si>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</si>
  <si>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</si>
  <si>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</si>
  <si>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</si>
  <si>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</si>
  <si>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</si>
  <si>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</si>
  <si>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</si>
  <si>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</si>
  <si>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</si>
  <si>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</si>
  <si>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</si>
  <si>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</si>
  <si>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</si>
  <si>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</si>
  <si>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</si>
  <si>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</si>
  <si>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</si>
  <si>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</si>
  <si>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</si>
  <si>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</si>
  <si>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</si>
  <si>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</si>
  <si>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</si>
  <si>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</si>
  <si>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</si>
  <si>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</si>
  <si>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</si>
  <si>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</si>
  <si>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</si>
  <si>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</si>
  <si>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</si>
  <si>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</si>
  <si>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</si>
  <si>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</si>
  <si>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</si>
  <si>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</si>
  <si>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</si>
  <si>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</si>
  <si>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</si>
  <si>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</si>
  <si>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</si>
  <si>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</si>
  <si>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</si>
  <si>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</si>
  <si>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</si>
  <si>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</si>
  <si>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</si>
  <si>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</si>
  <si>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</si>
  <si>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</si>
  <si>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</si>
  <si>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</si>
  <si>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</si>
  <si>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</si>
  <si>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</si>
  <si>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</si>
  <si>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</si>
  <si>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</si>
  <si>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</si>
  <si>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</si>
  <si>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</si>
  <si>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</si>
  <si>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</si>
  <si>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</si>
  <si>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</si>
  <si>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</si>
  <si>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</si>
  <si>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</si>
  <si>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</si>
  <si>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</si>
  <si>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</si>
  <si>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</si>
  <si>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</si>
  <si>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</si>
  <si>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</si>
  <si>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</si>
  <si>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</si>
  <si>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</si>
  <si>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</si>
  <si>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</si>
  <si>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</si>
  <si>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</si>
  <si>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</si>
  <si>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</si>
  <si>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</si>
  <si>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</si>
  <si>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</si>
  <si>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</si>
  <si>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</si>
  <si>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</si>
  <si>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</si>
  <si>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</si>
  <si>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</si>
  <si>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</si>
  <si>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</si>
  <si>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</si>
  <si>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</si>
  <si>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</si>
  <si>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</si>
  <si>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</si>
  <si>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</si>
  <si>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</si>
  <si>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</si>
  <si>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</si>
  <si>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</si>
  <si>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</si>
  <si>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</si>
  <si>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</si>
  <si>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</si>
  <si>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</si>
  <si>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</si>
  <si>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</si>
  <si>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</si>
  <si>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</si>
  <si>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</si>
  <si>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</si>
  <si>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</si>
  <si>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</si>
  <si>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</si>
  <si>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</si>
  <si>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</si>
  <si>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</si>
  <si>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</si>
  <si>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</si>
  <si>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</si>
  <si>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</si>
  <si>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</si>
  <si>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</si>
  <si>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</si>
  <si>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</si>
  <si>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</si>
  <si>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</si>
  <si>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</si>
  <si>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</si>
  <si>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</si>
  <si>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</si>
  <si>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</si>
  <si>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</si>
  <si>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</si>
  <si>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</si>
  <si>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</si>
  <si>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</si>
  <si>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</si>
  <si>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</si>
  <si>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</si>
  <si>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</si>
  <si>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</si>
  <si>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</si>
  <si>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</si>
  <si>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</si>
  <si>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</si>
  <si>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</si>
  <si>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</si>
  <si>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</si>
  <si>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</si>
  <si>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</si>
  <si>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</si>
  <si>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</si>
  <si>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</si>
  <si>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</si>
  <si>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</si>
  <si>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</si>
  <si>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</si>
  <si>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</si>
  <si>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</si>
  <si>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</si>
  <si>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</si>
  <si>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</si>
  <si>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</si>
  <si>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</si>
  <si>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</si>
  <si>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</si>
  <si>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</si>
  <si>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</si>
  <si>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</si>
  <si>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</si>
  <si>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</si>
  <si>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</si>
  <si>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</si>
  <si>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</si>
  <si>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</si>
  <si>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</si>
  <si>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</si>
  <si>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</si>
  <si>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</si>
  <si>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</si>
  <si>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</si>
  <si>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</si>
  <si>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</si>
  <si>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</si>
  <si>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</si>
  <si>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</si>
  <si>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</si>
  <si>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</si>
  <si>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</si>
  <si>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</si>
  <si>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</si>
  <si>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</si>
  <si>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</si>
  <si>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</si>
  <si>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</si>
  <si>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</si>
  <si>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</si>
  <si>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</si>
  <si>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</si>
  <si>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</si>
  <si>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</si>
  <si>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</si>
  <si>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</si>
  <si>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</si>
  <si>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</si>
  <si>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</si>
  <si>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</si>
  <si>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</si>
  <si>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</si>
  <si>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</si>
  <si>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</si>
  <si>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</si>
  <si>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</si>
  <si>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</si>
  <si>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</si>
  <si>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</si>
  <si>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</si>
  <si>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</si>
  <si>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</si>
  <si>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</si>
  <si>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</si>
  <si>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</si>
  <si>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</si>
  <si>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</si>
  <si>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</si>
  <si>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</si>
  <si>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</si>
  <si>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</si>
  <si>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</si>
  <si>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</si>
  <si>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</si>
  <si>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</si>
  <si>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</si>
  <si>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</si>
  <si>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</si>
  <si>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</si>
  <si>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</si>
  <si>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</si>
  <si>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</si>
  <si>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</si>
  <si>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</si>
  <si>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</si>
  <si>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</si>
  <si>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</si>
  <si>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</si>
  <si>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</si>
  <si>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</si>
  <si>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</si>
  <si>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</si>
  <si>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</si>
  <si>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</si>
  <si>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</si>
  <si>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</si>
  <si>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</si>
  <si>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</si>
  <si>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</si>
  <si>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</si>
  <si>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</si>
  <si>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</si>
  <si>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</si>
  <si>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</si>
  <si>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</si>
  <si>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</si>
  <si>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</si>
  <si>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</si>
  <si>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</si>
  <si>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</si>
  <si>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</si>
  <si>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</si>
  <si>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</si>
  <si>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</si>
  <si>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</si>
  <si>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</si>
  <si>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</si>
  <si>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</si>
  <si>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</si>
  <si>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</si>
  <si>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</si>
  <si>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</si>
  <si>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</si>
  <si>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</si>
  <si>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</si>
  <si>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</si>
  <si>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</si>
  <si>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</si>
  <si>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</si>
  <si>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</si>
  <si>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</si>
  <si>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</si>
  <si>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</si>
  <si>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</si>
  <si>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</si>
  <si>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</si>
  <si>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</si>
  <si>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</si>
  <si>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</si>
  <si>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</si>
  <si>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</si>
  <si>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</si>
  <si>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</si>
  <si>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</si>
  <si>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</si>
  <si>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</si>
  <si>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</si>
  <si>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</si>
  <si>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</si>
  <si>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</si>
  <si>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</si>
  <si>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</si>
  <si>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</si>
  <si>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</si>
  <si>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</si>
  <si>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</si>
  <si>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</si>
  <si>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</si>
  <si>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</si>
  <si>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</si>
  <si>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</si>
  <si>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</si>
  <si>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</si>
  <si>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</si>
  <si>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</si>
  <si>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</si>
  <si>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</si>
  <si>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</si>
  <si>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</si>
  <si>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</si>
  <si>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</si>
  <si>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</si>
  <si>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</si>
  <si>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</si>
  <si>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</si>
  <si>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</si>
  <si>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</si>
  <si>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</si>
  <si>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</si>
  <si>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</si>
  <si>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</si>
  <si>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</si>
  <si>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</si>
  <si>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</si>
  <si>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</si>
  <si>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</si>
  <si>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</si>
  <si>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</si>
  <si>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</si>
  <si>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</si>
  <si>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</si>
  <si>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</si>
  <si>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</si>
  <si>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</si>
  <si>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</si>
  <si>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</si>
  <si>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</si>
  <si>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</si>
  <si>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</si>
  <si>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</si>
  <si>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</si>
  <si>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</si>
  <si>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</si>
  <si>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</si>
  <si>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</si>
  <si>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</si>
  <si>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</si>
  <si>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</si>
  <si>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</si>
  <si>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</si>
  <si>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</si>
  <si>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</si>
  <si>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</si>
  <si>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</si>
  <si>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</si>
  <si>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</si>
  <si>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</si>
  <si>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</si>
  <si>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</si>
  <si>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</si>
  <si>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</si>
  <si>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</si>
  <si>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</si>
  <si>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</si>
  <si>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</si>
  <si>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</si>
  <si>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</si>
  <si>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</si>
  <si>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</si>
  <si>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</si>
  <si>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</si>
  <si>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</si>
  <si>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</si>
  <si>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</si>
  <si>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</si>
  <si>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</si>
  <si>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</si>
  <si>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</si>
  <si>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</si>
  <si>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</si>
  <si>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</si>
  <si>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</si>
  <si>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</si>
  <si>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</si>
  <si>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</si>
  <si>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</si>
  <si>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</si>
  <si>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</si>
  <si>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</si>
  <si>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</si>
  <si>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</si>
  <si>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</si>
  <si>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</si>
  <si>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</si>
  <si>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</si>
  <si>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</si>
  <si>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</si>
  <si>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</si>
  <si>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</si>
  <si>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</si>
  <si>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</si>
  <si>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</si>
  <si>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</si>
  <si>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</si>
  <si>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</si>
  <si>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</si>
  <si>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</si>
  <si>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</si>
  <si>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</si>
  <si>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</si>
  <si>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</si>
  <si>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</si>
  <si>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</si>
  <si>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</si>
  <si>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</si>
  <si>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</si>
  <si>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</si>
  <si>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</si>
  <si>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</si>
  <si>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</si>
  <si>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</si>
  <si>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</si>
  <si>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</si>
  <si>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</si>
  <si>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</si>
  <si>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</si>
  <si>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</si>
  <si>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</si>
  <si>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</si>
  <si>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</si>
  <si>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</si>
  <si>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</si>
  <si>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</si>
  <si>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</si>
  <si>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</si>
  <si>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</si>
  <si>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</si>
  <si>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</si>
  <si>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</si>
  <si>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</si>
  <si>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</si>
  <si>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</si>
  <si>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</si>
  <si>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</si>
  <si>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</si>
  <si>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</si>
  <si>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</si>
  <si>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</si>
  <si>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</si>
  <si>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</si>
  <si>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</si>
  <si>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</si>
  <si>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</si>
  <si>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</si>
  <si>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</si>
  <si>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</si>
  <si>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</si>
  <si>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</si>
  <si>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</si>
  <si>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</si>
  <si>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</si>
  <si>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</si>
  <si>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</si>
  <si>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</si>
  <si>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</si>
  <si>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</si>
  <si>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</si>
  <si>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</si>
  <si>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</si>
  <si>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</si>
  <si>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</si>
  <si>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</si>
  <si>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</si>
  <si>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</si>
  <si>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</si>
  <si>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</si>
  <si>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</si>
  <si>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</si>
  <si>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</si>
  <si>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</si>
  <si>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</si>
  <si>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</si>
  <si>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</si>
  <si>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</si>
  <si>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</si>
  <si>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</si>
  <si>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</si>
  <si>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</si>
  <si>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</si>
  <si>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</si>
  <si>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</si>
  <si>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</si>
  <si>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</si>
  <si>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</si>
  <si>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</si>
  <si>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</si>
  <si>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</si>
  <si>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</si>
  <si>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</si>
  <si>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</si>
  <si>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</si>
  <si>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</si>
  <si>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</si>
  <si>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</si>
  <si>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</si>
  <si>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</si>
  <si>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</si>
  <si>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</si>
  <si>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</si>
  <si>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</si>
  <si>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</si>
  <si>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</si>
  <si>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</si>
  <si>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</si>
  <si>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</si>
  <si>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</si>
  <si>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</si>
  <si>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</si>
  <si>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</si>
  <si>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</si>
  <si>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</si>
  <si>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</si>
  <si>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</si>
  <si>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</si>
  <si>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</si>
  <si>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</si>
  <si>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</si>
  <si>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</si>
  <si>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</si>
  <si>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</si>
  <si>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</si>
  <si>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</si>
  <si>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</si>
  <si>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</si>
  <si>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</si>
  <si>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</si>
  <si>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</si>
  <si>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</si>
  <si>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</si>
  <si>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</si>
  <si>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</si>
  <si>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</si>
  <si>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</si>
  <si>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</si>
  <si>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</si>
  <si>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</si>
  <si>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</si>
  <si>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</si>
  <si>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</si>
  <si>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</si>
  <si>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</si>
  <si>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</si>
  <si>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</si>
  <si>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</si>
  <si>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</si>
  <si>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</si>
  <si>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</si>
  <si>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</si>
  <si>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</si>
  <si>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</si>
  <si>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</si>
  <si>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</si>
  <si>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</si>
  <si>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</si>
  <si>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</si>
  <si>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</si>
  <si>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</si>
  <si>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</si>
  <si>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</si>
  <si>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</si>
  <si>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</si>
  <si>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</si>
  <si>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</si>
  <si>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</si>
  <si>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</si>
  <si>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</si>
  <si>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</si>
  <si>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</si>
  <si>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</si>
  <si>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</si>
  <si>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</si>
  <si>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</si>
  <si>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</si>
  <si>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</si>
  <si>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</si>
  <si>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</si>
  <si>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</si>
  <si>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</si>
  <si>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</si>
  <si>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</si>
  <si>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</si>
  <si>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</si>
  <si>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</si>
  <si>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</si>
  <si>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</si>
  <si>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</si>
  <si>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</si>
  <si>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</si>
  <si>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</si>
  <si>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</si>
  <si>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</si>
  <si>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</si>
  <si>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</si>
  <si>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</si>
  <si>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</si>
  <si>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</si>
  <si>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</si>
  <si>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</si>
  <si>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</si>
  <si>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</si>
  <si>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</si>
  <si>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</si>
  <si>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</si>
  <si>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</si>
  <si>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</si>
  <si>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</si>
  <si>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</si>
  <si>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</si>
  <si>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</si>
  <si>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</si>
  <si>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</si>
  <si>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</si>
  <si>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</si>
  <si>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</si>
  <si>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</si>
  <si>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</si>
  <si>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</si>
  <si>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</si>
  <si>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</si>
  <si>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</si>
  <si>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</si>
  <si>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</si>
  <si>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</si>
  <si>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</si>
  <si>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</si>
  <si>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</si>
  <si>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</si>
  <si>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</si>
  <si>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</si>
  <si>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</si>
  <si>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</si>
  <si>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</si>
  <si>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</si>
  <si>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</si>
  <si>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</si>
  <si>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</si>
  <si>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</si>
  <si>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</si>
  <si>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</si>
  <si>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</si>
  <si>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</si>
  <si>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</si>
  <si>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</si>
  <si>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</si>
  <si>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</si>
  <si>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</si>
  <si>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</si>
  <si>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</si>
  <si>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</si>
  <si>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</si>
  <si>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</si>
  <si>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</si>
  <si>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</si>
  <si>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</si>
  <si>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</si>
  <si>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</si>
  <si>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</si>
  <si>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</si>
  <si>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</si>
  <si>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</si>
  <si>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</si>
  <si>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</si>
  <si>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</si>
  <si>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</si>
  <si>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</si>
  <si>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</si>
  <si>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</si>
  <si>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</si>
  <si>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</si>
  <si>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</si>
  <si>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</si>
  <si>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</si>
  <si>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</si>
  <si>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</si>
  <si>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</si>
  <si>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</si>
  <si>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</si>
  <si>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</si>
  <si>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</si>
  <si>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</si>
  <si>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</si>
  <si>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</si>
  <si>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</si>
  <si>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</si>
  <si>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</si>
  <si>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</si>
  <si>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</si>
  <si>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</si>
  <si>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</si>
  <si>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</si>
  <si>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</si>
  <si>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</si>
  <si>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</si>
  <si>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</si>
  <si>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</si>
  <si>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</si>
  <si>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</si>
  <si>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</si>
  <si>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</si>
  <si>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</si>
  <si>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</si>
  <si>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</si>
  <si>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</si>
  <si>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</si>
  <si>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</si>
  <si>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</si>
  <si>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</si>
  <si>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</si>
  <si>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</si>
  <si>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</si>
  <si>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</si>
  <si>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</si>
  <si>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</si>
  <si>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</si>
  <si>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</si>
  <si>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</si>
  <si>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</si>
  <si>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</si>
  <si>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</si>
  <si>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</si>
  <si>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</si>
  <si>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</si>
  <si>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</si>
  <si>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</si>
  <si>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</si>
  <si>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</si>
  <si>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</si>
  <si>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</si>
  <si>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</si>
  <si>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</si>
  <si>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</si>
  <si>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</si>
  <si>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</si>
  <si>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</si>
  <si>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</si>
  <si>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</si>
  <si>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</si>
  <si>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</si>
  <si>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</si>
  <si>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</si>
  <si>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</si>
  <si>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</si>
  <si>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</si>
  <si>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</si>
  <si>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</si>
  <si>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</si>
  <si>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</si>
  <si>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</si>
  <si>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</si>
  <si>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</si>
  <si>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</si>
  <si>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</si>
  <si>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</si>
  <si>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</si>
  <si>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</si>
  <si>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</si>
  <si>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</si>
  <si>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</si>
  <si>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</si>
  <si>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</si>
  <si>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</si>
  <si>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</si>
  <si>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</si>
  <si>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</si>
  <si>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</si>
  <si>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</si>
  <si>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</si>
  <si>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</si>
  <si>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</si>
  <si>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</si>
  <si>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</si>
  <si>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</si>
  <si>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</si>
  <si>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</si>
  <si>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</si>
  <si>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</si>
  <si>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</si>
  <si>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</si>
  <si>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</si>
  <si>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</si>
  <si>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</si>
  <si>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</si>
  <si>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</si>
  <si>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</si>
  <si>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</si>
  <si>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</si>
  <si>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</si>
  <si>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</si>
  <si>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</si>
  <si>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</si>
  <si>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</si>
  <si>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</si>
  <si>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</si>
  <si>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</si>
  <si>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</si>
  <si>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</si>
  <si>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</si>
  <si>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</si>
  <si>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</si>
  <si>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</si>
  <si>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</si>
  <si>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</si>
  <si>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</si>
  <si>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</si>
  <si>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</si>
  <si>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</si>
  <si>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</si>
  <si>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</si>
  <si>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</si>
  <si>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</si>
  <si>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</si>
  <si>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</si>
  <si>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</si>
  <si>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</si>
  <si>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</si>
  <si>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</si>
  <si>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</si>
  <si>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</si>
  <si>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</si>
  <si>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</si>
  <si>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</si>
  <si>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</si>
  <si>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</si>
  <si>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</si>
  <si>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</si>
  <si>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</si>
  <si>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</si>
  <si>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</si>
  <si>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</si>
  <si>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</si>
  <si>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</si>
  <si>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</si>
  <si>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</si>
  <si>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</si>
  <si>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</si>
  <si>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</si>
  <si>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</si>
  <si>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</si>
  <si>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</si>
  <si>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</si>
  <si>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</si>
  <si>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</si>
  <si>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</si>
  <si>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</si>
  <si>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</si>
  <si>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</si>
  <si>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</si>
  <si>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</si>
  <si>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</si>
  <si>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</si>
  <si>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</si>
  <si>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</si>
  <si>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</si>
  <si>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</si>
  <si>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</si>
  <si>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</si>
  <si>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</si>
  <si>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</si>
  <si>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</si>
  <si>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</si>
  <si>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</si>
  <si>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</si>
  <si>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</si>
  <si>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</si>
  <si>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</si>
  <si>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</si>
  <si>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</si>
  <si>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</si>
  <si>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</si>
  <si>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</si>
  <si>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</si>
  <si>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</si>
  <si>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</si>
  <si>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</si>
  <si>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</si>
  <si>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</si>
  <si>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</si>
  <si>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</si>
  <si>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</si>
  <si>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</si>
  <si>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</si>
  <si>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</si>
  <si>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</si>
  <si>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</si>
  <si>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</si>
  <si>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</si>
  <si>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</si>
  <si>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</si>
  <si>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</si>
  <si>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</si>
  <si>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</si>
  <si>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</si>
  <si>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</si>
  <si>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</si>
  <si>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</si>
  <si>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</si>
  <si>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</si>
  <si>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</si>
  <si>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</si>
  <si>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</si>
  <si>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</si>
  <si>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</si>
  <si>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</si>
  <si>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</si>
  <si>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</si>
  <si>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</si>
  <si>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</si>
  <si>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</si>
  <si>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</si>
  <si>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</si>
  <si>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</si>
  <si>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</si>
  <si>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</si>
  <si>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</si>
  <si>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</si>
  <si>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CJ6-T</t>
  </si>
  <si>
    <t>KONDUKTOR</t>
  </si>
  <si>
    <t>MJ6-T</t>
  </si>
  <si>
    <t>ATB</t>
  </si>
  <si>
    <t>BUDIMAN TRI CAHYONO</t>
  </si>
  <si>
    <t>DN PETALAN DS TAMBAKROTO</t>
  </si>
  <si>
    <t>R3T</t>
  </si>
  <si>
    <t>KOORDINAT : -6.953455, 110.543819</t>
  </si>
  <si>
    <t>CJ7-T</t>
  </si>
  <si>
    <t>CJ5</t>
  </si>
  <si>
    <t>KONSTRUKSI JARINGAN TR</t>
  </si>
  <si>
    <t>KONSTRUKSI JARINGAN TM</t>
  </si>
  <si>
    <t>CC1-1</t>
  </si>
  <si>
    <t>Daya 11.000 VA</t>
  </si>
  <si>
    <t>SYG05-77</t>
  </si>
  <si>
    <t>SYG05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</si>
</sst>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  <numFmt numFmtId="208" formatCode="_(* #,##0.0_);_(* \(#,##0.0\);_(* &quot;-&quot;??_);_(@_)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3417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7" fillId="0" borderId="0"/>
    <xf numFmtId="165" fontId="23" fillId="0" borderId="0" applyFont="0" applyFill="0" applyBorder="0" applyAlignment="0" applyProtection="0"/>
    <xf numFmtId="0" fontId="7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" fillId="0" borderId="0"/>
    <xf numFmtId="0" fontId="17" fillId="0" borderId="0"/>
    <xf numFmtId="0" fontId="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166" fontId="23" fillId="0" borderId="0" applyFont="0" applyFill="0" applyBorder="0" applyAlignment="0" applyProtection="0"/>
    <xf numFmtId="0" fontId="28" fillId="21" borderId="102" applyNumberFormat="0" applyAlignment="0" applyProtection="0"/>
    <xf numFmtId="0" fontId="1" fillId="0" borderId="0"/>
    <xf numFmtId="0" fontId="1" fillId="0" borderId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0" fontId="28" fillId="21" borderId="102" applyNumberFormat="0" applyAlignment="0" applyProtection="0"/>
    <xf numFmtId="166" fontId="1" fillId="0" borderId="0" applyFont="0" applyFill="0" applyBorder="0" applyAlignment="0" applyProtection="0"/>
    <xf numFmtId="0" fontId="80" fillId="0" borderId="103"/>
    <xf numFmtId="0" fontId="80" fillId="0" borderId="103"/>
    <xf numFmtId="0" fontId="1" fillId="0" borderId="0"/>
    <xf numFmtId="0" fontId="1" fillId="0" borderId="0"/>
  </cellStyleXfs>
  <cellXfs count="713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8" fontId="143" fillId="40" borderId="87" xfId="2672" applyNumberFormat="1" applyFont="1" applyFill="1" applyBorder="1" applyAlignment="1" applyProtection="1">
      <alignment horizontal="right" vertical="center"/>
      <protection locked="0"/>
    </xf>
    <xf numFmtId="168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165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6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center" vertical="center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0" fontId="130" fillId="48" borderId="21" xfId="1652" applyFont="1" applyFill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78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52" fillId="48" borderId="21" xfId="1614" applyFont="1" applyFill="1" applyBorder="1" applyAlignment="1">
      <alignment horizontal="center" vertical="center" wrapText="1"/>
    </xf>
    <xf numFmtId="208" fontId="143" fillId="40" borderId="87" xfId="2672" applyNumberFormat="1" applyFont="1" applyFill="1" applyBorder="1" applyAlignment="1" applyProtection="1">
      <alignment horizontal="right" vertical="center"/>
      <protection locked="0"/>
    </xf>
    <xf numFmtId="0" fontId="1" fillId="0" borderId="21" xfId="1652" applyFont="1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83" fontId="137" fillId="0" borderId="3" xfId="2673" applyNumberFormat="1" applyFont="1" applyBorder="1" applyAlignment="1">
      <alignment horizontal="center" vertical="center" wrapText="1"/>
    </xf>
    <xf numFmtId="183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7" fontId="122" fillId="0" borderId="73" xfId="1450" applyNumberFormat="1" applyFont="1" applyBorder="1" applyAlignment="1">
      <alignment horizontal="left" vertical="center"/>
    </xf>
    <xf numFmtId="207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3417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0 2" xfId="3392" xr:uid="{48EE8D97-68EF-44B0-AB22-623F636BD666}"/>
    <cellStyle name="Check Cell 11" xfId="504" xr:uid="{00000000-0005-0000-0000-0000F7010000}"/>
    <cellStyle name="Check Cell 11 2" xfId="3393" xr:uid="{1AC0344F-A8EE-4542-BA76-DADF85E87C42}"/>
    <cellStyle name="Check Cell 12" xfId="505" xr:uid="{00000000-0005-0000-0000-0000F8010000}"/>
    <cellStyle name="Check Cell 12 2" xfId="3394" xr:uid="{9EDFD4FD-CFA8-4498-BCFF-06EE40E6C0D4}"/>
    <cellStyle name="Check Cell 13" xfId="506" xr:uid="{00000000-0005-0000-0000-0000F9010000}"/>
    <cellStyle name="Check Cell 13 2" xfId="3395" xr:uid="{7506F7C8-FB38-4730-9E26-BCA4AE3A7E03}"/>
    <cellStyle name="Check Cell 14" xfId="507" xr:uid="{00000000-0005-0000-0000-0000FA010000}"/>
    <cellStyle name="Check Cell 14 2" xfId="3396" xr:uid="{3D32555E-D8B6-47FA-B77C-1F041A86D949}"/>
    <cellStyle name="Check Cell 15" xfId="508" xr:uid="{00000000-0005-0000-0000-0000FB010000}"/>
    <cellStyle name="Check Cell 15 2" xfId="3397" xr:uid="{DD0EC692-B2F7-479F-8DBE-571C8B1AA57C}"/>
    <cellStyle name="Check Cell 16" xfId="509" xr:uid="{00000000-0005-0000-0000-0000FC010000}"/>
    <cellStyle name="Check Cell 16 2" xfId="3398" xr:uid="{DF951DBB-FB91-4F6B-B4B0-7C34A0B6F0C3}"/>
    <cellStyle name="Check Cell 17" xfId="3389" xr:uid="{CAD16F9C-7719-4886-8C86-C24E31849665}"/>
    <cellStyle name="Check Cell 2" xfId="510" xr:uid="{00000000-0005-0000-0000-0000FD010000}"/>
    <cellStyle name="Check Cell 2 2" xfId="511" xr:uid="{00000000-0005-0000-0000-0000FE010000}"/>
    <cellStyle name="Check Cell 2 2 2" xfId="3400" xr:uid="{A0F539B4-2A92-4B2A-960A-E54FBBED7A1B}"/>
    <cellStyle name="Check Cell 2 3" xfId="512" xr:uid="{00000000-0005-0000-0000-0000FF010000}"/>
    <cellStyle name="Check Cell 2 3 2" xfId="3401" xr:uid="{FA5924F0-735C-43D3-A54C-3492885028F5}"/>
    <cellStyle name="Check Cell 2 4" xfId="3399" xr:uid="{AC527170-B5C1-4588-A8AD-2BB0BEFB106C}"/>
    <cellStyle name="Check Cell 3" xfId="513" xr:uid="{00000000-0005-0000-0000-000000020000}"/>
    <cellStyle name="Check Cell 3 2" xfId="514" xr:uid="{00000000-0005-0000-0000-000001020000}"/>
    <cellStyle name="Check Cell 3 2 2" xfId="3403" xr:uid="{BF0C5EEB-E896-4453-9CC3-41BFC06F73D1}"/>
    <cellStyle name="Check Cell 3 3" xfId="3402" xr:uid="{90995B97-AF2D-4FF6-BC52-FF5D209D2442}"/>
    <cellStyle name="Check Cell 4" xfId="515" xr:uid="{00000000-0005-0000-0000-000002020000}"/>
    <cellStyle name="Check Cell 4 2" xfId="516" xr:uid="{00000000-0005-0000-0000-000003020000}"/>
    <cellStyle name="Check Cell 4 2 2" xfId="3405" xr:uid="{D2331B11-8633-4082-B82B-0A4C8C64B02F}"/>
    <cellStyle name="Check Cell 4 3" xfId="3404" xr:uid="{6F458600-178B-46F2-9090-9051D78D319C}"/>
    <cellStyle name="Check Cell 5" xfId="517" xr:uid="{00000000-0005-0000-0000-000004020000}"/>
    <cellStyle name="Check Cell 5 2" xfId="518" xr:uid="{00000000-0005-0000-0000-000005020000}"/>
    <cellStyle name="Check Cell 5 2 2" xfId="3407" xr:uid="{DB1CDF4E-EA63-4399-8F04-571A3F95C140}"/>
    <cellStyle name="Check Cell 5 3" xfId="3406" xr:uid="{35307328-125F-4C39-8C4A-AF7662E656FF}"/>
    <cellStyle name="Check Cell 6" xfId="519" xr:uid="{00000000-0005-0000-0000-000006020000}"/>
    <cellStyle name="Check Cell 6 2" xfId="3408" xr:uid="{2A5902D7-CE13-4A90-B071-B16DC66B6CED}"/>
    <cellStyle name="Check Cell 7" xfId="520" xr:uid="{00000000-0005-0000-0000-000007020000}"/>
    <cellStyle name="Check Cell 7 2" xfId="3409" xr:uid="{D39D3302-5209-42B5-B4DF-93CFEA382F84}"/>
    <cellStyle name="Check Cell 8" xfId="521" xr:uid="{00000000-0005-0000-0000-000008020000}"/>
    <cellStyle name="Check Cell 8 2" xfId="3410" xr:uid="{03C46D1B-F6D3-404F-8E0E-DEB78B5A25C9}"/>
    <cellStyle name="Check Cell 9" xfId="522" xr:uid="{00000000-0005-0000-0000-000009020000}"/>
    <cellStyle name="Check Cell 9 2" xfId="3411" xr:uid="{24171650-A343-4948-A02A-A95ACB0409B1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3 5" xfId="3412" xr:uid="{CA37C16C-A278-4EFE-9A02-6525BF5D6404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3" xfId="3414" xr:uid="{9789841A-C2EC-49F1-8E1E-2F314CD3C01F}"/>
    <cellStyle name="Format a column of totals 3" xfId="1206" xr:uid="{00000000-0005-0000-0000-0000B6040000}"/>
    <cellStyle name="Format a column of totals 4" xfId="3413" xr:uid="{7FC59038-298D-4462-A097-DDE89F6F005A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 5" xfId="3391" xr:uid="{14E5387A-22E8-40D7-ACC3-FD08036602D8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 6" xfId="3390" xr:uid="{CF343702-B3DA-488F-92BF-57B3DE12C363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 5" xfId="3415" xr:uid="{DCB1D12E-6170-4B80-9AC7-60047B91AF0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 9" xfId="3416" xr:uid="{82D6B2C4-2CFA-49D7-8D6C-6B9DC4A07456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0.66388352753576696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9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9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98</xdr:row>
      <xdr:rowOff>81642</xdr:rowOff>
    </xdr:from>
    <xdr:to>
      <xdr:col>12</xdr:col>
      <xdr:colOff>41108</xdr:colOff>
      <xdr:row>101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333332</xdr:colOff>
      <xdr:row>37</xdr:row>
      <xdr:rowOff>136831</xdr:rowOff>
    </xdr:from>
    <xdr:to>
      <xdr:col>8</xdr:col>
      <xdr:colOff>299357</xdr:colOff>
      <xdr:row>53</xdr:row>
      <xdr:rowOff>156364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C3DA21-C7FD-47A4-89F6-59F3DA9C43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531"/>
        <a:stretch/>
      </xdr:blipFill>
      <xdr:spPr>
        <a:xfrm>
          <a:off x="1049975" y="5860902"/>
          <a:ext cx="1961739" cy="2595819"/>
        </a:xfrm>
        <a:prstGeom prst="rect">
          <a:avLst/>
        </a:prstGeom>
      </xdr:spPr>
    </xdr:pic>
    <xdr:clientData/>
  </xdr:twoCellAnchor>
  <xdr:twoCellAnchor>
    <xdr:from>
      <xdr:col>5</xdr:col>
      <xdr:colOff>344714</xdr:colOff>
      <xdr:row>10</xdr:row>
      <xdr:rowOff>45357</xdr:rowOff>
    </xdr:from>
    <xdr:to>
      <xdr:col>13</xdr:col>
      <xdr:colOff>397808</xdr:colOff>
      <xdr:row>14</xdr:row>
      <xdr:rowOff>134336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1859643" y="1605643"/>
          <a:ext cx="3246236" cy="71490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12</xdr:col>
      <xdr:colOff>362999</xdr:colOff>
      <xdr:row>9</xdr:row>
      <xdr:rowOff>143719</xdr:rowOff>
    </xdr:from>
    <xdr:to>
      <xdr:col>13</xdr:col>
      <xdr:colOff>66899</xdr:colOff>
      <xdr:row>10</xdr:row>
      <xdr:rowOff>93771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4477799" y="1534369"/>
          <a:ext cx="84900" cy="1024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362013</xdr:colOff>
      <xdr:row>12</xdr:row>
      <xdr:rowOff>119686</xdr:rowOff>
    </xdr:from>
    <xdr:to>
      <xdr:col>9</xdr:col>
      <xdr:colOff>322655</xdr:colOff>
      <xdr:row>30</xdr:row>
      <xdr:rowOff>56866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21405381">
          <a:off x="2686113" y="1961186"/>
          <a:ext cx="760742" cy="2674030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BUDIMAN</a:t>
          </a:r>
          <a:r>
            <a:rPr lang="en-ID" sz="800" baseline="0">
              <a:solidFill>
                <a:srgbClr val="FF0000"/>
              </a:solidFill>
            </a:rPr>
            <a:t> TRI CAHYO</a:t>
          </a:r>
          <a:endParaRPr lang="en-ID" sz="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211682</xdr:colOff>
      <xdr:row>9</xdr:row>
      <xdr:rowOff>46683</xdr:rowOff>
    </xdr:from>
    <xdr:to>
      <xdr:col>16</xdr:col>
      <xdr:colOff>26705</xdr:colOff>
      <xdr:row>13</xdr:row>
      <xdr:rowOff>87376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5318896" y="1452754"/>
          <a:ext cx="613309" cy="66662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SYG05-71A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CC1-1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1CM2-12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50186</xdr:colOff>
      <xdr:row>11</xdr:row>
      <xdr:rowOff>62428</xdr:rowOff>
    </xdr:from>
    <xdr:to>
      <xdr:col>10</xdr:col>
      <xdr:colOff>138552</xdr:colOff>
      <xdr:row>12</xdr:row>
      <xdr:rowOff>7156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402986" y="1757878"/>
          <a:ext cx="88366" cy="9712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393446</xdr:colOff>
      <xdr:row>13</xdr:row>
      <xdr:rowOff>97671</xdr:rowOff>
    </xdr:from>
    <xdr:to>
      <xdr:col>13</xdr:col>
      <xdr:colOff>201727</xdr:colOff>
      <xdr:row>15</xdr:row>
      <xdr:rowOff>126179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 rot="4232260">
          <a:off x="4655308" y="2160409"/>
          <a:ext cx="333308" cy="20833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10</xdr:col>
      <xdr:colOff>138552</xdr:colOff>
      <xdr:row>11</xdr:row>
      <xdr:rowOff>111899</xdr:rowOff>
    </xdr:from>
    <xdr:to>
      <xdr:col>13</xdr:col>
      <xdr:colOff>14805</xdr:colOff>
      <xdr:row>13</xdr:row>
      <xdr:rowOff>51339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8" idx="2"/>
          <a:endCxn id="191" idx="6"/>
        </xdr:cNvCxnSpPr>
      </xdr:nvCxnSpPr>
      <xdr:spPr>
        <a:xfrm flipH="1" flipV="1">
          <a:off x="3649195" y="1826399"/>
          <a:ext cx="1073681" cy="256940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313390</xdr:colOff>
      <xdr:row>13</xdr:row>
      <xdr:rowOff>14568</xdr:rowOff>
    </xdr:from>
    <xdr:to>
      <xdr:col>8</xdr:col>
      <xdr:colOff>20757</xdr:colOff>
      <xdr:row>13</xdr:row>
      <xdr:rowOff>111696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8C9E038-C902-4ACC-9D63-A00DEE40E48D}"/>
            </a:ext>
          </a:extLst>
        </xdr:cNvPr>
        <xdr:cNvGrpSpPr/>
      </xdr:nvGrpSpPr>
      <xdr:grpSpPr>
        <a:xfrm>
          <a:off x="2523190" y="2024343"/>
          <a:ext cx="88367" cy="9712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6ECA31D9-50EE-938B-0191-36859A8179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93F4F1D-10EB-4E74-D042-8C54B362DCBB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114DFEE-5D4E-90C3-52F8-376BEDCFF5B9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14805</xdr:colOff>
      <xdr:row>13</xdr:row>
      <xdr:rowOff>4269</xdr:rowOff>
    </xdr:from>
    <xdr:to>
      <xdr:col>13</xdr:col>
      <xdr:colOff>125582</xdr:colOff>
      <xdr:row>13</xdr:row>
      <xdr:rowOff>98408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CBB423E5-22DE-415A-9736-7AAB9C8B68D6}"/>
            </a:ext>
          </a:extLst>
        </xdr:cNvPr>
        <xdr:cNvGrpSpPr/>
      </xdr:nvGrpSpPr>
      <xdr:grpSpPr>
        <a:xfrm>
          <a:off x="4510605" y="2014044"/>
          <a:ext cx="110777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D6735759-6C3D-C4BF-56D8-17A6FADB572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6CAD3D8F-170A-EA70-D253-2344C48F9FFD}"/>
              </a:ext>
            </a:extLst>
          </xdr:cNvPr>
          <xdr:cNvCxnSpPr>
            <a:stCxn id="38" idx="1"/>
            <a:endCxn id="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10287F1D-655E-8215-925A-5299104B334B}"/>
              </a:ext>
            </a:extLst>
          </xdr:cNvPr>
          <xdr:cNvCxnSpPr>
            <a:stCxn id="38" idx="3"/>
            <a:endCxn id="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319985</xdr:colOff>
      <xdr:row>6</xdr:row>
      <xdr:rowOff>133630</xdr:rowOff>
    </xdr:from>
    <xdr:to>
      <xdr:col>13</xdr:col>
      <xdr:colOff>128266</xdr:colOff>
      <xdr:row>9</xdr:row>
      <xdr:rowOff>9738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7CD2ACF5-0B52-4509-BB6A-574DFB45AF0F}"/>
            </a:ext>
          </a:extLst>
        </xdr:cNvPr>
        <xdr:cNvSpPr/>
      </xdr:nvSpPr>
      <xdr:spPr>
        <a:xfrm rot="5400000">
          <a:off x="4581847" y="1123218"/>
          <a:ext cx="333308" cy="20833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14</xdr:col>
      <xdr:colOff>175315</xdr:colOff>
      <xdr:row>27</xdr:row>
      <xdr:rowOff>89729</xdr:rowOff>
    </xdr:from>
    <xdr:to>
      <xdr:col>14</xdr:col>
      <xdr:colOff>364596</xdr:colOff>
      <xdr:row>29</xdr:row>
      <xdr:rowOff>113819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27086B3C-17D8-4839-87A8-3E04FCE6E5DF}"/>
            </a:ext>
          </a:extLst>
        </xdr:cNvPr>
        <xdr:cNvSpPr/>
      </xdr:nvSpPr>
      <xdr:spPr>
        <a:xfrm rot="5123478">
          <a:off x="5229961" y="4293383"/>
          <a:ext cx="328890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13</xdr:col>
      <xdr:colOff>321918</xdr:colOff>
      <xdr:row>40</xdr:row>
      <xdr:rowOff>138596</xdr:rowOff>
    </xdr:from>
    <xdr:to>
      <xdr:col>14</xdr:col>
      <xdr:colOff>130199</xdr:colOff>
      <xdr:row>43</xdr:row>
      <xdr:rowOff>4489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F33BEAF8-0824-42E0-821D-39FD998C894C}"/>
            </a:ext>
          </a:extLst>
        </xdr:cNvPr>
        <xdr:cNvSpPr/>
      </xdr:nvSpPr>
      <xdr:spPr>
        <a:xfrm rot="5123478">
          <a:off x="4988937" y="6311027"/>
          <a:ext cx="323093" cy="20833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13</xdr:col>
      <xdr:colOff>118811</xdr:colOff>
      <xdr:row>46</xdr:row>
      <xdr:rowOff>120282</xdr:rowOff>
    </xdr:from>
    <xdr:to>
      <xdr:col>13</xdr:col>
      <xdr:colOff>311405</xdr:colOff>
      <xdr:row>49</xdr:row>
      <xdr:rowOff>2464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D7716D3C-6D56-4C08-A9B9-5B46B7E436FA}"/>
            </a:ext>
          </a:extLst>
        </xdr:cNvPr>
        <xdr:cNvSpPr/>
      </xdr:nvSpPr>
      <xdr:spPr>
        <a:xfrm rot="5732473">
          <a:off x="4766642" y="7226301"/>
          <a:ext cx="345732" cy="192594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7</xdr:col>
      <xdr:colOff>367099</xdr:colOff>
      <xdr:row>11</xdr:row>
      <xdr:rowOff>110992</xdr:rowOff>
    </xdr:from>
    <xdr:to>
      <xdr:col>10</xdr:col>
      <xdr:colOff>50186</xdr:colOff>
      <xdr:row>13</xdr:row>
      <xdr:rowOff>14568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C798038-034C-4AF1-929F-F9E194E117EF}"/>
            </a:ext>
          </a:extLst>
        </xdr:cNvPr>
        <xdr:cNvCxnSpPr>
          <a:stCxn id="12" idx="0"/>
          <a:endCxn id="191" idx="2"/>
        </xdr:cNvCxnSpPr>
      </xdr:nvCxnSpPr>
      <xdr:spPr>
        <a:xfrm flipV="1">
          <a:off x="2691199" y="1800092"/>
          <a:ext cx="883237" cy="214726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56055</xdr:colOff>
      <xdr:row>11</xdr:row>
      <xdr:rowOff>137729</xdr:rowOff>
    </xdr:from>
    <xdr:to>
      <xdr:col>12</xdr:col>
      <xdr:colOff>10073</xdr:colOff>
      <xdr:row>13</xdr:row>
      <xdr:rowOff>22487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B3EB0579-6E19-4F4E-9154-F189E9E15E40}"/>
            </a:ext>
          </a:extLst>
        </xdr:cNvPr>
        <xdr:cNvSpPr/>
      </xdr:nvSpPr>
      <xdr:spPr>
        <a:xfrm rot="1416060">
          <a:off x="3980355" y="1826829"/>
          <a:ext cx="354068" cy="195908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13</xdr:col>
      <xdr:colOff>295527</xdr:colOff>
      <xdr:row>20</xdr:row>
      <xdr:rowOff>61608</xdr:rowOff>
    </xdr:from>
    <xdr:to>
      <xdr:col>14</xdr:col>
      <xdr:colOff>107808</xdr:colOff>
      <xdr:row>22</xdr:row>
      <xdr:rowOff>94453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8DACC64-E065-4EB2-AE02-3DC47131DD0A}"/>
            </a:ext>
          </a:extLst>
        </xdr:cNvPr>
        <xdr:cNvSpPr/>
      </xdr:nvSpPr>
      <xdr:spPr>
        <a:xfrm rot="4280691">
          <a:off x="4957270" y="3191315"/>
          <a:ext cx="337645" cy="21233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14</xdr:col>
      <xdr:colOff>86194</xdr:colOff>
      <xdr:row>34</xdr:row>
      <xdr:rowOff>147659</xdr:rowOff>
    </xdr:from>
    <xdr:to>
      <xdr:col>14</xdr:col>
      <xdr:colOff>298525</xdr:colOff>
      <xdr:row>37</xdr:row>
      <xdr:rowOff>15624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29B6E9F-D443-49BC-AC47-A007209C7020}"/>
            </a:ext>
          </a:extLst>
        </xdr:cNvPr>
        <xdr:cNvSpPr/>
      </xdr:nvSpPr>
      <xdr:spPr>
        <a:xfrm rot="5669287">
          <a:off x="5151052" y="5395201"/>
          <a:ext cx="331515" cy="21233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12</xdr:col>
      <xdr:colOff>362999</xdr:colOff>
      <xdr:row>6</xdr:row>
      <xdr:rowOff>31750</xdr:rowOff>
    </xdr:from>
    <xdr:to>
      <xdr:col>13</xdr:col>
      <xdr:colOff>88900</xdr:colOff>
      <xdr:row>10</xdr:row>
      <xdr:rowOff>42545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DE957F4D-D3D9-4E00-9632-1AAC1331CDA5}"/>
            </a:ext>
          </a:extLst>
        </xdr:cNvPr>
        <xdr:cNvCxnSpPr>
          <a:stCxn id="66" idx="2"/>
        </xdr:cNvCxnSpPr>
      </xdr:nvCxnSpPr>
      <xdr:spPr>
        <a:xfrm flipV="1">
          <a:off x="4687349" y="958850"/>
          <a:ext cx="125951" cy="62039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179223</xdr:colOff>
      <xdr:row>16</xdr:row>
      <xdr:rowOff>116825</xdr:rowOff>
    </xdr:from>
    <xdr:to>
      <xdr:col>13</xdr:col>
      <xdr:colOff>286534</xdr:colOff>
      <xdr:row>17</xdr:row>
      <xdr:rowOff>66877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5E1A908C-6D81-46E5-B18A-C76ACA1AF3A3}"/>
            </a:ext>
          </a:extLst>
        </xdr:cNvPr>
        <xdr:cNvGrpSpPr/>
      </xdr:nvGrpSpPr>
      <xdr:grpSpPr>
        <a:xfrm>
          <a:off x="4675023" y="2583800"/>
          <a:ext cx="107311" cy="1024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5" name="Oval 164">
            <a:extLst>
              <a:ext uri="{FF2B5EF4-FFF2-40B4-BE49-F238E27FC236}">
                <a16:creationId xmlns:a16="http://schemas.microsoft.com/office/drawing/2014/main" id="{56A1CD1A-D1EE-4079-9F79-07BA7ACFA32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7A43CE97-9813-4191-9FB0-F75825874AF1}"/>
              </a:ext>
            </a:extLst>
          </xdr:cNvPr>
          <xdr:cNvCxnSpPr>
            <a:stCxn id="165" idx="1"/>
            <a:endCxn id="16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804888B8-0A79-49C1-BDD8-651B695758DC}"/>
              </a:ext>
            </a:extLst>
          </xdr:cNvPr>
          <xdr:cNvCxnSpPr>
            <a:stCxn id="165" idx="3"/>
            <a:endCxn id="16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256916</xdr:colOff>
      <xdr:row>25</xdr:row>
      <xdr:rowOff>37636</xdr:rowOff>
    </xdr:from>
    <xdr:to>
      <xdr:col>14</xdr:col>
      <xdr:colOff>364227</xdr:colOff>
      <xdr:row>25</xdr:row>
      <xdr:rowOff>137100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49CD558F-8A6F-4215-9E89-223D925EFFA1}"/>
            </a:ext>
          </a:extLst>
        </xdr:cNvPr>
        <xdr:cNvGrpSpPr/>
      </xdr:nvGrpSpPr>
      <xdr:grpSpPr>
        <a:xfrm>
          <a:off x="5133716" y="3876211"/>
          <a:ext cx="107311" cy="994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EE40640E-A163-4241-B066-5C4C8FE9B24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C60991DF-722A-43B7-AED2-6AC0749A16E7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A57AF174-DDB8-4F9D-A1F0-644504EF7989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304728</xdr:colOff>
      <xdr:row>32</xdr:row>
      <xdr:rowOff>107859</xdr:rowOff>
    </xdr:from>
    <xdr:to>
      <xdr:col>15</xdr:col>
      <xdr:colOff>8627</xdr:colOff>
      <xdr:row>33</xdr:row>
      <xdr:rowOff>57912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955E6CE0-51E2-47B7-A4CE-84CF540187C4}"/>
            </a:ext>
          </a:extLst>
        </xdr:cNvPr>
        <xdr:cNvGrpSpPr/>
      </xdr:nvGrpSpPr>
      <xdr:grpSpPr>
        <a:xfrm>
          <a:off x="5181528" y="5003709"/>
          <a:ext cx="84899" cy="1024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3" name="Oval 172">
            <a:extLst>
              <a:ext uri="{FF2B5EF4-FFF2-40B4-BE49-F238E27FC236}">
                <a16:creationId xmlns:a16="http://schemas.microsoft.com/office/drawing/2014/main" id="{35CBC3A0-9BCA-41AA-BFC7-A297D06157A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55B9A408-E6C7-4C13-89B0-6DD5E27A40B9}"/>
              </a:ext>
            </a:extLst>
          </xdr:cNvPr>
          <xdr:cNvCxnSpPr>
            <a:stCxn id="173" idx="1"/>
            <a:endCxn id="1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23C75AE3-15BC-4C9D-A24E-29607EE1313B}"/>
              </a:ext>
            </a:extLst>
          </xdr:cNvPr>
          <xdr:cNvCxnSpPr>
            <a:stCxn id="173" idx="3"/>
            <a:endCxn id="1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113481</xdr:colOff>
      <xdr:row>39</xdr:row>
      <xdr:rowOff>36142</xdr:rowOff>
    </xdr:from>
    <xdr:to>
      <xdr:col>14</xdr:col>
      <xdr:colOff>220792</xdr:colOff>
      <xdr:row>39</xdr:row>
      <xdr:rowOff>135606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05FBB755-705C-46FD-B75B-6F438C8EBAE6}"/>
            </a:ext>
          </a:extLst>
        </xdr:cNvPr>
        <xdr:cNvGrpSpPr/>
      </xdr:nvGrpSpPr>
      <xdr:grpSpPr>
        <a:xfrm>
          <a:off x="4990281" y="6017842"/>
          <a:ext cx="107311" cy="994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7" name="Oval 176">
            <a:extLst>
              <a:ext uri="{FF2B5EF4-FFF2-40B4-BE49-F238E27FC236}">
                <a16:creationId xmlns:a16="http://schemas.microsoft.com/office/drawing/2014/main" id="{8005ED54-C908-482E-8233-BB3AC0E064B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E8DF0F9A-57B3-41E3-B081-2DF321D49D90}"/>
              </a:ext>
            </a:extLst>
          </xdr:cNvPr>
          <xdr:cNvCxnSpPr>
            <a:stCxn id="177" idx="1"/>
            <a:endCxn id="1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F963D4AC-A4E8-43F5-8F32-89FBC4C50F0E}"/>
              </a:ext>
            </a:extLst>
          </xdr:cNvPr>
          <xdr:cNvCxnSpPr>
            <a:stCxn id="177" idx="3"/>
            <a:endCxn id="1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295763</xdr:colOff>
      <xdr:row>45</xdr:row>
      <xdr:rowOff>1777</xdr:rowOff>
    </xdr:from>
    <xdr:to>
      <xdr:col>13</xdr:col>
      <xdr:colOff>403074</xdr:colOff>
      <xdr:row>45</xdr:row>
      <xdr:rowOff>101241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A496771E-27E9-46FA-8481-8A8C82821D69}"/>
            </a:ext>
          </a:extLst>
        </xdr:cNvPr>
        <xdr:cNvGrpSpPr/>
      </xdr:nvGrpSpPr>
      <xdr:grpSpPr>
        <a:xfrm>
          <a:off x="4791563" y="6897877"/>
          <a:ext cx="88261" cy="994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1" name="Oval 180">
            <a:extLst>
              <a:ext uri="{FF2B5EF4-FFF2-40B4-BE49-F238E27FC236}">
                <a16:creationId xmlns:a16="http://schemas.microsoft.com/office/drawing/2014/main" id="{D5C55EC7-151F-40B1-A2DF-C6B8977D3CB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319C0A18-C13E-4D36-84E2-71C9F5FA9740}"/>
              </a:ext>
            </a:extLst>
          </xdr:cNvPr>
          <xdr:cNvCxnSpPr>
            <a:stCxn id="181" idx="1"/>
            <a:endCxn id="1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F14672C2-282F-4EE5-BC3C-A95B3F26237F}"/>
              </a:ext>
            </a:extLst>
          </xdr:cNvPr>
          <xdr:cNvCxnSpPr>
            <a:stCxn id="181" idx="3"/>
            <a:endCxn id="1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89575</xdr:colOff>
      <xdr:row>50</xdr:row>
      <xdr:rowOff>176590</xdr:rowOff>
    </xdr:from>
    <xdr:to>
      <xdr:col>13</xdr:col>
      <xdr:colOff>196886</xdr:colOff>
      <xdr:row>51</xdr:row>
      <xdr:rowOff>29524</xdr:rowOff>
    </xdr:to>
    <xdr:grpSp>
      <xdr:nvGrpSpPr>
        <xdr:cNvPr id="184" name="Group 183">
          <a:extLst>
            <a:ext uri="{FF2B5EF4-FFF2-40B4-BE49-F238E27FC236}">
              <a16:creationId xmlns:a16="http://schemas.microsoft.com/office/drawing/2014/main" id="{C063AB62-06F6-4C78-A6F2-FC7B0A2E77A4}"/>
            </a:ext>
          </a:extLst>
        </xdr:cNvPr>
        <xdr:cNvGrpSpPr/>
      </xdr:nvGrpSpPr>
      <xdr:grpSpPr>
        <a:xfrm>
          <a:off x="4585375" y="7844215"/>
          <a:ext cx="107311" cy="10058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5" name="Oval 184">
            <a:extLst>
              <a:ext uri="{FF2B5EF4-FFF2-40B4-BE49-F238E27FC236}">
                <a16:creationId xmlns:a16="http://schemas.microsoft.com/office/drawing/2014/main" id="{44C38B66-0BF2-4F04-82A4-F6CA7F4BDD7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82CBA0FF-AF79-4B48-AF0C-E602322E2871}"/>
              </a:ext>
            </a:extLst>
          </xdr:cNvPr>
          <xdr:cNvCxnSpPr>
            <a:stCxn id="185" idx="1"/>
            <a:endCxn id="1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07FB5B8D-9318-41E6-BF7D-491DD1E15438}"/>
              </a:ext>
            </a:extLst>
          </xdr:cNvPr>
          <xdr:cNvCxnSpPr>
            <a:stCxn id="185" idx="3"/>
            <a:endCxn id="1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250924</xdr:colOff>
      <xdr:row>7</xdr:row>
      <xdr:rowOff>130202</xdr:rowOff>
    </xdr:from>
    <xdr:to>
      <xdr:col>15</xdr:col>
      <xdr:colOff>210914</xdr:colOff>
      <xdr:row>33</xdr:row>
      <xdr:rowOff>92850</xdr:rowOff>
    </xdr:to>
    <xdr:sp macro="" textlink="">
      <xdr:nvSpPr>
        <xdr:cNvPr id="57" name="Freeform: Shape 56">
          <a:extLst>
            <a:ext uri="{FF2B5EF4-FFF2-40B4-BE49-F238E27FC236}">
              <a16:creationId xmlns:a16="http://schemas.microsoft.com/office/drawing/2014/main" id="{3F2AD048-AF47-439F-94B3-29906F86483A}"/>
            </a:ext>
          </a:extLst>
        </xdr:cNvPr>
        <xdr:cNvSpPr/>
      </xdr:nvSpPr>
      <xdr:spPr>
        <a:xfrm>
          <a:off x="4958995" y="1227845"/>
          <a:ext cx="758276" cy="3963148"/>
        </a:xfrm>
        <a:custGeom>
          <a:avLst/>
          <a:gdLst>
            <a:gd name="connsiteX0" fmla="*/ 123137 w 766814"/>
            <a:gd name="connsiteY0" fmla="*/ 0 h 3847353"/>
            <a:gd name="connsiteX1" fmla="*/ 26020 w 766814"/>
            <a:gd name="connsiteY1" fmla="*/ 635000 h 3847353"/>
            <a:gd name="connsiteX2" fmla="*/ 541490 w 766814"/>
            <a:gd name="connsiteY2" fmla="*/ 1957294 h 3847353"/>
            <a:gd name="connsiteX3" fmla="*/ 758137 w 766814"/>
            <a:gd name="connsiteY3" fmla="*/ 2801471 h 3847353"/>
            <a:gd name="connsiteX4" fmla="*/ 735725 w 766814"/>
            <a:gd name="connsiteY4" fmla="*/ 3847353 h 384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66814" h="3847353">
              <a:moveTo>
                <a:pt x="123137" y="0"/>
              </a:moveTo>
              <a:cubicBezTo>
                <a:pt x="39716" y="154392"/>
                <a:pt x="-43705" y="308784"/>
                <a:pt x="26020" y="635000"/>
              </a:cubicBezTo>
              <a:cubicBezTo>
                <a:pt x="95745" y="961216"/>
                <a:pt x="419470" y="1596215"/>
                <a:pt x="541490" y="1957294"/>
              </a:cubicBezTo>
              <a:cubicBezTo>
                <a:pt x="663510" y="2318373"/>
                <a:pt x="725765" y="2486461"/>
                <a:pt x="758137" y="2801471"/>
              </a:cubicBezTo>
              <a:cubicBezTo>
                <a:pt x="790510" y="3116481"/>
                <a:pt x="720784" y="3644402"/>
                <a:pt x="735725" y="3847353"/>
              </a:cubicBezTo>
            </a:path>
          </a:pathLst>
        </a:custGeom>
        <a:noFill/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326336</xdr:colOff>
      <xdr:row>33</xdr:row>
      <xdr:rowOff>18143</xdr:rowOff>
    </xdr:from>
    <xdr:to>
      <xdr:col>15</xdr:col>
      <xdr:colOff>172357</xdr:colOff>
      <xdr:row>54</xdr:row>
      <xdr:rowOff>9072</xdr:rowOff>
    </xdr:to>
    <xdr:sp macro="" textlink="">
      <xdr:nvSpPr>
        <xdr:cNvPr id="59" name="Freeform: Shape 58">
          <a:extLst>
            <a:ext uri="{FF2B5EF4-FFF2-40B4-BE49-F238E27FC236}">
              <a16:creationId xmlns:a16="http://schemas.microsoft.com/office/drawing/2014/main" id="{A39EA6A3-C732-4CA8-B345-62B5774E8111}"/>
            </a:ext>
          </a:extLst>
        </xdr:cNvPr>
        <xdr:cNvSpPr/>
      </xdr:nvSpPr>
      <xdr:spPr>
        <a:xfrm>
          <a:off x="5034407" y="5116286"/>
          <a:ext cx="644307" cy="3356429"/>
        </a:xfrm>
        <a:custGeom>
          <a:avLst/>
          <a:gdLst>
            <a:gd name="connsiteX0" fmla="*/ 644307 w 644307"/>
            <a:gd name="connsiteY0" fmla="*/ 0 h 3356429"/>
            <a:gd name="connsiteX1" fmla="*/ 317736 w 644307"/>
            <a:gd name="connsiteY1" fmla="*/ 1496786 h 3356429"/>
            <a:gd name="connsiteX2" fmla="*/ 36522 w 644307"/>
            <a:gd name="connsiteY2" fmla="*/ 2630714 h 3356429"/>
            <a:gd name="connsiteX3" fmla="*/ 9307 w 644307"/>
            <a:gd name="connsiteY3" fmla="*/ 3356429 h 33564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44307" h="3356429">
              <a:moveTo>
                <a:pt x="644307" y="0"/>
              </a:moveTo>
              <a:cubicBezTo>
                <a:pt x="531670" y="529167"/>
                <a:pt x="419033" y="1058334"/>
                <a:pt x="317736" y="1496786"/>
              </a:cubicBezTo>
              <a:cubicBezTo>
                <a:pt x="216439" y="1935238"/>
                <a:pt x="87927" y="2320774"/>
                <a:pt x="36522" y="2630714"/>
              </a:cubicBezTo>
              <a:cubicBezTo>
                <a:pt x="-14883" y="2940654"/>
                <a:pt x="236" y="3221870"/>
                <a:pt x="9307" y="3356429"/>
              </a:cubicBezTo>
            </a:path>
          </a:pathLst>
        </a:custGeom>
        <a:noFill/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378089</xdr:colOff>
      <xdr:row>10</xdr:row>
      <xdr:rowOff>78501</xdr:rowOff>
    </xdr:from>
    <xdr:to>
      <xdr:col>13</xdr:col>
      <xdr:colOff>194938</xdr:colOff>
      <xdr:row>17</xdr:row>
      <xdr:rowOff>51608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3B85E55E-E55F-4062-9C04-3A78B47EB960}"/>
            </a:ext>
          </a:extLst>
        </xdr:cNvPr>
        <xdr:cNvCxnSpPr>
          <a:stCxn id="165" idx="3"/>
          <a:endCxn id="66" idx="3"/>
        </xdr:cNvCxnSpPr>
      </xdr:nvCxnSpPr>
      <xdr:spPr>
        <a:xfrm flipH="1" flipV="1">
          <a:off x="4687018" y="1638787"/>
          <a:ext cx="215991" cy="106167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179223</xdr:colOff>
      <xdr:row>17</xdr:row>
      <xdr:rowOff>14744</xdr:rowOff>
    </xdr:from>
    <xdr:to>
      <xdr:col>14</xdr:col>
      <xdr:colOff>256916</xdr:colOff>
      <xdr:row>25</xdr:row>
      <xdr:rowOff>87368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58427DEB-1D5F-4A5A-8E6E-AC6ECA7F152E}"/>
            </a:ext>
          </a:extLst>
        </xdr:cNvPr>
        <xdr:cNvCxnSpPr>
          <a:stCxn id="169" idx="2"/>
          <a:endCxn id="165" idx="2"/>
        </xdr:cNvCxnSpPr>
      </xdr:nvCxnSpPr>
      <xdr:spPr>
        <a:xfrm flipH="1" flipV="1">
          <a:off x="4887294" y="2663601"/>
          <a:ext cx="476836" cy="130633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256916</xdr:colOff>
      <xdr:row>25</xdr:row>
      <xdr:rowOff>87368</xdr:rowOff>
    </xdr:from>
    <xdr:to>
      <xdr:col>14</xdr:col>
      <xdr:colOff>304728</xdr:colOff>
      <xdr:row>33</xdr:row>
      <xdr:rowOff>5779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0DF36E2A-7B9D-4BED-BB93-6091BAEAB0C2}"/>
            </a:ext>
          </a:extLst>
        </xdr:cNvPr>
        <xdr:cNvCxnSpPr>
          <a:stCxn id="173" idx="2"/>
          <a:endCxn id="169" idx="2"/>
        </xdr:cNvCxnSpPr>
      </xdr:nvCxnSpPr>
      <xdr:spPr>
        <a:xfrm flipH="1" flipV="1">
          <a:off x="5364130" y="3969939"/>
          <a:ext cx="47812" cy="1133983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129196</xdr:colOff>
      <xdr:row>33</xdr:row>
      <xdr:rowOff>5779</xdr:rowOff>
    </xdr:from>
    <xdr:to>
      <xdr:col>14</xdr:col>
      <xdr:colOff>304728</xdr:colOff>
      <xdr:row>39</xdr:row>
      <xdr:rowOff>50708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EA9E8F63-1BBF-4138-82E2-995477E850D9}"/>
            </a:ext>
          </a:extLst>
        </xdr:cNvPr>
        <xdr:cNvCxnSpPr>
          <a:stCxn id="177" idx="1"/>
          <a:endCxn id="173" idx="2"/>
        </xdr:cNvCxnSpPr>
      </xdr:nvCxnSpPr>
      <xdr:spPr>
        <a:xfrm flipV="1">
          <a:off x="5236410" y="5103922"/>
          <a:ext cx="175532" cy="988357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311478</xdr:colOff>
      <xdr:row>39</xdr:row>
      <xdr:rowOff>50708</xdr:rowOff>
    </xdr:from>
    <xdr:to>
      <xdr:col>14</xdr:col>
      <xdr:colOff>129196</xdr:colOff>
      <xdr:row>45</xdr:row>
      <xdr:rowOff>16343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931DF6CB-0331-4606-BBF6-DAC2AF91A565}"/>
            </a:ext>
          </a:extLst>
        </xdr:cNvPr>
        <xdr:cNvCxnSpPr>
          <a:stCxn id="181" idx="1"/>
          <a:endCxn id="177" idx="1"/>
        </xdr:cNvCxnSpPr>
      </xdr:nvCxnSpPr>
      <xdr:spPr>
        <a:xfrm flipV="1">
          <a:off x="5019549" y="6092279"/>
          <a:ext cx="216861" cy="89092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89575</xdr:colOff>
      <xdr:row>45</xdr:row>
      <xdr:rowOff>16343</xdr:rowOff>
    </xdr:from>
    <xdr:to>
      <xdr:col>13</xdr:col>
      <xdr:colOff>311478</xdr:colOff>
      <xdr:row>50</xdr:row>
      <xdr:rowOff>225522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2545F331-EC28-4925-B892-DBDA0F8C6732}"/>
            </a:ext>
          </a:extLst>
        </xdr:cNvPr>
        <xdr:cNvCxnSpPr>
          <a:stCxn id="185" idx="2"/>
          <a:endCxn id="181" idx="1"/>
        </xdr:cNvCxnSpPr>
      </xdr:nvCxnSpPr>
      <xdr:spPr>
        <a:xfrm flipV="1">
          <a:off x="4797646" y="6983200"/>
          <a:ext cx="221903" cy="989322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367099</xdr:colOff>
      <xdr:row>13</xdr:row>
      <xdr:rowOff>111696</xdr:rowOff>
    </xdr:from>
    <xdr:to>
      <xdr:col>8</xdr:col>
      <xdr:colOff>25400</xdr:colOff>
      <xdr:row>22</xdr:row>
      <xdr:rowOff>69850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37FA9E93-BECC-4451-A722-91E1E939D604}"/>
            </a:ext>
          </a:extLst>
        </xdr:cNvPr>
        <xdr:cNvCxnSpPr>
          <a:endCxn id="12" idx="4"/>
        </xdr:cNvCxnSpPr>
      </xdr:nvCxnSpPr>
      <xdr:spPr>
        <a:xfrm flipH="1" flipV="1">
          <a:off x="2691199" y="2111946"/>
          <a:ext cx="58351" cy="1329754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397616</xdr:colOff>
      <xdr:row>22</xdr:row>
      <xdr:rowOff>18788</xdr:rowOff>
    </xdr:from>
    <xdr:to>
      <xdr:col>8</xdr:col>
      <xdr:colOff>136619</xdr:colOff>
      <xdr:row>22</xdr:row>
      <xdr:rowOff>131045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BE6761FB-7FB9-44AF-A288-EB0C9BD0DFC0}"/>
            </a:ext>
          </a:extLst>
        </xdr:cNvPr>
        <xdr:cNvSpPr/>
      </xdr:nvSpPr>
      <xdr:spPr>
        <a:xfrm rot="21404377">
          <a:off x="2721716" y="3390638"/>
          <a:ext cx="139053" cy="112257"/>
        </a:xfrm>
        <a:prstGeom prst="rect">
          <a:avLst/>
        </a:prstGeom>
        <a:solidFill>
          <a:srgbClr val="FF0000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D" sz="8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353197</xdr:colOff>
      <xdr:row>6</xdr:row>
      <xdr:rowOff>62105</xdr:rowOff>
    </xdr:from>
    <xdr:to>
      <xdr:col>11</xdr:col>
      <xdr:colOff>158751</xdr:colOff>
      <xdr:row>9</xdr:row>
      <xdr:rowOff>44451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374E2F0C-CD17-40A6-8647-29DEA010794D}"/>
            </a:ext>
          </a:extLst>
        </xdr:cNvPr>
        <xdr:cNvSpPr/>
      </xdr:nvSpPr>
      <xdr:spPr>
        <a:xfrm>
          <a:off x="3477397" y="989205"/>
          <a:ext cx="605654" cy="43954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SYG05-71A/1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CJ7-T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1CM2-12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10297</xdr:colOff>
      <xdr:row>12</xdr:row>
      <xdr:rowOff>43055</xdr:rowOff>
    </xdr:from>
    <xdr:to>
      <xdr:col>7</xdr:col>
      <xdr:colOff>215901</xdr:colOff>
      <xdr:row>15</xdr:row>
      <xdr:rowOff>19051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EA429AB0-8B19-4741-862B-E875A12D4282}"/>
            </a:ext>
          </a:extLst>
        </xdr:cNvPr>
        <xdr:cNvSpPr/>
      </xdr:nvSpPr>
      <xdr:spPr>
        <a:xfrm>
          <a:off x="1934347" y="1884555"/>
          <a:ext cx="605654" cy="439546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SYG05-71A/2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1CM2-12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334147</xdr:colOff>
      <xdr:row>17</xdr:row>
      <xdr:rowOff>74804</xdr:rowOff>
    </xdr:from>
    <xdr:to>
      <xdr:col>7</xdr:col>
      <xdr:colOff>139701</xdr:colOff>
      <xdr:row>21</xdr:row>
      <xdr:rowOff>44449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BE25656F-9CD4-4C18-A092-8B5A5FB9C7E6}"/>
            </a:ext>
          </a:extLst>
        </xdr:cNvPr>
        <xdr:cNvSpPr/>
      </xdr:nvSpPr>
      <xdr:spPr>
        <a:xfrm>
          <a:off x="1858147" y="2684654"/>
          <a:ext cx="605654" cy="57924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SYG05-71A/2</a:t>
          </a:r>
        </a:p>
        <a:p>
          <a:pPr algn="l"/>
          <a:r>
            <a:rPr lang="en-US" sz="6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310055</xdr:colOff>
      <xdr:row>11</xdr:row>
      <xdr:rowOff>112331</xdr:rowOff>
    </xdr:from>
    <xdr:to>
      <xdr:col>9</xdr:col>
      <xdr:colOff>264073</xdr:colOff>
      <xdr:row>12</xdr:row>
      <xdr:rowOff>155839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080FECD5-7E28-4E04-BC28-671B4F4042DD}"/>
            </a:ext>
          </a:extLst>
        </xdr:cNvPr>
        <xdr:cNvSpPr/>
      </xdr:nvSpPr>
      <xdr:spPr>
        <a:xfrm rot="20430651">
          <a:off x="3034205" y="1801431"/>
          <a:ext cx="354068" cy="195908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7</xdr:col>
      <xdr:colOff>274833</xdr:colOff>
      <xdr:row>16</xdr:row>
      <xdr:rowOff>76201</xdr:rowOff>
    </xdr:from>
    <xdr:to>
      <xdr:col>8</xdr:col>
      <xdr:colOff>95249</xdr:colOff>
      <xdr:row>18</xdr:row>
      <xdr:rowOff>44451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A6101573-7D3D-401C-9324-E0DC0AFA10D0}"/>
            </a:ext>
          </a:extLst>
        </xdr:cNvPr>
        <xdr:cNvSpPr/>
      </xdr:nvSpPr>
      <xdr:spPr>
        <a:xfrm rot="5400000">
          <a:off x="2572641" y="2559943"/>
          <a:ext cx="273050" cy="220466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</a:t>
          </a:r>
        </a:p>
      </xdr:txBody>
    </xdr:sp>
    <xdr:clientData/>
  </xdr:twoCellAnchor>
  <xdr:twoCellAnchor>
    <xdr:from>
      <xdr:col>13</xdr:col>
      <xdr:colOff>66899</xdr:colOff>
      <xdr:row>10</xdr:row>
      <xdr:rowOff>42545</xdr:rowOff>
    </xdr:from>
    <xdr:to>
      <xdr:col>13</xdr:col>
      <xdr:colOff>286534</xdr:colOff>
      <xdr:row>17</xdr:row>
      <xdr:rowOff>15651</xdr:rowOff>
    </xdr:to>
    <xdr:cxnSp macro="">
      <xdr:nvCxnSpPr>
        <xdr:cNvPr id="207" name="Straight Connector 206">
          <a:extLst>
            <a:ext uri="{FF2B5EF4-FFF2-40B4-BE49-F238E27FC236}">
              <a16:creationId xmlns:a16="http://schemas.microsoft.com/office/drawing/2014/main" id="{EDD9AC35-F81C-45D9-A70A-340F28976DB0}"/>
            </a:ext>
          </a:extLst>
        </xdr:cNvPr>
        <xdr:cNvCxnSpPr>
          <a:stCxn id="165" idx="6"/>
          <a:endCxn id="66" idx="6"/>
        </xdr:cNvCxnSpPr>
      </xdr:nvCxnSpPr>
      <xdr:spPr>
        <a:xfrm flipH="1" flipV="1">
          <a:off x="4791299" y="1579245"/>
          <a:ext cx="219635" cy="1046256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286534</xdr:colOff>
      <xdr:row>17</xdr:row>
      <xdr:rowOff>15651</xdr:rowOff>
    </xdr:from>
    <xdr:to>
      <xdr:col>14</xdr:col>
      <xdr:colOff>348512</xdr:colOff>
      <xdr:row>25</xdr:row>
      <xdr:rowOff>52202</xdr:rowOff>
    </xdr:to>
    <xdr:cxnSp macro="">
      <xdr:nvCxnSpPr>
        <xdr:cNvPr id="208" name="Straight Connector 207">
          <a:extLst>
            <a:ext uri="{FF2B5EF4-FFF2-40B4-BE49-F238E27FC236}">
              <a16:creationId xmlns:a16="http://schemas.microsoft.com/office/drawing/2014/main" id="{252F4F5F-3B35-44C1-8A41-0E49FB3EC01F}"/>
            </a:ext>
          </a:extLst>
        </xdr:cNvPr>
        <xdr:cNvCxnSpPr>
          <a:stCxn id="169" idx="7"/>
          <a:endCxn id="165" idx="6"/>
        </xdr:cNvCxnSpPr>
      </xdr:nvCxnSpPr>
      <xdr:spPr>
        <a:xfrm flipH="1" flipV="1">
          <a:off x="5010934" y="2625501"/>
          <a:ext cx="462028" cy="125575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348512</xdr:colOff>
      <xdr:row>25</xdr:row>
      <xdr:rowOff>52202</xdr:rowOff>
    </xdr:from>
    <xdr:to>
      <xdr:col>14</xdr:col>
      <xdr:colOff>393454</xdr:colOff>
      <xdr:row>32</xdr:row>
      <xdr:rowOff>122863</xdr:rowOff>
    </xdr:to>
    <xdr:cxnSp macro="">
      <xdr:nvCxnSpPr>
        <xdr:cNvPr id="210" name="Straight Connector 209">
          <a:extLst>
            <a:ext uri="{FF2B5EF4-FFF2-40B4-BE49-F238E27FC236}">
              <a16:creationId xmlns:a16="http://schemas.microsoft.com/office/drawing/2014/main" id="{1A54C88E-AA7C-4EAE-9BF2-97DC84BDAC0C}"/>
            </a:ext>
          </a:extLst>
        </xdr:cNvPr>
        <xdr:cNvCxnSpPr>
          <a:stCxn id="173" idx="7"/>
          <a:endCxn id="169" idx="7"/>
        </xdr:cNvCxnSpPr>
      </xdr:nvCxnSpPr>
      <xdr:spPr>
        <a:xfrm flipH="1" flipV="1">
          <a:off x="5472962" y="3881252"/>
          <a:ext cx="44942" cy="112476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205077</xdr:colOff>
      <xdr:row>33</xdr:row>
      <xdr:rowOff>6686</xdr:rowOff>
    </xdr:from>
    <xdr:to>
      <xdr:col>15</xdr:col>
      <xdr:colOff>8627</xdr:colOff>
      <xdr:row>39</xdr:row>
      <xdr:rowOff>121040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3B28D5DE-82E4-4493-9BA8-B77C68468660}"/>
            </a:ext>
          </a:extLst>
        </xdr:cNvPr>
        <xdr:cNvCxnSpPr>
          <a:stCxn id="177" idx="5"/>
          <a:endCxn id="173" idx="6"/>
        </xdr:cNvCxnSpPr>
      </xdr:nvCxnSpPr>
      <xdr:spPr>
        <a:xfrm flipV="1">
          <a:off x="5329527" y="5042236"/>
          <a:ext cx="203600" cy="1041454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387359</xdr:colOff>
      <xdr:row>39</xdr:row>
      <xdr:rowOff>85874</xdr:rowOff>
    </xdr:from>
    <xdr:to>
      <xdr:col>14</xdr:col>
      <xdr:colOff>220792</xdr:colOff>
      <xdr:row>45</xdr:row>
      <xdr:rowOff>86675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FB0652C-4DF4-4D95-B223-5CFB43BF1E85}"/>
            </a:ext>
          </a:extLst>
        </xdr:cNvPr>
        <xdr:cNvCxnSpPr>
          <a:stCxn id="181" idx="5"/>
          <a:endCxn id="177" idx="6"/>
        </xdr:cNvCxnSpPr>
      </xdr:nvCxnSpPr>
      <xdr:spPr>
        <a:xfrm flipV="1">
          <a:off x="5111759" y="6048524"/>
          <a:ext cx="233483" cy="91520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196886</xdr:colOff>
      <xdr:row>45</xdr:row>
      <xdr:rowOff>51509</xdr:rowOff>
    </xdr:from>
    <xdr:to>
      <xdr:col>14</xdr:col>
      <xdr:colOff>3024</xdr:colOff>
      <xdr:row>50</xdr:row>
      <xdr:rowOff>226882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1D9EC08C-56B3-4854-8833-9FF77F7634B2}"/>
            </a:ext>
          </a:extLst>
        </xdr:cNvPr>
        <xdr:cNvCxnSpPr>
          <a:stCxn id="185" idx="6"/>
          <a:endCxn id="181" idx="6"/>
        </xdr:cNvCxnSpPr>
      </xdr:nvCxnSpPr>
      <xdr:spPr>
        <a:xfrm flipV="1">
          <a:off x="4921286" y="6928559"/>
          <a:ext cx="206188" cy="943723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266700</xdr:colOff>
      <xdr:row>50</xdr:row>
      <xdr:rowOff>127000</xdr:rowOff>
    </xdr:from>
    <xdr:to>
      <xdr:col>13</xdr:col>
      <xdr:colOff>25400</xdr:colOff>
      <xdr:row>50</xdr:row>
      <xdr:rowOff>228600</xdr:rowOff>
    </xdr:to>
    <xdr:sp macro="" textlink="">
      <xdr:nvSpPr>
        <xdr:cNvPr id="223" name="Isosceles Triangle 222">
          <a:extLst>
            <a:ext uri="{FF2B5EF4-FFF2-40B4-BE49-F238E27FC236}">
              <a16:creationId xmlns:a16="http://schemas.microsoft.com/office/drawing/2014/main" id="{196926AF-A302-4657-912C-36B3A5A172F8}"/>
            </a:ext>
          </a:extLst>
        </xdr:cNvPr>
        <xdr:cNvSpPr/>
      </xdr:nvSpPr>
      <xdr:spPr>
        <a:xfrm>
          <a:off x="4591050" y="7772400"/>
          <a:ext cx="158750" cy="10160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88900</xdr:colOff>
      <xdr:row>50</xdr:row>
      <xdr:rowOff>226882</xdr:rowOff>
    </xdr:from>
    <xdr:to>
      <xdr:col>13</xdr:col>
      <xdr:colOff>89575</xdr:colOff>
      <xdr:row>53</xdr:row>
      <xdr:rowOff>44450</xdr:rowOff>
    </xdr:to>
    <xdr:cxnSp macro="">
      <xdr:nvCxnSpPr>
        <xdr:cNvPr id="224" name="Straight Connector 223">
          <a:extLst>
            <a:ext uri="{FF2B5EF4-FFF2-40B4-BE49-F238E27FC236}">
              <a16:creationId xmlns:a16="http://schemas.microsoft.com/office/drawing/2014/main" id="{79AC1FF9-AFC9-4386-BF4C-03484A71E987}"/>
            </a:ext>
          </a:extLst>
        </xdr:cNvPr>
        <xdr:cNvCxnSpPr>
          <a:endCxn id="185" idx="2"/>
        </xdr:cNvCxnSpPr>
      </xdr:nvCxnSpPr>
      <xdr:spPr>
        <a:xfrm flipV="1">
          <a:off x="4813300" y="7872282"/>
          <a:ext cx="675" cy="37001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181171</xdr:colOff>
      <xdr:row>50</xdr:row>
      <xdr:rowOff>191320</xdr:rowOff>
    </xdr:from>
    <xdr:to>
      <xdr:col>13</xdr:col>
      <xdr:colOff>184150</xdr:colOff>
      <xdr:row>53</xdr:row>
      <xdr:rowOff>6350</xdr:rowOff>
    </xdr:to>
    <xdr:cxnSp macro="">
      <xdr:nvCxnSpPr>
        <xdr:cNvPr id="227" name="Straight Connector 226">
          <a:extLst>
            <a:ext uri="{FF2B5EF4-FFF2-40B4-BE49-F238E27FC236}">
              <a16:creationId xmlns:a16="http://schemas.microsoft.com/office/drawing/2014/main" id="{CEC776AE-42C0-4293-B305-131C58E5EE0C}"/>
            </a:ext>
          </a:extLst>
        </xdr:cNvPr>
        <xdr:cNvCxnSpPr>
          <a:endCxn id="185" idx="7"/>
        </xdr:cNvCxnSpPr>
      </xdr:nvCxnSpPr>
      <xdr:spPr>
        <a:xfrm flipH="1" flipV="1">
          <a:off x="4905571" y="7836720"/>
          <a:ext cx="2979" cy="36748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66899</xdr:colOff>
      <xdr:row>6</xdr:row>
      <xdr:rowOff>133350</xdr:rowOff>
    </xdr:from>
    <xdr:to>
      <xdr:col>13</xdr:col>
      <xdr:colOff>165100</xdr:colOff>
      <xdr:row>10</xdr:row>
      <xdr:rowOff>42545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3A4F506D-FAB1-470A-8948-78B714723647}"/>
            </a:ext>
          </a:extLst>
        </xdr:cNvPr>
        <xdr:cNvCxnSpPr>
          <a:endCxn id="66" idx="6"/>
        </xdr:cNvCxnSpPr>
      </xdr:nvCxnSpPr>
      <xdr:spPr>
        <a:xfrm flipH="1">
          <a:off x="4791299" y="1060450"/>
          <a:ext cx="98201" cy="51879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385512</xdr:colOff>
      <xdr:row>51</xdr:row>
      <xdr:rowOff>56782</xdr:rowOff>
    </xdr:from>
    <xdr:to>
      <xdr:col>13</xdr:col>
      <xdr:colOff>178056</xdr:colOff>
      <xdr:row>53</xdr:row>
      <xdr:rowOff>97714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952A50D2-86DD-417D-859F-9FA02D9F906C}"/>
            </a:ext>
          </a:extLst>
        </xdr:cNvPr>
        <xdr:cNvSpPr/>
      </xdr:nvSpPr>
      <xdr:spPr>
        <a:xfrm rot="5732473">
          <a:off x="4633293" y="8026401"/>
          <a:ext cx="345732" cy="192594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8</xdr:col>
      <xdr:colOff>136506</xdr:colOff>
      <xdr:row>22</xdr:row>
      <xdr:rowOff>70963</xdr:rowOff>
    </xdr:from>
    <xdr:to>
      <xdr:col>14</xdr:col>
      <xdr:colOff>256916</xdr:colOff>
      <xdr:row>25</xdr:row>
      <xdr:rowOff>87368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C764585C-79C4-4F62-A30A-F8E1E2AB2252}"/>
            </a:ext>
          </a:extLst>
        </xdr:cNvPr>
        <xdr:cNvCxnSpPr>
          <a:stCxn id="169" idx="2"/>
          <a:endCxn id="199" idx="3"/>
        </xdr:cNvCxnSpPr>
      </xdr:nvCxnSpPr>
      <xdr:spPr>
        <a:xfrm flipH="1" flipV="1">
          <a:off x="2860656" y="3442813"/>
          <a:ext cx="2520710" cy="47360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58041</xdr:colOff>
      <xdr:row>23</xdr:row>
      <xdr:rowOff>51693</xdr:rowOff>
    </xdr:from>
    <xdr:to>
      <xdr:col>11</xdr:col>
      <xdr:colOff>331091</xdr:colOff>
      <xdr:row>24</xdr:row>
      <xdr:rowOff>119759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392E9C4-C49F-48A6-B9E6-6684BBFD4DBF}"/>
            </a:ext>
          </a:extLst>
        </xdr:cNvPr>
        <xdr:cNvSpPr/>
      </xdr:nvSpPr>
      <xdr:spPr>
        <a:xfrm rot="675101">
          <a:off x="3982341" y="3575943"/>
          <a:ext cx="273050" cy="220466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</a:t>
          </a:r>
        </a:p>
      </xdr:txBody>
    </xdr:sp>
    <xdr:clientData/>
  </xdr:twoCellAnchor>
  <xdr:twoCellAnchor>
    <xdr:from>
      <xdr:col>10</xdr:col>
      <xdr:colOff>355600</xdr:colOff>
      <xdr:row>23</xdr:row>
      <xdr:rowOff>25400</xdr:rowOff>
    </xdr:from>
    <xdr:to>
      <xdr:col>11</xdr:col>
      <xdr:colOff>177800</xdr:colOff>
      <xdr:row>24</xdr:row>
      <xdr:rowOff>101600</xdr:rowOff>
    </xdr:to>
    <xdr:grpSp>
      <xdr:nvGrpSpPr>
        <xdr:cNvPr id="248" name="Group 247">
          <a:extLst>
            <a:ext uri="{FF2B5EF4-FFF2-40B4-BE49-F238E27FC236}">
              <a16:creationId xmlns:a16="http://schemas.microsoft.com/office/drawing/2014/main" id="{068111F6-2A00-4014-B527-457DD6C645FC}"/>
            </a:ext>
          </a:extLst>
        </xdr:cNvPr>
        <xdr:cNvGrpSpPr/>
      </xdr:nvGrpSpPr>
      <xdr:grpSpPr>
        <a:xfrm>
          <a:off x="3708400" y="3559175"/>
          <a:ext cx="203200" cy="228600"/>
          <a:chOff x="3771900" y="3276600"/>
          <a:chExt cx="222250" cy="228600"/>
        </a:xfrm>
      </xdr:grpSpPr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4B2B9D0E-0CAE-4F04-B428-F581CAF98DBD}"/>
              </a:ext>
            </a:extLst>
          </xdr:cNvPr>
          <xdr:cNvCxnSpPr/>
        </xdr:nvCxnSpPr>
        <xdr:spPr>
          <a:xfrm>
            <a:off x="3790950" y="3276600"/>
            <a:ext cx="203200" cy="22860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D8892FEA-260A-4508-8089-CF6523A0793D}"/>
              </a:ext>
            </a:extLst>
          </xdr:cNvPr>
          <xdr:cNvCxnSpPr/>
        </xdr:nvCxnSpPr>
        <xdr:spPr>
          <a:xfrm flipV="1">
            <a:off x="3771900" y="3340100"/>
            <a:ext cx="215900" cy="11430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406400</xdr:colOff>
      <xdr:row>9</xdr:row>
      <xdr:rowOff>41611</xdr:rowOff>
    </xdr:from>
    <xdr:to>
      <xdr:col>18</xdr:col>
      <xdr:colOff>576960</xdr:colOff>
      <xdr:row>50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1E6EAD-4F2F-405A-A456-3E7D834BA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8200" y="1667211"/>
          <a:ext cx="9060560" cy="72989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1134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42</v>
      </c>
      <c r="E7" s="525" t="s">
        <v>43</v>
      </c>
      <c r="F7" s="525" t="s">
        <v>1135</v>
      </c>
      <c r="G7" s="526" t="s">
        <v>41</v>
      </c>
      <c r="H7" s="522" t="s">
        <v>1042</v>
      </c>
      <c r="I7" s="522" t="s">
        <v>1137</v>
      </c>
      <c r="J7" s="522" t="s">
        <v>1026</v>
      </c>
      <c r="K7" s="516" t="s">
        <v>1024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Isolator Tumpu ( Line Post ) 20 KV Polymer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3</v>
      </c>
      <c r="G14" s="41">
        <f ca="1">IF(ISERROR(OFFSET('HARGA SATUAN'!$I$6,MATCH(C14,'HARGA SATUAN'!$C$7:$C$1492,0),0)),"",OFFSET('HARGA SATUAN'!$I$6,MATCH(C14,'HARGA SATUAN'!$C$7:$C$1492,0),0))</f>
        <v>176900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2 x 70 + N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74</v>
      </c>
      <c r="G15" s="41">
        <f ca="1">IF(ISERROR(OFFSET('HARGA SATUAN'!$I$6,MATCH(C15,'HARGA SATUAN'!$C$7:$C$1492,0),0)),"",OFFSET('HARGA SATUAN'!$I$6,MATCH(C15,'HARGA SATUAN'!$C$7:$C$1492,0),0))</f>
        <v>53300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65</v>
      </c>
      <c r="G16" s="41">
        <f ca="1">IF(ISERROR(OFFSET('HARGA SATUAN'!$I$6,MATCH(C16,'HARGA SATUAN'!$C$7:$C$1492,0),0)),"",OFFSET('HARGA SATUAN'!$I$6,MATCH(C16,'HARGA SATUAN'!$C$7:$C$1492,0),0))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SUMIFS(RAB!$F$14:$F$82,RAB!$C$14:$C$82,C714)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SUMIFS(RAB!$F$14:$F$82,RAB!$C$14:$C$82,C715)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SUMIFS(RAB!$F$14:$F$82,RAB!$C$14:$C$82,C716)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SUMIFS(RAB!$F$14:$F$82,RAB!$C$14:$C$82,C717)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SUMIFS(RAB!$F$14:$F$82,RAB!$C$14:$C$82,C718)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SUMIFS(RAB!$F$14:$F$82,RAB!$C$14:$C$82,C719)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SUMIFS(RAB!$F$14:$F$82,RAB!$C$14:$C$82,C720)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SUMIFS(RAB!$F$14:$F$82,RAB!$C$14:$C$82,C721)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SUMIFS(RAB!$F$14:$F$82,RAB!$C$14:$C$82,C722)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SUMIFS(RAB!$F$14:$F$82,RAB!$C$14:$C$82,C723)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SUMIFS(RAB!$F$14:$F$82,RAB!$C$14:$C$82,C724)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SUMIFS(RAB!$F$14:$F$82,RAB!$C$14:$C$82,C725)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SUMIFS(RAB!$F$14:$F$82,RAB!$C$14:$C$82,C726)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SUMIFS(RAB!$F$14:$F$82,RAB!$C$14:$C$82,C727)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SUMIFS(RAB!$F$14:$F$82,RAB!$C$14:$C$82,C728)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SUMIFS(RAB!$F$14:$F$82,RAB!$C$14:$C$82,C729)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SUMIFS(RAB!$F$14:$F$82,RAB!$C$14:$C$82,C730)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SUMIFS(RAB!$F$14:$F$82,RAB!$C$14:$C$82,C731)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SUMIFS(RAB!$F$14:$F$82,RAB!$C$14:$C$82,C732)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SUMIFS(RAB!$F$14:$F$82,RAB!$C$14:$C$82,C733)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SUMIFS(RAB!$F$14:$F$82,RAB!$C$14:$C$82,C734)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SUMIFS(RAB!$F$14:$F$82,RAB!$C$14:$C$82,C735)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SUMIFS(RAB!$F$14:$F$82,RAB!$C$14:$C$82,C736)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SUMIFS(RAB!$F$14:$F$82,RAB!$C$14:$C$82,C737)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SUMIFS(RAB!$F$14:$F$82,RAB!$C$14:$C$82,C738)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SUMIFS(RAB!$F$14:$F$82,RAB!$C$14:$C$82,C739)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SUMIFS(RAB!$F$14:$F$82,RAB!$C$14:$C$82,C740)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SUMIFS(RAB!$F$14:$F$82,RAB!$C$14:$C$82,C741)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SUMIFS(RAB!$F$14:$F$82,RAB!$C$14:$C$82,C742)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SUMIFS(RAB!$F$14:$F$82,RAB!$C$14:$C$82,C743)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SUMIFS(RAB!$F$14:$F$82,RAB!$C$14:$C$82,C744)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SUMIFS(RAB!$F$14:$F$82,RAB!$C$14:$C$82,C745)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SUMIFS(RAB!$F$14:$F$82,RAB!$C$14:$C$82,C746)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SUMIFS(RAB!$F$14:$F$82,RAB!$C$14:$C$82,C747)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SUMIFS(RAB!$F$14:$F$82,RAB!$C$14:$C$82,C748)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SUMIFS(RAB!$F$14:$F$82,RAB!$C$14:$C$82,C749)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SUMIFS(RAB!$F$14:$F$82,RAB!$C$14:$C$82,C750)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SUMIFS(RAB!$F$14:$F$82,RAB!$C$14:$C$82,C751)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SUMIFS(RAB!$F$14:$F$82,RAB!$C$14:$C$82,C752)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SUMIFS(RAB!$F$14:$F$82,RAB!$C$14:$C$82,C753)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SUMIFS(RAB!$F$14:$F$82,RAB!$C$14:$C$82,C754)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SUMIFS(RAB!$F$14:$F$82,RAB!$C$14:$C$82,C755)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SUMIFS(RAB!$F$14:$F$82,RAB!$C$14:$C$82,C756)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SUMIFS(RAB!$F$14:$F$82,RAB!$C$14:$C$82,C757)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SUMIFS(RAB!$F$14:$F$82,RAB!$C$14:$C$82,C758)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SUMIFS(RAB!$F$14:$F$82,RAB!$C$14:$C$82,C759)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SUMIFS(RAB!$F$14:$F$82,RAB!$C$14:$C$82,C760)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SUMIFS(RAB!$F$14:$F$82,RAB!$C$14:$C$82,C761)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SUMIFS(RAB!$F$14:$F$82,RAB!$C$14:$C$82,C762)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SUMIFS(RAB!$F$14:$F$82,RAB!$C$14:$C$82,C763)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SUMIFS(RAB!$F$14:$F$82,RAB!$C$14:$C$82,C764)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SUMIFS(RAB!$F$14:$F$82,RAB!$C$14:$C$82,C765)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SUMIFS(RAB!$F$14:$F$82,RAB!$C$14:$C$82,C766)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SUMIFS(RAB!$F$14:$F$82,RAB!$C$14:$C$82,C767)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SUMIFS(RAB!$F$14:$F$82,RAB!$C$14:$C$82,C768)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SUMIFS(RAB!$F$14:$F$82,RAB!$C$14:$C$82,C769)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SUMIFS(RAB!$F$14:$F$82,RAB!$C$14:$C$82,C770)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SUMIFS(RAB!$F$14:$F$82,RAB!$C$14:$C$82,C771)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SUMIFS(RAB!$F$14:$F$82,RAB!$C$14:$C$82,C772)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SUMIFS(RAB!$F$14:$F$82,RAB!$C$14:$C$82,C773)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SUMIFS(RAB!$F$14:$F$82,RAB!$C$14:$C$82,C774)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SUMIFS(RAB!$F$14:$F$82,RAB!$C$14:$C$82,C775)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SUMIFS(RAB!$F$14:$F$82,RAB!$C$14:$C$82,C776)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SUMIFS(RAB!$F$14:$F$82,RAB!$C$14:$C$82,C777)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SUMIFS(RAB!$F$14:$F$82,RAB!$C$14:$C$82,C778)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SUMIFS(RAB!$F$14:$F$82,RAB!$C$14:$C$82,C779)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SUMIFS(RAB!$F$14:$F$82,RAB!$C$14:$C$82,C780)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SUMIFS(RAB!$F$14:$F$82,RAB!$C$14:$C$82,C781)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SUMIFS(RAB!$F$14:$F$82,RAB!$C$14:$C$82,C782)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SUMIFS(RAB!$F$14:$F$82,RAB!$C$14:$C$82,C783)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SUMIFS(RAB!$F$14:$F$82,RAB!$C$14:$C$82,C784)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SUMIFS(RAB!$F$14:$F$82,RAB!$C$14:$C$82,C785)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SUMIFS(RAB!$F$14:$F$82,RAB!$C$14:$C$82,C786)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SUMIFS(RAB!$F$14:$F$82,RAB!$C$14:$C$82,C787)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SUMIFS(RAB!$F$14:$F$82,RAB!$C$14:$C$82,C788)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SUMIFS(RAB!$F$14:$F$82,RAB!$C$14:$C$82,C789)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SUMIFS(RAB!$F$14:$F$82,RAB!$C$14:$C$82,C790)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SUMIFS(RAB!$F$14:$F$82,RAB!$C$14:$C$82,C791)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SUMIFS(RAB!$F$14:$F$82,RAB!$C$14:$C$82,C792)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SUMIFS(RAB!$F$14:$F$82,RAB!$C$14:$C$82,C793)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SUMIFS(RAB!$F$14:$F$82,RAB!$C$14:$C$82,C794)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SUMIFS(RAB!$F$14:$F$82,RAB!$C$14:$C$82,C795)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SUMIFS(RAB!$F$14:$F$82,RAB!$C$14:$C$82,C796)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SUMIFS(RAB!$F$14:$F$82,RAB!$C$14:$C$82,C797)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SUMIFS(RAB!$F$14:$F$82,RAB!$C$14:$C$82,C798)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SUMIFS(RAB!$F$14:$F$82,RAB!$C$14:$C$82,C799)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SUMIFS(RAB!$F$14:$F$82,RAB!$C$14:$C$82,C800)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SUMIFS(RAB!$F$14:$F$82,RAB!$C$14:$C$82,C801)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SUMIFS(RAB!$F$14:$F$82,RAB!$C$14:$C$82,C802)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SUMIFS(RAB!$F$14:$F$82,RAB!$C$14:$C$82,C803)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SUMIFS(RAB!$F$14:$F$82,RAB!$C$14:$C$82,C804)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SUMIFS(RAB!$F$14:$F$82,RAB!$C$14:$C$82,C805)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SUMIFS(RAB!$F$14:$F$82,RAB!$C$14:$C$82,C806)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SUMIFS(RAB!$F$14:$F$82,RAB!$C$14:$C$82,C807)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SUMIFS(RAB!$F$14:$F$82,RAB!$C$14:$C$82,C808)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SUMIFS(RAB!$F$14:$F$82,RAB!$C$14:$C$82,C809)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SUMIFS(RAB!$F$14:$F$82,RAB!$C$14:$C$82,C810)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SUMIFS(RAB!$F$14:$F$82,RAB!$C$14:$C$82,C811)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SUMIFS(RAB!$F$14:$F$82,RAB!$C$14:$C$82,C812)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SUMIFS(RAB!$F$14:$F$82,RAB!$C$14:$C$82,C813)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SUMIFS(RAB!$F$14:$F$82,RAB!$C$14:$C$82,C814)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SUMIFS(RAB!$F$14:$F$82,RAB!$C$14:$C$82,C815)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SUMIFS(RAB!$F$14:$F$82,RAB!$C$14:$C$82,C816)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SUMIFS(RAB!$F$14:$F$82,RAB!$C$14:$C$82,C817)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SUMIFS(RAB!$F$14:$F$82,RAB!$C$14:$C$82,C818)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SUMIFS(RAB!$F$14:$F$82,RAB!$C$14:$C$82,C819)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SUMIFS(RAB!$F$14:$F$82,RAB!$C$14:$C$82,C820)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SUMIFS(RAB!$F$14:$F$82,RAB!$C$14:$C$82,C821)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SUMIFS(RAB!$F$14:$F$82,RAB!$C$14:$C$82,C822)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SUMIFS(RAB!$F$14:$F$82,RAB!$C$14:$C$82,C823)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SUMIFS(RAB!$F$14:$F$82,RAB!$C$14:$C$82,C824)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SUMIFS(RAB!$F$14:$F$82,RAB!$C$14:$C$82,C825)</f>
        <v>3</v>
      </c>
      <c r="E825" s="26">
        <f t="shared" ca="1" si="34"/>
        <v>1</v>
      </c>
      <c r="F825" s="26">
        <f ca="1">IF(D825=0,0,SUM($E$713:E825))</f>
        <v>3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SUMIFS(RAB!$F$14:$F$82,RAB!$C$14:$C$82,C826)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SUMIFS(RAB!$F$14:$F$82,RAB!$C$14:$C$82,C827)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SUMIFS(RAB!$F$14:$F$82,RAB!$C$14:$C$82,C828)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SUMIFS(RAB!$F$14:$F$82,RAB!$C$14:$C$82,C829)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SUMIFS(RAB!$F$14:$F$82,RAB!$C$14:$C$82,C830)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SUMIFS(RAB!$F$14:$F$82,RAB!$C$14:$C$82,C831)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SUMIFS(RAB!$F$14:$F$82,RAB!$C$14:$C$82,C832)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SUMIFS(RAB!$F$14:$F$82,RAB!$C$14:$C$82,C833)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SUMIFS(RAB!$F$14:$F$82,RAB!$C$14:$C$82,C834)</f>
        <v>74</v>
      </c>
      <c r="E834" s="26">
        <f t="shared" ca="1" si="34"/>
        <v>1</v>
      </c>
      <c r="F834" s="26">
        <f ca="1">IF(D834=0,0,SUM($E$713:E834))</f>
        <v>4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SUMIFS(RAB!$F$14:$F$82,RAB!$C$14:$C$82,C835)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SUMIFS(RAB!$F$14:$F$82,RAB!$C$14:$C$82,C836)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SUMIFS(RAB!$F$14:$F$82,RAB!$C$14:$C$82,C837)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SUMIFS(RAB!$F$14:$F$82,RAB!$C$14:$C$82,C838)</f>
        <v>65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SUMIFS(RAB!$F$14:$F$82,RAB!$C$14:$C$82,C839)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SUMIFS(RAB!$F$14:$F$82,RAB!$C$14:$C$82,C840)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SUMIFS(RAB!$F$14:$F$82,RAB!$C$14:$C$82,C841)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SUMIFS(RAB!$F$14:$F$82,RAB!$C$14:$C$82,C842)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SUMIFS(RAB!$F$14:$F$82,RAB!$C$14:$C$82,C843)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SUMIFS(RAB!$F$14:$F$82,RAB!$C$14:$C$82,C844)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SUMIFS(RAB!$F$14:$F$82,RAB!$C$14:$C$82,C845)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SUMIFS(RAB!$F$14:$F$82,RAB!$C$14:$C$82,C846)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SUMIFS(RAB!$F$14:$F$82,RAB!$C$14:$C$82,C847)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SUMIFS(RAB!$F$14:$F$82,RAB!$C$14:$C$82,C848)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SUMIFS(RAB!$F$14:$F$82,RAB!$C$14:$C$82,C849)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SUMIFS(RAB!$F$14:$F$82,RAB!$C$14:$C$82,C850)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SUMIFS(RAB!$F$14:$F$82,RAB!$C$14:$C$82,C851)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SUMIFS(RAB!$F$14:$F$82,RAB!$C$14:$C$82,C852)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SUMIFS(RAB!$F$14:$F$82,RAB!$C$14:$C$82,C853)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SUMIFS(RAB!$F$14:$F$82,RAB!$C$14:$C$82,C854)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SUMIFS(RAB!$F$14:$F$82,RAB!$C$14:$C$82,C855)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SUMIFS(RAB!$F$14:$F$82,RAB!$C$14:$C$82,C856)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SUMIFS(RAB!$F$14:$F$82,RAB!$C$14:$C$82,C857)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SUMIFS(RAB!$F$14:$F$82,RAB!$C$14:$C$82,C858)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SUMIFS(RAB!$F$14:$F$82,RAB!$C$14:$C$82,C859)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SUMIFS(RAB!$F$14:$F$82,RAB!$C$14:$C$82,C860)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SUMIFS(RAB!$F$14:$F$82,RAB!$C$14:$C$82,C861)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SUMIFS(RAB!$F$14:$F$82,RAB!$C$14:$C$82,C862)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SUMIFS(RAB!$F$14:$F$82,RAB!$C$14:$C$82,C863)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SUMIFS(RAB!$F$14:$F$82,RAB!$C$14:$C$82,C864)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SUMIFS(RAB!$F$14:$F$82,RAB!$C$14:$C$82,C865)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SUMIFS(RAB!$F$14:$F$82,RAB!$C$14:$C$82,C866)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SUMIFS(RAB!$F$14:$F$82,RAB!$C$14:$C$82,C867)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SUMIFS(RAB!$F$14:$F$82,RAB!$C$14:$C$82,C868)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SUMIFS(RAB!$F$14:$F$82,RAB!$C$14:$C$82,C869)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SUMIFS(RAB!$F$14:$F$82,RAB!$C$14:$C$82,C870)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SUMIFS(RAB!$F$14:$F$82,RAB!$C$14:$C$82,C871)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SUMIFS(RAB!$F$14:$F$82,RAB!$C$14:$C$82,C872)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SUMIFS(RAB!$F$14:$F$82,RAB!$C$14:$C$82,C873)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SUMIFS(RAB!$F$14:$F$82,RAB!$C$14:$C$82,C874)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SUMIFS(RAB!$F$14:$F$82,RAB!$C$14:$C$82,C875)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SUMIFS(RAB!$F$14:$F$82,RAB!$C$14:$C$82,C876)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SUMIFS(RAB!$F$14:$F$82,RAB!$C$14:$C$82,C877)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SUMIFS(RAB!$F$14:$F$82,RAB!$C$14:$C$82,C878)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SUMIFS(RAB!$F$14:$F$82,RAB!$C$14:$C$82,C879)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SUMIFS(RAB!$F$14:$F$82,RAB!$C$14:$C$82,C880)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SUMIFS(RAB!$F$14:$F$82,RAB!$C$14:$C$82,C881)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SUMIFS(RAB!$F$14:$F$82,RAB!$C$14:$C$82,C882)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SUMIFS(RAB!$F$14:$F$82,RAB!$C$14:$C$82,C883)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SUMIFS(RAB!$F$14:$F$82,RAB!$C$14:$C$82,C884)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SUMIFS(RAB!$F$14:$F$82,RAB!$C$14:$C$82,C885)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SUMIFS(RAB!$F$14:$F$82,RAB!$C$14:$C$82,C886)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SUMIFS(RAB!$F$14:$F$82,RAB!$C$14:$C$82,C887)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SUMIFS(RAB!$F$14:$F$82,RAB!$C$14:$C$82,C888)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SUMIFS(RAB!$F$14:$F$82,RAB!$C$14:$C$82,C889)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SUMIFS(RAB!$F$14:$F$82,RAB!$C$14:$C$82,C890)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SUMIFS(RAB!$F$14:$F$82,RAB!$C$14:$C$82,C891)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SUMIFS(RAB!$F$14:$F$82,RAB!$C$14:$C$82,C892)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SUMIFS(RAB!$F$14:$F$82,RAB!$C$14:$C$82,C893)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SUMIFS(RAB!$F$14:$F$82,RAB!$C$14:$C$82,C894)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SUMIFS(RAB!$F$14:$F$82,RAB!$C$14:$C$82,C895)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SUMIFS(RAB!$F$14:$F$82,RAB!$C$14:$C$82,C896)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SUMIFS(RAB!$F$14:$F$82,RAB!$C$14:$C$82,C897)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SUMIFS(RAB!$F$14:$F$82,RAB!$C$14:$C$82,C898)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SUMIFS(RAB!$F$14:$F$82,RAB!$C$14:$C$82,C899)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SUMIFS(RAB!$F$14:$F$82,RAB!$C$14:$C$82,C900)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SUMIFS(RAB!$F$14:$F$82,RAB!$C$14:$C$82,C901)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SUMIFS(RAB!$F$14:$F$82,RAB!$C$14:$C$82,C902)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SUMIFS(RAB!$F$14:$F$82,RAB!$C$14:$C$82,C903)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SUMIFS(RAB!$F$14:$F$82,RAB!$C$14:$C$82,C904)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SUMIFS(RAB!$F$14:$F$82,RAB!$C$14:$C$82,C905)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SUMIFS(RAB!$F$14:$F$82,RAB!$C$14:$C$82,C906)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SUMIFS(RAB!$F$14:$F$82,RAB!$C$14:$C$82,C907)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SUMIFS(RAB!$F$14:$F$82,RAB!$C$14:$C$82,C908)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SUMIFS(RAB!$F$14:$F$82,RAB!$C$14:$C$82,C909)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SUMIFS(RAB!$F$14:$F$82,RAB!$C$14:$C$82,C910)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SUMIFS(RAB!$F$14:$F$82,RAB!$C$14:$C$82,C911)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SUMIFS(RAB!$F$14:$F$82,RAB!$C$14:$C$82,C912)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SUMIFS(RAB!$F$14:$F$82,RAB!$C$14:$C$82,C913)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SUMIFS(RAB!$F$14:$F$82,RAB!$C$14:$C$82,C914)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SUMIFS(RAB!$F$14:$F$82,RAB!$C$14:$C$82,C915)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SUMIFS(RAB!$F$14:$F$82,RAB!$C$14:$C$82,C916)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SUMIFS(RAB!$F$14:$F$82,RAB!$C$14:$C$82,C917)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SUMIFS(RAB!$F$14:$F$82,RAB!$C$14:$C$82,C918)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SUMIFS(RAB!$F$14:$F$82,RAB!$C$14:$C$82,C919)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SUMIFS(RAB!$F$14:$F$82,RAB!$C$14:$C$82,C920)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SUMIFS(RAB!$F$14:$F$82,RAB!$C$14:$C$82,C921)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SUMIFS(RAB!$F$14:$F$82,RAB!$C$14:$C$82,C922)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SUMIFS(RAB!$F$14:$F$82,RAB!$C$14:$C$82,C923)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SUMIFS(RAB!$F$14:$F$82,RAB!$C$14:$C$82,C924)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SUMIFS(RAB!$F$14:$F$82,RAB!$C$14:$C$82,C925)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SUMIFS(RAB!$F$14:$F$82,RAB!$C$14:$C$82,C926)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SUMIFS(RAB!$F$14:$F$82,RAB!$C$14:$C$82,C927)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SUMIFS(RAB!$F$14:$F$82,RAB!$C$14:$C$82,C928)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SUMIFS(RAB!$F$14:$F$82,RAB!$C$14:$C$82,C929)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SUMIFS(RAB!$F$14:$F$82,RAB!$C$14:$C$82,C930)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SUMIFS(RAB!$F$14:$F$82,RAB!$C$14:$C$82,C931)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SUMIFS(RAB!$F$14:$F$82,RAB!$C$14:$C$82,C932)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SUMIFS(RAB!$F$14:$F$82,RAB!$C$14:$C$82,C933)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SUMIFS(RAB!$F$14:$F$82,RAB!$C$14:$C$82,C934)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SUMIFS(RAB!$F$14:$F$82,RAB!$C$14:$C$82,C935)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SUMIFS(RAB!$F$14:$F$82,RAB!$C$14:$C$82,C936)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SUMIFS(RAB!$F$14:$F$82,RAB!$C$14:$C$82,C937)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SUMIFS(RAB!$F$14:$F$82,RAB!$C$14:$C$82,C938)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SUMIFS(RAB!$F$14:$F$82,RAB!$C$14:$C$82,C939)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SUMIFS(RAB!$F$14:$F$82,RAB!$C$14:$C$82,C940)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SUMIFS(RAB!$F$14:$F$82,RAB!$C$14:$C$82,C941)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SUMIFS(RAB!$F$14:$F$82,RAB!$C$14:$C$82,C942)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SUMIFS(RAB!$F$14:$F$82,RAB!$C$14:$C$82,C943)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SUMIFS(RAB!$F$14:$F$82,RAB!$C$14:$C$82,C944)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SUMIFS(RAB!$F$14:$F$82,RAB!$C$14:$C$82,C945)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SUMIFS(RAB!$F$14:$F$82,RAB!$C$14:$C$82,C946)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SUMIFS(RAB!$F$14:$F$82,RAB!$C$14:$C$82,C947)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SUMIFS(RAB!$F$14:$F$82,RAB!$C$14:$C$82,C948)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SUMIFS(RAB!$F$14:$F$82,RAB!$C$14:$C$82,C949)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SUMIFS(RAB!$F$14:$F$82,RAB!$C$14:$C$82,C950)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SUMIFS(RAB!$F$14:$F$82,RAB!$C$14:$C$82,C951)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SUMIFS(RAB!$F$14:$F$82,RAB!$C$14:$C$82,C952)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SUMIFS(RAB!$F$14:$F$82,RAB!$C$14:$C$82,C953)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SUMIFS(RAB!$F$14:$F$82,RAB!$C$14:$C$82,C954)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SUMIFS(RAB!$F$14:$F$82,RAB!$C$14:$C$82,C955)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SUMIFS(RAB!$F$14:$F$82,RAB!$C$14:$C$82,C956)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SUMIFS(RAB!$F$14:$F$82,RAB!$C$14:$C$82,C957)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SUMIFS(RAB!$F$14:$F$82,RAB!$C$14:$C$82,C958)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SUMIFS(RAB!$F$14:$F$82,RAB!$C$14:$C$82,C959)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SUMIFS(RAB!$F$14:$F$82,RAB!$C$14:$C$82,C960)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SUMIFS(RAB!$F$14:$F$82,RAB!$C$14:$C$82,C961)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SUMIFS(RAB!$F$14:$F$82,RAB!$C$14:$C$82,C962)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SUMIFS(RAB!$F$14:$F$82,RAB!$C$14:$C$82,C963)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SUMIFS(RAB!$F$14:$F$82,RAB!$C$14:$C$82,C964)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SUMIFS(RAB!$F$14:$F$82,RAB!$C$14:$C$82,C965)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SUMIFS(RAB!$F$14:$F$82,RAB!$C$14:$C$82,C966)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SUMIFS(RAB!$F$14:$F$82,RAB!$C$14:$C$82,C967)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SUMIFS(RAB!$F$14:$F$82,RAB!$C$14:$C$82,C968)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SUMIFS(RAB!$F$14:$F$82,RAB!$C$14:$C$82,C969)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SUMIFS(RAB!$F$14:$F$82,RAB!$C$14:$C$82,C970)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SUMIFS(RAB!$F$14:$F$82,RAB!$C$14:$C$82,C971)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SUMIFS(RAB!$F$14:$F$82,RAB!$C$14:$C$82,C972)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SUMIFS(RAB!$F$14:$F$82,RAB!$C$14:$C$82,C973)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SUMIFS(RAB!$F$14:$F$82,RAB!$C$14:$C$82,C974)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SUMIFS(RAB!$F$14:$F$82,RAB!$C$14:$C$82,C975)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SUMIFS(RAB!$F$14:$F$82,RAB!$C$14:$C$82,C976)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SUMIFS(RAB!$F$14:$F$82,RAB!$C$14:$C$82,C977)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SUMIFS(RAB!$F$14:$F$82,RAB!$C$14:$C$82,C978)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SUMIFS(RAB!$F$14:$F$82,RAB!$C$14:$C$82,C979)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SUMIFS(RAB!$F$14:$F$82,RAB!$C$14:$C$82,C980)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SUMIFS(RAB!$F$14:$F$82,RAB!$C$14:$C$82,C981)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SUMIFS(RAB!$F$14:$F$82,RAB!$C$14:$C$82,C982)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SUMIFS(RAB!$F$14:$F$82,RAB!$C$14:$C$82,C983)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SUMIFS(RAB!$F$14:$F$82,RAB!$C$14:$C$82,C984)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SUMIFS(RAB!$F$14:$F$82,RAB!$C$14:$C$82,C985)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SUMIFS(RAB!$F$14:$F$82,RAB!$C$14:$C$82,C986)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SUMIFS(RAB!$F$14:$F$82,RAB!$C$14:$C$82,C987)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SUMIFS(RAB!$F$14:$F$82,RAB!$C$14:$C$82,C988)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SUMIFS(RAB!$F$14:$F$82,RAB!$C$14:$C$82,C989)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SUMIFS(RAB!$F$14:$F$82,RAB!$C$14:$C$82,C990)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SUMIFS(RAB!$F$14:$F$82,RAB!$C$14:$C$82,C991)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SUMIFS(RAB!$F$14:$F$82,RAB!$C$14:$C$82,C992)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SUMIFS(RAB!$F$14:$F$82,RAB!$C$14:$C$82,C993)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SUMIFS(RAB!$F$14:$F$82,RAB!$C$14:$C$82,C994)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SUMIFS(RAB!$F$14:$F$82,RAB!$C$14:$C$82,C995)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SUMIFS(RAB!$F$14:$F$82,RAB!$C$14:$C$82,C996)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SUMIFS(RAB!$F$14:$F$82,RAB!$C$14:$C$82,C997)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SUMIFS(RAB!$F$14:$F$82,RAB!$C$14:$C$82,C998)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SUMIFS(RAB!$F$14:$F$82,RAB!$C$14:$C$82,C999)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SUMIFS(RAB!$F$14:$F$82,RAB!$C$14:$C$82,C1000)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SUMIFS(RAB!$F$14:$F$82,RAB!$C$14:$C$82,C1001)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SUMIFS(RAB!$F$14:$F$82,RAB!$C$14:$C$82,C1002)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SUMIFS(RAB!$F$14:$F$82,RAB!$C$14:$C$82,C1003)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SUMIFS(RAB!$F$14:$F$82,RAB!$C$14:$C$82,C1004)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SUMIFS(RAB!$F$14:$F$82,RAB!$C$14:$C$82,C1005)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SUMIFS(RAB!$F$14:$F$82,RAB!$C$14:$C$82,C1006)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SUMIFS(RAB!$F$14:$F$82,RAB!$C$14:$C$82,C1007)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SUMIFS(RAB!$F$14:$F$82,RAB!$C$14:$C$82,C1008)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SUMIFS(RAB!$F$14:$F$82,RAB!$C$14:$C$82,C1009)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SUMIFS(RAB!$F$14:$F$82,RAB!$C$14:$C$82,C1010)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SUMIFS(RAB!$F$14:$F$82,RAB!$C$14:$C$82,C1011)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SUMIFS(RAB!$F$14:$F$82,RAB!$C$14:$C$82,C1012)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SUMIFS(RAB!$F$14:$F$82,RAB!$C$14:$C$82,C1013)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SUMIFS(RAB!$F$14:$F$82,RAB!$C$14:$C$82,C1014)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SUMIFS(RAB!$F$14:$F$82,RAB!$C$14:$C$82,C1015)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SUMIFS(RAB!$F$14:$F$82,RAB!$C$14:$C$82,C1016)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SUMIFS(RAB!$F$14:$F$82,RAB!$C$14:$C$82,C1017)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SUMIFS(RAB!$F$14:$F$82,RAB!$C$14:$C$82,C1018)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SUMIFS(RAB!$F$14:$F$82,RAB!$C$14:$C$82,C1019)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SUMIFS(RAB!$F$14:$F$82,RAB!$C$14:$C$82,C1020)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SUMIFS(RAB!$F$14:$F$82,RAB!$C$14:$C$82,C1021)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SUMIFS(RAB!$F$14:$F$82,RAB!$C$14:$C$82,C1022)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SUMIFS(RAB!$F$14:$F$82,RAB!$C$14:$C$82,C1023)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SUMIFS(RAB!$F$14:$F$82,RAB!$C$14:$C$82,C1024)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SUMIFS(RAB!$F$14:$F$82,RAB!$C$14:$C$82,C1025)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SUMIFS(RAB!$F$14:$F$82,RAB!$C$14:$C$82,C1026)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SUMIFS(RAB!$F$14:$F$82,RAB!$C$14:$C$82,C1027)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SUMIFS(RAB!$F$14:$F$82,RAB!$C$14:$C$82,C1028)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SUMIFS(RAB!$F$14:$F$82,RAB!$C$14:$C$82,C1029)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SUMIFS(RAB!$F$14:$F$82,RAB!$C$14:$C$82,C1030)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SUMIFS(RAB!$F$14:$F$82,RAB!$C$14:$C$82,C1031)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SUMIFS(RAB!$F$14:$F$82,RAB!$C$14:$C$82,C1032)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SUMIFS(RAB!$F$14:$F$82,RAB!$C$14:$C$82,C1033)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SUMIFS(RAB!$F$14:$F$82,RAB!$C$14:$C$82,C1034)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SUMIFS(RAB!$F$14:$F$82,RAB!$C$14:$C$82,C1035)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SUMIFS(RAB!$F$14:$F$82,RAB!$C$14:$C$82,C1036)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SUMIFS(RAB!$F$14:$F$82,RAB!$C$14:$C$82,C1037)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SUMIFS(RAB!$F$14:$F$82,RAB!$C$14:$C$82,C1038)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SUMIFS(RAB!$F$14:$F$82,RAB!$C$14:$C$82,C1039)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SUMIFS(RAB!$F$14:$F$82,RAB!$C$14:$C$82,C1040)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SUMIFS(RAB!$F$14:$F$82,RAB!$C$14:$C$82,C1041)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SUMIFS(RAB!$F$14:$F$82,RAB!$C$14:$C$82,C1042)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SUMIFS(RAB!$F$14:$F$82,RAB!$C$14:$C$82,C1043)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SUMIFS(RAB!$F$14:$F$82,RAB!$C$14:$C$82,C1044)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SUMIFS(RAB!$F$14:$F$82,RAB!$C$14:$C$82,C1045)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SUMIFS(RAB!$F$14:$F$82,RAB!$C$14:$C$82,C1046)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SUMIFS(RAB!$F$14:$F$82,RAB!$C$14:$C$82,C1047)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SUMIFS(RAB!$F$14:$F$82,RAB!$C$14:$C$82,C1048)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SUMIFS(RAB!$F$14:$F$82,RAB!$C$14:$C$82,C1049)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SUMIFS(RAB!$F$14:$F$82,RAB!$C$14:$C$82,C1050)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SUMIFS(RAB!$F$14:$F$82,RAB!$C$14:$C$82,C1051)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SUMIFS(RAB!$F$14:$F$82,RAB!$C$14:$C$82,C1052)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SUMIFS(RAB!$F$14:$F$82,RAB!$C$14:$C$82,C1053)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SUMIFS(RAB!$F$14:$F$82,RAB!$C$14:$C$82,C1054)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SUMIFS(RAB!$F$14:$F$82,RAB!$C$14:$C$82,C1055)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SUMIFS(RAB!$F$14:$F$82,RAB!$C$14:$C$82,C1056)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SUMIFS(RAB!$F$14:$F$82,RAB!$C$14:$C$82,C1057)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SUMIFS(RAB!$F$14:$F$82,RAB!$C$14:$C$82,C1058)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SUMIFS(RAB!$F$14:$F$82,RAB!$C$14:$C$82,C1059)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SUMIFS(RAB!$F$14:$F$82,RAB!$C$14:$C$82,C1060)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SUMIFS(RAB!$F$14:$F$82,RAB!$C$14:$C$82,C1061)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SUMIFS(RAB!$F$14:$F$82,RAB!$C$14:$C$82,C1062)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SUMIFS(RAB!$F$14:$F$82,RAB!$C$14:$C$82,C1063)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SUMIFS(RAB!$F$14:$F$82,RAB!$C$14:$C$82,C1064)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SUMIFS(RAB!$F$14:$F$82,RAB!$C$14:$C$82,C1065)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SUMIFS(RAB!$F$14:$F$82,RAB!$C$14:$C$82,C1066)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SUMIFS(RAB!$F$14:$F$82,RAB!$C$14:$C$82,C1067)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SUMIFS(RAB!$F$14:$F$82,RAB!$C$14:$C$82,C1068)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SUMIFS(RAB!$F$14:$F$82,RAB!$C$14:$C$82,C1069)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SUMIFS(RAB!$F$14:$F$82,RAB!$C$14:$C$82,C1070)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SUMIFS(RAB!$F$14:$F$82,RAB!$C$14:$C$82,C1071)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SUMIFS(RAB!$F$14:$F$82,RAB!$C$14:$C$82,C1072)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SUMIFS(RAB!$F$14:$F$82,RAB!$C$14:$C$82,C1073)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SUMIFS(RAB!$F$14:$F$82,RAB!$C$14:$C$82,C1074)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SUMIFS(RAB!$F$14:$F$82,RAB!$C$14:$C$82,C1075)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SUMIFS(RAB!$F$14:$F$82,RAB!$C$14:$C$82,C1076)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SUMIFS(RAB!$F$14:$F$82,RAB!$C$14:$C$82,C1077)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SUMIFS(RAB!$F$14:$F$82,RAB!$C$14:$C$82,C1078)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SUMIFS(RAB!$F$14:$F$82,RAB!$C$14:$C$82,C1079)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SUMIFS(RAB!$F$14:$F$82,RAB!$C$14:$C$82,C1080)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SUMIFS(RAB!$F$14:$F$82,RAB!$C$14:$C$82,C1081)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SUMIFS(RAB!$F$14:$F$82,RAB!$C$14:$C$82,C1082)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SUMIFS(RAB!$F$14:$F$82,RAB!$C$14:$C$82,C1083)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SUMIFS(RAB!$F$14:$F$82,RAB!$C$14:$C$82,C1084)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SUMIFS(RAB!$F$14:$F$82,RAB!$C$14:$C$82,C1085)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SUMIFS(RAB!$F$14:$F$82,RAB!$C$14:$C$82,C1086)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SUMIFS(RAB!$F$14:$F$82,RAB!$C$14:$C$82,C1087)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SUMIFS(RAB!$F$14:$F$82,RAB!$C$14:$C$82,C1088)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SUMIFS(RAB!$F$14:$F$82,RAB!$C$14:$C$82,C1089)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SUMIFS(RAB!$F$14:$F$82,RAB!$C$14:$C$82,C1090)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SUMIFS(RAB!$F$14:$F$82,RAB!$C$14:$C$82,C1091)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SUMIFS(RAB!$F$14:$F$82,RAB!$C$14:$C$82,C1092)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SUMIFS(RAB!$F$14:$F$82,RAB!$C$14:$C$82,C1093)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SUMIFS(RAB!$F$14:$F$82,RAB!$C$14:$C$82,C1094)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SUMIFS(RAB!$F$14:$F$82,RAB!$C$14:$C$82,C1095)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SUMIFS(RAB!$F$14:$F$82,RAB!$C$14:$C$82,C1096)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SUMIFS(RAB!$F$14:$F$82,RAB!$C$14:$C$82,C1097)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SUMIFS(RAB!$F$14:$F$82,RAB!$C$14:$C$82,C1098)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SUMIFS(RAB!$F$14:$F$82,RAB!$C$14:$C$82,C1099)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SUMIFS(RAB!$F$14:$F$82,RAB!$C$14:$C$82,C1100)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SUMIFS(RAB!$F$14:$F$82,RAB!$C$14:$C$82,C1101)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SUMIFS(RAB!$F$14:$F$82,RAB!$C$14:$C$82,C1102)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SUMIFS(RAB!$F$14:$F$82,RAB!$C$14:$C$82,C1103)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SUMIFS(RAB!$F$14:$F$82,RAB!$C$14:$C$82,C1104)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SUMIFS(RAB!$F$14:$F$82,RAB!$C$14:$C$82,C1105)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SUMIFS(RAB!$F$14:$F$82,RAB!$C$14:$C$82,C1106)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SUMIFS(RAB!$F$14:$F$82,RAB!$C$14:$C$82,C1107)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SUMIFS(RAB!$F$14:$F$82,RAB!$C$14:$C$82,C1108)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SUMIFS(RAB!$F$14:$F$82,RAB!$C$14:$C$82,C1109)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SUMIFS(RAB!$F$14:$F$82,RAB!$C$14:$C$82,C1110)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SUMIFS(RAB!$F$14:$F$82,RAB!$C$14:$C$82,C1111)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SUMIFS(RAB!$F$14:$F$82,RAB!$C$14:$C$82,C1112)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SUMIFS(RAB!$F$14:$F$82,RAB!$C$14:$C$82,C1113)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SUMIFS(RAB!$F$14:$F$82,RAB!$C$14:$C$82,C1114)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SUMIFS(RAB!$F$14:$F$82,RAB!$C$14:$C$82,C1115)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SUMIFS(RAB!$F$14:$F$82,RAB!$C$14:$C$82,C1116)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SUMIFS(RAB!$F$14:$F$82,RAB!$C$14:$C$82,C1117)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SUMIFS(RAB!$F$14:$F$82,RAB!$C$14:$C$82,C1118)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SUMIFS(RAB!$F$14:$F$82,RAB!$C$14:$C$82,C1119)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SUMIFS(RAB!$F$14:$F$82,RAB!$C$14:$C$82,C1120)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SUMIFS(RAB!$F$14:$F$82,RAB!$C$14:$C$82,C1121)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SUMIFS(RAB!$F$14:$F$82,RAB!$C$14:$C$82,C1122)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SUMIFS(RAB!$F$14:$F$82,RAB!$C$14:$C$82,C1123)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SUMIFS(RAB!$F$14:$F$82,RAB!$C$14:$C$82,C1124)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SUMIFS(RAB!$F$14:$F$82,RAB!$C$14:$C$82,C1125)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SUMIFS(RAB!$F$14:$F$82,RAB!$C$14:$C$82,C1126)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SUMIFS(RAB!$F$14:$F$82,RAB!$C$14:$C$82,C1127)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SUMIFS(RAB!$F$14:$F$82,RAB!$C$14:$C$82,C1128)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SUMIFS(RAB!$F$14:$F$82,RAB!$C$14:$C$82,C1129)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SUMIFS(RAB!$F$14:$F$82,RAB!$C$14:$C$82,C1130)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SUMIFS(RAB!$F$14:$F$82,RAB!$C$14:$C$82,C1131)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SUMIFS(RAB!$F$14:$F$82,RAB!$C$14:$C$82,C1132)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SUMIFS(RAB!$F$14:$F$82,RAB!$C$14:$C$82,C1133)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SUMIFS(RAB!$F$14:$F$82,RAB!$C$14:$C$82,C1134)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SUMIFS(RAB!$F$14:$F$82,RAB!$C$14:$C$82,C1135)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SUMIFS(RAB!$F$14:$F$82,RAB!$C$14:$C$82,C1136)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SUMIFS(RAB!$F$14:$F$82,RAB!$C$14:$C$82,C1137)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SUMIFS(RAB!$F$14:$F$82,RAB!$C$14:$C$82,C1138)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SUMIFS(RAB!$F$14:$F$82,RAB!$C$14:$C$82,C1139)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SUMIFS(RAB!$F$14:$F$82,RAB!$C$14:$C$82,C1140)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SUMIFS(RAB!$F$14:$F$82,RAB!$C$14:$C$82,C1141)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SUMIFS(RAB!$F$14:$F$82,RAB!$C$14:$C$82,C1142)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SUMIFS(RAB!$F$14:$F$82,RAB!$C$14:$C$82,C1143)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SUMIFS(RAB!$F$14:$F$82,RAB!$C$14:$C$82,C1144)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SUMIFS(RAB!$F$14:$F$82,RAB!$C$14:$C$82,C1145)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SUMIFS(RAB!$F$14:$F$82,RAB!$C$14:$C$82,C1146)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SUMIFS(RAB!$F$14:$F$82,RAB!$C$14:$C$82,C1147)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SUMIFS(RAB!$F$14:$F$82,RAB!$C$14:$C$82,C1148)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SUMIFS(RAB!$F$14:$F$82,RAB!$C$14:$C$82,C1149)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SUMIFS(RAB!$F$14:$F$82,RAB!$C$14:$C$82,C1150)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SUMIFS(RAB!$F$14:$F$82,RAB!$C$14:$C$82,C1151)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SUMIFS(RAB!$F$14:$F$82,RAB!$C$14:$C$82,C1152)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SUMIFS(RAB!$F$14:$F$82,RAB!$C$14:$C$82,C1153)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SUMIFS(RAB!$F$14:$F$82,RAB!$C$14:$C$82,C1154)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SUMIFS(RAB!$F$14:$F$82,RAB!$C$14:$C$82,C1155)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SUMIFS(RAB!$F$14:$F$82,RAB!$C$14:$C$82,C1156)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SUMIFS(RAB!$F$14:$F$82,RAB!$C$14:$C$82,C1157)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SUMIFS(RAB!$F$14:$F$82,RAB!$C$14:$C$82,C1158)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SUMIFS(RAB!$F$14:$F$82,RAB!$C$14:$C$82,C1159)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SUMIFS(RAB!$F$14:$F$82,RAB!$C$14:$C$82,C1160)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SUMIFS(RAB!$F$14:$F$82,RAB!$C$14:$C$82,C1161)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SUMIFS(RAB!$F$14:$F$82,RAB!$C$14:$C$82,C1162)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SUMIFS(RAB!$F$14:$F$82,RAB!$C$14:$C$82,C1163)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SUMIFS(RAB!$F$14:$F$82,RAB!$C$14:$C$82,C1164)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SUMIFS(RAB!$F$14:$F$82,RAB!$C$14:$C$82,C1165)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SUMIFS(RAB!$F$14:$F$82,RAB!$C$14:$C$82,C1166)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SUMIFS(RAB!$F$14:$F$82,RAB!$C$14:$C$82,C1167)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SUMIFS(RAB!$F$14:$F$82,RAB!$C$14:$C$82,C1168)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SUMIFS(RAB!$F$14:$F$82,RAB!$C$14:$C$82,C1169)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SUMIFS(RAB!$F$14:$F$82,RAB!$C$14:$C$82,C1170)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SUMIFS(RAB!$F$14:$F$82,RAB!$C$14:$C$82,C1171)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SUMIFS(RAB!$F$14:$F$82,RAB!$C$14:$C$82,C1172)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SUMIFS(RAB!$F$14:$F$82,RAB!$C$14:$C$82,C1173)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SUMIFS(RAB!$F$14:$F$82,RAB!$C$14:$C$82,C1174)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SUMIFS(RAB!$F$14:$F$82,RAB!$C$14:$C$82,C1175)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SUMIFS(RAB!$F$14:$F$82,RAB!$C$14:$C$82,C1176)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SUMIFS(RAB!$F$14:$F$82,RAB!$C$14:$C$82,C1177)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SUMIFS(RAB!$F$14:$F$82,RAB!$C$14:$C$82,C1178)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SUMIFS(RAB!$F$14:$F$82,RAB!$C$14:$C$82,C1179)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SUMIFS(RAB!$F$14:$F$82,RAB!$C$14:$C$82,C1180)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SUMIFS(RAB!$F$14:$F$82,RAB!$C$14:$C$82,C1181)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SUMIFS(RAB!$F$14:$F$82,RAB!$C$14:$C$82,C1182)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SUMIFS(RAB!$F$14:$F$82,RAB!$C$14:$C$82,C1183)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SUMIFS(RAB!$F$14:$F$82,RAB!$C$14:$C$82,C1184)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SUMIFS(RAB!$F$14:$F$82,RAB!$C$14:$C$82,C1185)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SUMIFS(RAB!$F$14:$F$82,RAB!$C$14:$C$82,C1186)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SUMIFS(RAB!$F$14:$F$82,RAB!$C$14:$C$82,C1187)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SUMIFS(RAB!$F$14:$F$82,RAB!$C$14:$C$82,C1188)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SUMIFS(RAB!$F$14:$F$82,RAB!$C$14:$C$82,C1189)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SUMIFS(RAB!$F$14:$F$82,RAB!$C$14:$C$82,C1190)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SUMIFS(RAB!$F$14:$F$82,RAB!$C$14:$C$82,C1191)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SUMIFS(RAB!$F$14:$F$82,RAB!$C$14:$C$82,C1192)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SUMIFS(RAB!$F$14:$F$82,RAB!$C$14:$C$82,C1193)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SUMIFS(RAB!$F$14:$F$82,RAB!$C$14:$C$82,C1194)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SUMIFS(RAB!$F$14:$F$82,RAB!$C$14:$C$82,C1195)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SUMIFS(RAB!$F$14:$F$82,RAB!$C$14:$C$82,C1196)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SUMIFS(RAB!$F$14:$F$82,RAB!$C$14:$C$82,C1197)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SUMIFS(RAB!$F$14:$F$82,RAB!$C$14:$C$82,C1198)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SUMIFS(RAB!$F$14:$F$82,RAB!$C$14:$C$82,C1199)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SUMIFS(RAB!$F$14:$F$82,RAB!$C$14:$C$82,C1200)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SUMIFS(RAB!$F$14:$F$82,RAB!$C$14:$C$82,C1201)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SUMIFS(RAB!$F$14:$F$82,RAB!$C$14:$C$82,C1202)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SUMIFS(RAB!$F$14:$F$82,RAB!$C$14:$C$82,C1203)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SUMIFS(RAB!$F$14:$F$82,RAB!$C$14:$C$82,C1204)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SUMIFS(RAB!$F$14:$F$82,RAB!$C$14:$C$82,C1205)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SUMIFS(RAB!$F$14:$F$82,RAB!$C$14:$C$82,C1206)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SUMIFS(RAB!$F$14:$F$82,RAB!$C$14:$C$82,C1207)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SUMIFS(RAB!$F$14:$F$82,RAB!$C$14:$C$82,C1208)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SUMIFS(RAB!$F$14:$F$82,RAB!$C$14:$C$82,C1209)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SUMIFS(RAB!$F$14:$F$82,RAB!$C$14:$C$82,C1210)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SUMIFS(RAB!$F$14:$F$82,RAB!$C$14:$C$82,C1211)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SUMIFS(RAB!$F$14:$F$82,RAB!$C$14:$C$82,C1212)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SUMIFS(RAB!$F$14:$F$82,RAB!$C$14:$C$82,C1213)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SUMIFS(RAB!$F$14:$F$82,RAB!$C$14:$C$82,C1214)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SUMIFS(RAB!$F$14:$F$82,RAB!$C$14:$C$82,C1215)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SUMIFS(RAB!$F$14:$F$82,RAB!$C$14:$C$82,C1216)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SUMIFS(RAB!$F$14:$F$82,RAB!$C$14:$C$82,C1217)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SUMIFS(RAB!$F$14:$F$82,RAB!$C$14:$C$82,C1218)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SUMIFS(RAB!$F$14:$F$82,RAB!$C$14:$C$82,C1219)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SUMIFS(RAB!$F$14:$F$82,RAB!$C$14:$C$82,C1220)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SUMIFS(RAB!$F$14:$F$82,RAB!$C$14:$C$82,C1221)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SUMIFS(RAB!$F$14:$F$82,RAB!$C$14:$C$82,C1222)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SUMIFS(RAB!$F$14:$F$82,RAB!$C$14:$C$82,C1223)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SUMIFS(RAB!$F$14:$F$82,RAB!$C$14:$C$82,C1224)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SUMIFS(RAB!$F$14:$F$82,RAB!$C$14:$C$82,C1225)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SUMIFS(RAB!$F$14:$F$82,RAB!$C$14:$C$82,C1226)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SUMIFS(RAB!$F$14:$F$82,RAB!$C$14:$C$82,C1227)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SUMIFS(RAB!$F$14:$F$82,RAB!$C$14:$C$82,C1228)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SUMIFS(RAB!$F$14:$F$82,RAB!$C$14:$C$82,C1229)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SUMIFS(RAB!$F$14:$F$82,RAB!$C$14:$C$82,C1230)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SUMIFS(RAB!$F$14:$F$82,RAB!$C$14:$C$82,C1231)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SUMIFS(RAB!$F$14:$F$82,RAB!$C$14:$C$82,C1232)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SUMIFS(RAB!$F$14:$F$82,RAB!$C$14:$C$82,C1233)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SUMIFS(RAB!$F$14:$F$82,RAB!$C$14:$C$82,C1234)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SUMIFS(RAB!$F$14:$F$82,RAB!$C$14:$C$82,C1235)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SUMIFS(RAB!$F$14:$F$82,RAB!$C$14:$C$82,C1236)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SUMIFS(RAB!$F$14:$F$82,RAB!$C$14:$C$82,C1237)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SUMIFS(RAB!$F$14:$F$82,RAB!$C$14:$C$82,C1238)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SUMIFS(RAB!$F$14:$F$82,RAB!$C$14:$C$82,C1239)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SUMIFS(RAB!$F$14:$F$82,RAB!$C$14:$C$82,C1240)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SUMIFS(RAB!$F$14:$F$82,RAB!$C$14:$C$82,C1241)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SUMIFS(RAB!$F$14:$F$82,RAB!$C$14:$C$82,C1242)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SUMIFS(RAB!$F$14:$F$82,RAB!$C$14:$C$82,C1243)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SUMIFS(RAB!$F$14:$F$82,RAB!$C$14:$C$82,C1244)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SUMIFS(RAB!$F$14:$F$82,RAB!$C$14:$C$82,C1245)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SUMIFS(RAB!$F$14:$F$82,RAB!$C$14:$C$82,C1246)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SUMIFS(RAB!$F$14:$F$82,RAB!$C$14:$C$82,C1247)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SUMIFS(RAB!$F$14:$F$82,RAB!$C$14:$C$82,C1248)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SUMIFS(RAB!$F$14:$F$82,RAB!$C$14:$C$82,C1249)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SUMIFS(RAB!$F$14:$F$82,RAB!$C$14:$C$82,C1250)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SUMIFS(RAB!$F$14:$F$82,RAB!$C$14:$C$82,C1251)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SUMIFS(RAB!$F$14:$F$82,RAB!$C$14:$C$82,C1252)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SUMIFS(RAB!$F$14:$F$82,RAB!$C$14:$C$82,C1253)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SUMIFS(RAB!$F$14:$F$82,RAB!$C$14:$C$82,C1254)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SUMIFS(RAB!$F$14:$F$82,RAB!$C$14:$C$82,C1255)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SUMIFS(RAB!$F$14:$F$82,RAB!$C$14:$C$82,C1256)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SUMIFS(RAB!$F$14:$F$82,RAB!$C$14:$C$82,C1257)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SUMIFS(RAB!$F$14:$F$82,RAB!$C$14:$C$82,C1258)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SUMIFS(RAB!$F$14:$F$82,RAB!$C$14:$C$82,C1259)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SUMIFS(RAB!$F$14:$F$82,RAB!$C$14:$C$82,C1260)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SUMIFS(RAB!$F$14:$F$82,RAB!$C$14:$C$82,C1261)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SUMIFS(RAB!$F$14:$F$82,RAB!$C$14:$C$82,C1262)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SUMIFS(RAB!$F$14:$F$82,RAB!$C$14:$C$82,C1263)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SUMIFS(RAB!$F$14:$F$82,RAB!$C$14:$C$82,C1264)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SUMIFS(RAB!$F$14:$F$82,RAB!$C$14:$C$82,C1265)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SUMIFS(RAB!$F$14:$F$82,RAB!$C$14:$C$82,C1266)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SUMIFS(RAB!$F$14:$F$82,RAB!$C$14:$C$82,C1267)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SUMIFS(RAB!$F$14:$F$82,RAB!$C$14:$C$82,C1268)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SUMIFS(RAB!$F$14:$F$82,RAB!$C$14:$C$82,C1269)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SUMIFS(RAB!$F$14:$F$82,RAB!$C$14:$C$82,C1270)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SUMIFS(RAB!$F$14:$F$82,RAB!$C$14:$C$82,C1271)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SUMIFS(RAB!$F$14:$F$82,RAB!$C$14:$C$82,C1272)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SUMIFS(RAB!$F$14:$F$82,RAB!$C$14:$C$82,C1273)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SUMIFS(RAB!$F$14:$F$82,RAB!$C$14:$C$82,C1274)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SUMIFS(RAB!$F$14:$F$82,RAB!$C$14:$C$82,C1275)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SUMIFS(RAB!$F$14:$F$82,RAB!$C$14:$C$82,C1276)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SUMIFS(RAB!$F$14:$F$82,RAB!$C$14:$C$82,C1277)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SUMIFS(RAB!$F$14:$F$82,RAB!$C$14:$C$82,C1278)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SUMIFS(RAB!$F$14:$F$82,RAB!$C$14:$C$82,C1279)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SUMIFS(RAB!$F$14:$F$82,RAB!$C$14:$C$82,C1280)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SUMIFS(RAB!$F$14:$F$82,RAB!$C$14:$C$82,C1281)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SUMIFS(RAB!$F$14:$F$82,RAB!$C$14:$C$82,C1282)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SUMIFS(RAB!$F$14:$F$82,RAB!$C$14:$C$82,C1283)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SUMIFS(RAB!$F$14:$F$82,RAB!$C$14:$C$82,C1284)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SUMIFS(RAB!$F$14:$F$82,RAB!$C$14:$C$82,C1285)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SUMIFS(RAB!$F$14:$F$82,RAB!$C$14:$C$82,C1286)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SUMIFS(RAB!$F$14:$F$82,RAB!$C$14:$C$82,C1287)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SUMIFS(RAB!$F$14:$F$82,RAB!$C$14:$C$82,C1288)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SUMIFS(RAB!$F$14:$F$82,RAB!$C$14:$C$82,C1289)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SUMIFS(RAB!$F$14:$F$82,RAB!$C$14:$C$82,C1290)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SUMIFS(RAB!$F$14:$F$82,RAB!$C$14:$C$82,C1291)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SUMIFS(RAB!$F$14:$F$82,RAB!$C$14:$C$82,C1292)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SUMIFS(RAB!$F$14:$F$82,RAB!$C$14:$C$82,C1293)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SUMIFS(RAB!$F$14:$F$82,RAB!$C$14:$C$82,C1294)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SUMIFS(RAB!$F$14:$F$82,RAB!$C$14:$C$82,C1295)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SUMIFS(RAB!$F$14:$F$82,RAB!$C$14:$C$82,C1296)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SUMIFS(RAB!$F$14:$F$82,RAB!$C$14:$C$82,C1297)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SUMIFS(RAB!$F$14:$F$82,RAB!$C$14:$C$82,C1298)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SUMIFS(RAB!$F$14:$F$82,RAB!$C$14:$C$82,C1299)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SUMIFS(RAB!$F$14:$F$82,RAB!$C$14:$C$82,C1300)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SUMIFS(RAB!$F$14:$F$82,RAB!$C$14:$C$82,C1301)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SUMIFS(RAB!$F$14:$F$82,RAB!$C$14:$C$82,C1302)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SUMIFS(RAB!$F$14:$F$82,RAB!$C$14:$C$82,C1303)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SUMIFS(RAB!$F$14:$F$82,RAB!$C$14:$C$82,C1304)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SUMIFS(RAB!$F$14:$F$82,RAB!$C$14:$C$82,C1305)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SUMIFS(RAB!$F$14:$F$82,RAB!$C$14:$C$82,C1306)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SUMIFS(RAB!$F$14:$F$82,RAB!$C$14:$C$82,C1307)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SUMIFS(RAB!$F$14:$F$82,RAB!$C$14:$C$82,C1308)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SUMIFS(RAB!$F$14:$F$82,RAB!$C$14:$C$82,C1309)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SUMIFS(RAB!$F$14:$F$82,RAB!$C$14:$C$82,C1310)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SUMIFS(RAB!$F$14:$F$82,RAB!$C$14:$C$82,C1311)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SUMIFS(RAB!$F$14:$F$82,RAB!$C$14:$C$82,C1312)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SUMIFS(RAB!$F$14:$F$82,RAB!$C$14:$C$82,C1313)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SUMIFS(RAB!$F$14:$F$82,RAB!$C$14:$C$82,C1314)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SUMIFS(RAB!$F$14:$F$82,RAB!$C$14:$C$82,C1315)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SUMIFS(RAB!$F$14:$F$82,RAB!$C$14:$C$82,C1316)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SUMIFS(RAB!$F$14:$F$82,RAB!$C$14:$C$82,C1317)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SUMIFS(RAB!$F$14:$F$82,RAB!$C$14:$C$82,C1318)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SUMIFS(RAB!$F$14:$F$82,RAB!$C$14:$C$82,C1319)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SUMIFS(RAB!$F$14:$F$82,RAB!$C$14:$C$82,C1320)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1127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BUDIMAN TRI CAHYONO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PETALAN DS TAMBAKROTO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1008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15947800</v>
      </c>
      <c r="J38" s="55">
        <f ca="1">SUM(J14:J37)</f>
        <v>0</v>
      </c>
      <c r="K38" s="55">
        <f ca="1">SUM(K14:K37)</f>
        <v>15947800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462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1594780</v>
      </c>
      <c r="J39" s="60">
        <f ca="1">J38*0.1</f>
        <v>0</v>
      </c>
      <c r="K39" s="60">
        <f ca="1">K38*0.1</f>
        <v>1594780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7" t="s">
        <v>463</v>
      </c>
      <c r="D40" s="527"/>
      <c r="E40" s="527"/>
      <c r="F40" s="527"/>
      <c r="G40" s="61" t="s">
        <v>9</v>
      </c>
      <c r="H40" s="78">
        <f ca="1">SUM(H38:H39)</f>
        <v>0</v>
      </c>
      <c r="I40" s="78">
        <f ca="1">SUM(I38:I39)</f>
        <v>17542580</v>
      </c>
      <c r="J40" s="61">
        <f ca="1">SUM(J38:J39)</f>
        <v>0</v>
      </c>
      <c r="K40" s="61">
        <f ca="1">SUM(K38:K39)</f>
        <v>17542580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8"/>
      <c r="I45" s="528"/>
      <c r="J45" s="529"/>
      <c r="K45" s="52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8"/>
      <c r="I46" s="528"/>
      <c r="J46" s="529"/>
      <c r="K46" s="52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8"/>
      <c r="I47" s="528"/>
      <c r="J47" s="529"/>
      <c r="K47" s="52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8"/>
      <c r="I52" s="528"/>
      <c r="J52" s="529"/>
      <c r="K52" s="52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SUMIFS(RAB!$F$14:$F$82,RAB!$C$14:$C$82,'REKAP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SUMIFS(RAB!$F$14:$F$82,RAB!$C$14:$C$82,'REKAP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SUMIFS(RAB!$F$14:$F$82,RAB!$C$14:$C$82,'REKAP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SUMIFS(RAB!$F$14:$F$82,RAB!$C$14:$C$82,'REKAP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SUMIFS(RAB!$F$14:$F$82,RAB!$C$14:$C$82,'REKAP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SUMIFS(RAB!$F$14:$F$82,RAB!$C$14:$C$82,'REKAP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SUMIFS(RAB!$F$14:$F$82,RAB!$C$14:$C$82,'REKAP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SUMIFS(RAB!$F$14:$F$82,RAB!$C$14:$C$82,'REKAP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SUMIFS(RAB!$F$14:$F$82,RAB!$C$14:$C$82,'REKAP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SUMIFS(RAB!$F$14:$F$82,RAB!$C$14:$C$82,'REKAP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SUMIFS(RAB!$F$14:$F$82,RAB!$C$14:$C$82,'REKAP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SUMIFS(RAB!$F$14:$F$82,RAB!$C$14:$C$82,'REKAP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SUMIFS(RAB!$F$14:$F$82,RAB!$C$14:$C$82,'REKAP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SUMIFS(RAB!$F$14:$F$82,RAB!$C$14:$C$82,'REKAP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SUMIFS(RAB!$F$14:$F$82,RAB!$C$14:$C$82,'REKAP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SUMIFS(RAB!$F$14:$F$82,RAB!$C$14:$C$82,'REKAP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SUMIFS(RAB!$F$14:$F$82,RAB!$C$14:$C$82,'REKAP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SUMIFS(RAB!$F$14:$F$82,RAB!$C$14:$C$82,'REKAP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SUMIFS(RAB!$F$14:$F$82,RAB!$C$14:$C$82,'REKAP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SUMIFS(RAB!$F$14:$F$82,RAB!$C$14:$C$82,'REKAP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1034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BUDIMAN TRI CAHYONO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PETALAN DS TAMBAKROTO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Isolator Tumpu ( Line Post ) 20 KV Polymer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3</v>
      </c>
      <c r="G18" s="41">
        <f ca="1">IF(ISERROR(OFFSET('HARGA SATUAN'!$I$6,MATCH(C18,'HARGA SATUAN'!$C$7:$C$1492,0),0)),"",OFFSET('HARGA SATUAN'!$I$6,MATCH(C18,'HARGA SATUAN'!$C$7:$C$1492,0),0))</f>
        <v>176900</v>
      </c>
      <c r="H18" s="42">
        <f t="shared" ca="1" si="1"/>
        <v>530700</v>
      </c>
      <c r="I18" s="42">
        <f t="shared" ca="1" si="2"/>
        <v>0</v>
      </c>
      <c r="J18" s="42">
        <f t="shared" ca="1" si="3"/>
        <v>0</v>
      </c>
      <c r="K18" s="43">
        <f t="shared" ca="1" si="0"/>
        <v>530700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2 x 70 + N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74</v>
      </c>
      <c r="G19" s="41">
        <f ca="1">IF(ISERROR(OFFSET('HARGA SATUAN'!$I$6,MATCH(C19,'HARGA SATUAN'!$C$7:$C$1492,0),0)),"",OFFSET('HARGA SATUAN'!$I$6,MATCH(C19,'HARGA SATUAN'!$C$7:$C$1492,0),0))</f>
        <v>53300</v>
      </c>
      <c r="H19" s="42">
        <f t="shared" ca="1" si="1"/>
        <v>3944200</v>
      </c>
      <c r="I19" s="42">
        <f t="shared" ca="1" si="2"/>
        <v>0</v>
      </c>
      <c r="J19" s="42">
        <f t="shared" ca="1" si="3"/>
        <v>0</v>
      </c>
      <c r="K19" s="43">
        <f t="shared" ca="1" si="0"/>
        <v>3944200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65</v>
      </c>
      <c r="G20" s="41">
        <f ca="1">IF(ISERROR(OFFSET('HARGA SATUAN'!$I$6,MATCH(C20,'HARGA SATUAN'!$C$7:$C$1492,0),0)),"",OFFSET('HARGA SATUAN'!$I$6,MATCH(C20,'HARGA SATUAN'!$C$7:$C$1492,0),0))</f>
        <v>6600</v>
      </c>
      <c r="H20" s="42">
        <f t="shared" ca="1" si="1"/>
        <v>429000</v>
      </c>
      <c r="I20" s="42">
        <f t="shared" ca="1" si="2"/>
        <v>0</v>
      </c>
      <c r="J20" s="42">
        <f t="shared" ca="1" si="3"/>
        <v>0</v>
      </c>
      <c r="K20" s="43">
        <f t="shared" ca="1" si="0"/>
        <v>429000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1008</v>
      </c>
      <c r="D168" s="537"/>
      <c r="E168" s="537"/>
      <c r="F168" s="537"/>
      <c r="G168" s="77" t="s">
        <v>9</v>
      </c>
      <c r="H168" s="55">
        <f ca="1">SUM(H14:H167)</f>
        <v>5270500</v>
      </c>
      <c r="I168" s="55">
        <f ca="1">SUM(I14:I167)</f>
        <v>0</v>
      </c>
      <c r="J168" s="55">
        <f ca="1">SUM(J14:J167)</f>
        <v>0</v>
      </c>
      <c r="K168" s="55">
        <f ca="1">SUM(K14:K167)</f>
        <v>5270500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462</v>
      </c>
      <c r="D169" s="538"/>
      <c r="E169" s="538"/>
      <c r="F169" s="538"/>
      <c r="G169" s="59" t="s">
        <v>9</v>
      </c>
      <c r="H169" s="60">
        <f ca="1">H168*0.1</f>
        <v>527050</v>
      </c>
      <c r="I169" s="60">
        <f ca="1">I168*0.1</f>
        <v>0</v>
      </c>
      <c r="J169" s="60">
        <f ca="1">J168*0.1</f>
        <v>0</v>
      </c>
      <c r="K169" s="60">
        <f ca="1">K168*0.1</f>
        <v>527050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7" t="s">
        <v>463</v>
      </c>
      <c r="D170" s="527"/>
      <c r="E170" s="527"/>
      <c r="F170" s="527"/>
      <c r="G170" s="61" t="s">
        <v>9</v>
      </c>
      <c r="H170" s="78">
        <f ca="1">SUM(H168:H169)</f>
        <v>5797550</v>
      </c>
      <c r="I170" s="78">
        <f ca="1">SUM(I168:I169)</f>
        <v>0</v>
      </c>
      <c r="J170" s="61">
        <f ca="1">SUM(J168:J169)</f>
        <v>0</v>
      </c>
      <c r="K170" s="61">
        <f ca="1">SUM(K168:K169)</f>
        <v>5797550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8"/>
      <c r="I175" s="528"/>
      <c r="J175" s="529"/>
      <c r="K175" s="52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8"/>
      <c r="I176" s="528"/>
      <c r="J176" s="529"/>
      <c r="K176" s="52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8"/>
      <c r="I177" s="528"/>
      <c r="J177" s="529"/>
      <c r="K177" s="52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8"/>
      <c r="I182" s="528"/>
      <c r="J182" s="529"/>
      <c r="K182" s="52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SUMIFS(RAB!$F$14:$F$82,RAB!$C$14:$C$82,C224)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SUMIFS(RAB!$F$14:$F$82,RAB!$C$14:$C$82,C225)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SUMIFS(RAB!$F$14:$F$82,RAB!$C$14:$C$82,C226)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SUMIFS(RAB!$F$14:$F$82,RAB!$C$14:$C$82,C227)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SUMIFS(RAB!$F$14:$F$82,RAB!$C$14:$C$82,C228)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SUMIFS(RAB!$F$14:$F$82,RAB!$C$14:$C$82,C229)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SUMIFS(RAB!$F$14:$F$82,RAB!$C$14:$C$82,C230)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SUMIFS(RAB!$F$14:$F$82,RAB!$C$14:$C$82,C231)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SUMIFS(RAB!$F$14:$F$82,RAB!$C$14:$C$82,C232)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SUMIFS(RAB!$F$14:$F$82,RAB!$C$14:$C$82,C233)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SUMIFS(RAB!$F$14:$F$82,RAB!$C$14:$C$82,C234)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SUMIFS(RAB!$F$14:$F$82,RAB!$C$14:$C$82,C235)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SUMIFS(RAB!$F$14:$F$82,RAB!$C$14:$C$82,C236)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SUMIFS(RAB!$F$14:$F$82,RAB!$C$14:$C$82,C237)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SUMIFS(RAB!$F$14:$F$82,RAB!$C$14:$C$82,C238)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SUMIFS(RAB!$F$14:$F$82,RAB!$C$14:$C$82,C239)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SUMIFS(RAB!$F$14:$F$82,RAB!$C$14:$C$82,C240)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SUMIFS(RAB!$F$14:$F$82,RAB!$C$14:$C$82,C241)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SUMIFS(RAB!$F$14:$F$82,RAB!$C$14:$C$82,C242)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SUMIFS(RAB!$F$14:$F$82,RAB!$C$14:$C$82,C243)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SUMIFS(RAB!$F$14:$F$82,RAB!$C$14:$C$82,C244)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SUMIFS(RAB!$F$14:$F$82,RAB!$C$14:$C$82,C245)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SUMIFS(RAB!$F$14:$F$82,RAB!$C$14:$C$82,C246)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SUMIFS(RAB!$F$14:$F$82,RAB!$C$14:$C$82,C247)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SUMIFS(RAB!$F$14:$F$82,RAB!$C$14:$C$82,C248)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SUMIFS(RAB!$F$14:$F$82,RAB!$C$14:$C$82,C249)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SUMIFS(RAB!$F$14:$F$82,RAB!$C$14:$C$82,C250)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SUMIFS(RAB!$F$14:$F$82,RAB!$C$14:$C$82,C251)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SUMIFS(RAB!$F$14:$F$82,RAB!$C$14:$C$82,C252)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SUMIFS(RAB!$F$14:$F$82,RAB!$C$14:$C$82,C253)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SUMIFS(RAB!$F$14:$F$82,RAB!$C$14:$C$82,C254)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SUMIFS(RAB!$F$14:$F$82,RAB!$C$14:$C$82,C255)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SUMIFS(RAB!$F$14:$F$82,RAB!$C$14:$C$82,C256)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SUMIFS(RAB!$F$14:$F$82,RAB!$C$14:$C$82,C257)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SUMIFS(RAB!$F$14:$F$82,RAB!$C$14:$C$82,C258)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SUMIFS(RAB!$F$14:$F$82,RAB!$C$14:$C$82,C259)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SUMIFS(RAB!$F$14:$F$82,RAB!$C$14:$C$82,C260)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SUMIFS(RAB!$F$14:$F$82,RAB!$C$14:$C$82,C261)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SUMIFS(RAB!$F$14:$F$82,RAB!$C$14:$C$82,C262)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SUMIFS(RAB!$F$14:$F$82,RAB!$C$14:$C$82,C263)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SUMIFS(RAB!$F$14:$F$82,RAB!$C$14:$C$82,C264)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SUMIFS(RAB!$F$14:$F$82,RAB!$C$14:$C$82,C265)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SUMIFS(RAB!$F$14:$F$82,RAB!$C$14:$C$82,C266)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SUMIFS(RAB!$F$14:$F$82,RAB!$C$14:$C$82,C267)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SUMIFS(RAB!$F$14:$F$82,RAB!$C$14:$C$82,C268)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SUMIFS(RAB!$F$14:$F$82,RAB!$C$14:$C$82,C269)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SUMIFS(RAB!$F$14:$F$82,RAB!$C$14:$C$82,C270)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SUMIFS(RAB!$F$14:$F$82,RAB!$C$14:$C$82,C271)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SUMIFS(RAB!$F$14:$F$82,RAB!$C$14:$C$82,C272)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SUMIFS(RAB!$F$14:$F$82,RAB!$C$14:$C$82,C273)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SUMIFS(RAB!$F$14:$F$82,RAB!$C$14:$C$82,C274)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SUMIFS(RAB!$F$14:$F$82,RAB!$C$14:$C$82,C275)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SUMIFS(RAB!$F$14:$F$82,RAB!$C$14:$C$82,C276)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SUMIFS(RAB!$F$14:$F$82,RAB!$C$14:$C$82,C277)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SUMIFS(RAB!$F$14:$F$82,RAB!$C$14:$C$82,C278)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SUMIFS(RAB!$F$14:$F$82,RAB!$C$14:$C$82,C279)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SUMIFS(RAB!$F$14:$F$82,RAB!$C$14:$C$82,C280)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SUMIFS(RAB!$F$14:$F$82,RAB!$C$14:$C$82,C281)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SUMIFS(RAB!$F$14:$F$82,RAB!$C$14:$C$82,C282)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SUMIFS(RAB!$F$14:$F$82,RAB!$C$14:$C$82,C283)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SUMIFS(RAB!$F$14:$F$82,RAB!$C$14:$C$82,C284)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SUMIFS(RAB!$F$14:$F$82,RAB!$C$14:$C$82,C285)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SUMIFS(RAB!$F$14:$F$82,RAB!$C$14:$C$82,C286)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SUMIFS(RAB!$F$14:$F$82,RAB!$C$14:$C$82,C287)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SUMIFS(RAB!$F$14:$F$82,RAB!$C$14:$C$82,C288)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SUMIFS(RAB!$F$14:$F$82,RAB!$C$14:$C$82,C289)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SUMIFS(RAB!$F$14:$F$82,RAB!$C$14:$C$82,C290)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SUMIFS(RAB!$F$14:$F$82,RAB!$C$14:$C$82,C291)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SUMIFS(RAB!$F$14:$F$82,RAB!$C$14:$C$82,C292)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SUMIFS(RAB!$F$14:$F$82,RAB!$C$14:$C$82,C293)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SUMIFS(RAB!$F$14:$F$82,RAB!$C$14:$C$82,C294)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SUMIFS(RAB!$F$14:$F$82,RAB!$C$14:$C$82,C295)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SUMIFS(RAB!$F$14:$F$82,RAB!$C$14:$C$82,C296)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SUMIFS(RAB!$F$14:$F$82,RAB!$C$14:$C$82,C297)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SUMIFS(RAB!$F$14:$F$82,RAB!$C$14:$C$82,C298)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SUMIFS(RAB!$F$14:$F$82,RAB!$C$14:$C$82,C299)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SUMIFS(RAB!$F$14:$F$82,RAB!$C$14:$C$82,C300)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SUMIFS(RAB!$F$14:$F$82,RAB!$C$14:$C$82,C301)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SUMIFS(RAB!$F$14:$F$82,RAB!$C$14:$C$82,C302)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SUMIFS(RAB!$F$14:$F$82,RAB!$C$14:$C$82,C303)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SUMIFS(RAB!$F$14:$F$82,RAB!$C$14:$C$82,C304)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SUMIFS(RAB!$F$14:$F$82,RAB!$C$14:$C$82,C305)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SUMIFS(RAB!$F$14:$F$82,RAB!$C$14:$C$82,C306)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SUMIFS(RAB!$F$14:$F$82,RAB!$C$14:$C$82,C307)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SUMIFS(RAB!$F$14:$F$82,RAB!$C$14:$C$82,C308)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SUMIFS(RAB!$F$14:$F$82,RAB!$C$14:$C$82,C309)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SUMIFS(RAB!$F$14:$F$82,RAB!$C$14:$C$82,C310)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SUMIFS(RAB!$F$14:$F$82,RAB!$C$14:$C$82,C311)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SUMIFS(RAB!$F$14:$F$82,RAB!$C$14:$C$82,C312)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SUMIFS(RAB!$F$14:$F$82,RAB!$C$14:$C$82,C313)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SUMIFS(RAB!$F$14:$F$82,RAB!$C$14:$C$82,C314)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SUMIFS(RAB!$F$14:$F$82,RAB!$C$14:$C$82,C315)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SUMIFS(RAB!$F$14:$F$82,RAB!$C$14:$C$82,C316)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SUMIFS(RAB!$F$14:$F$82,RAB!$C$14:$C$82,C317)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SUMIFS(RAB!$F$14:$F$82,RAB!$C$14:$C$82,C318)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SUMIFS(RAB!$F$14:$F$82,RAB!$C$14:$C$82,C319)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SUMIFS(RAB!$F$14:$F$82,RAB!$C$14:$C$82,C320)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SUMIFS(RAB!$F$14:$F$82,RAB!$C$14:$C$82,C321)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SUMIFS(RAB!$F$14:$F$82,RAB!$C$14:$C$82,C322)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SUMIFS(RAB!$F$14:$F$82,RAB!$C$14:$C$82,C323)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SUMIFS(RAB!$F$14:$F$82,RAB!$C$14:$C$82,C324)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SUMIFS(RAB!$F$14:$F$82,RAB!$C$14:$C$82,C325)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SUMIFS(RAB!$F$14:$F$82,RAB!$C$14:$C$82,C326)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SUMIFS(RAB!$F$14:$F$82,RAB!$C$14:$C$82,C327)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SUMIFS(RAB!$F$14:$F$82,RAB!$C$14:$C$82,C328)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SUMIFS(RAB!$F$14:$F$82,RAB!$C$14:$C$82,C329)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SUMIFS(RAB!$F$14:$F$82,RAB!$C$14:$C$82,C330)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SUMIFS(RAB!$F$14:$F$82,RAB!$C$14:$C$82,C331)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SUMIFS(RAB!$F$14:$F$82,RAB!$C$14:$C$82,C332)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SUMIFS(RAB!$F$14:$F$82,RAB!$C$14:$C$82,C333)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SUMIFS(RAB!$F$14:$F$82,RAB!$C$14:$C$82,C334)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SUMIFS(RAB!$F$14:$F$82,RAB!$C$14:$C$82,C335)</f>
        <v>3</v>
      </c>
      <c r="E335" s="24">
        <f t="shared" ca="1" si="22"/>
        <v>1</v>
      </c>
      <c r="F335" s="24">
        <f ca="1">IF(D335=0,0,SUM($E$223:E335))</f>
        <v>3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SUMIFS(RAB!$F$14:$F$82,RAB!$C$14:$C$82,C336)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SUMIFS(RAB!$F$14:$F$82,RAB!$C$14:$C$82,C337)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SUMIFS(RAB!$F$14:$F$82,RAB!$C$14:$C$82,C338)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SUMIFS(RAB!$F$14:$F$82,RAB!$C$14:$C$82,C339)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SUMIFS(RAB!$F$14:$F$82,RAB!$C$14:$C$82,C340)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SUMIFS(RAB!$F$14:$F$82,RAB!$C$14:$C$82,C341)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SUMIFS(RAB!$F$14:$F$82,RAB!$C$14:$C$82,C342)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SUMIFS(RAB!$F$14:$F$82,RAB!$C$14:$C$82,C343)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SUMIFS(RAB!$F$14:$F$82,RAB!$C$14:$C$82,C344)</f>
        <v>74</v>
      </c>
      <c r="E344" s="24">
        <f t="shared" ca="1" si="22"/>
        <v>1</v>
      </c>
      <c r="F344" s="24">
        <f ca="1">IF(D344=0,0,SUM($E$223:E344))</f>
        <v>4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SUMIFS(RAB!$F$14:$F$82,RAB!$C$14:$C$82,C345)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SUMIFS(RAB!$F$14:$F$82,RAB!$C$14:$C$82,C346)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SUMIFS(RAB!$F$14:$F$82,RAB!$C$14:$C$82,C347)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SUMIFS(RAB!$F$14:$F$82,RAB!$C$14:$C$82,C348)</f>
        <v>65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SUMIFS(RAB!$F$14:$F$82,RAB!$C$14:$C$82,C349)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SUMIFS(RAB!$F$14:$F$82,RAB!$C$14:$C$82,C350)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SUMIFS(RAB!$F$14:$F$82,RAB!$C$14:$C$82,C351)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SUMIFS(RAB!$F$14:$F$82,RAB!$C$14:$C$82,C352)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SUMIFS(RAB!$F$14:$F$82,RAB!$C$14:$C$82,C353)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SUMIFS(RAB!$F$14:$F$82,RAB!$C$14:$C$82,C354)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SUMIFS(RAB!$F$14:$F$82,RAB!$C$14:$C$82,C355)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SUMIFS(RAB!$F$14:$F$82,RAB!$C$14:$C$82,C356)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SUMIFS(RAB!$F$14:$F$82,RAB!$C$14:$C$82,C357)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SUMIFS(RAB!$F$14:$F$82,RAB!$C$14:$C$82,C358)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SUMIFS(RAB!$F$14:$F$82,RAB!$C$14:$C$82,C359)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SUMIFS(RAB!$F$14:$F$82,RAB!$C$14:$C$82,C360)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SUMIFS(RAB!$F$14:$F$82,RAB!$C$14:$C$82,C361)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SUMIFS(RAB!$F$14:$F$82,RAB!$C$14:$C$82,C362)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SUMIFS(RAB!$F$14:$F$82,RAB!$C$14:$C$82,C363)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SUMIFS(RAB!$F$14:$F$82,RAB!$C$14:$C$82,C364)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SUMIFS(RAB!$F$14:$F$82,RAB!$C$14:$C$82,C365)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SUMIFS(RAB!$F$14:$F$82,RAB!$C$14:$C$82,C366)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SUMIFS(RAB!$F$14:$F$82,RAB!$C$14:$C$82,C367)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SUMIFS(RAB!$F$14:$F$82,RAB!$C$14:$C$82,C368)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SUMIFS(RAB!$F$14:$F$82,RAB!$C$14:$C$82,C369)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SUMIFS(RAB!$F$14:$F$82,RAB!$C$14:$C$82,C370)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SUMIFS(RAB!$F$14:$F$82,RAB!$C$14:$C$82,C371)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SUMIFS(RAB!$F$14:$F$82,RAB!$C$14:$C$82,C372)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SUMIFS(RAB!$F$14:$F$82,RAB!$C$14:$C$82,C373)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5" t="s">
        <v>41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23</v>
      </c>
      <c r="C4" s="557" t="s">
        <v>1012</v>
      </c>
      <c r="D4" s="557" t="s">
        <v>42</v>
      </c>
      <c r="E4" s="556" t="s">
        <v>43</v>
      </c>
      <c r="F4" s="108" t="s">
        <v>1609</v>
      </c>
      <c r="G4" s="108" t="s">
        <v>1608</v>
      </c>
      <c r="H4" s="55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N9" sqref="N9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2" t="s">
        <v>1454</v>
      </c>
      <c r="C2" s="562"/>
      <c r="D2" s="562"/>
      <c r="E2" s="56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7" t="s">
        <v>1532</v>
      </c>
      <c r="C4" s="568"/>
      <c r="D4" s="568"/>
      <c r="E4" s="569"/>
      <c r="F4" s="442"/>
      <c r="G4" s="442"/>
      <c r="H4" s="443"/>
      <c r="I4" s="594" t="s">
        <v>1533</v>
      </c>
      <c r="J4" s="595"/>
      <c r="K4" s="595"/>
      <c r="L4" s="596"/>
    </row>
    <row r="5" spans="1:12" ht="34.5" customHeight="1">
      <c r="A5" s="204"/>
      <c r="B5" s="445" t="s">
        <v>1379</v>
      </c>
      <c r="C5" s="277" t="s">
        <v>9</v>
      </c>
      <c r="D5" s="563" t="str">
        <f>DATA!D14</f>
        <v>BUDIMAN TRI CAHYONO</v>
      </c>
      <c r="E5" s="564"/>
      <c r="F5" s="208"/>
      <c r="G5" s="208"/>
      <c r="I5" s="446" t="s">
        <v>1379</v>
      </c>
      <c r="J5" s="277" t="s">
        <v>9</v>
      </c>
      <c r="K5" s="597" t="str">
        <f>D5</f>
        <v>BUDIMAN TRI CAHYONO</v>
      </c>
      <c r="L5" s="598"/>
    </row>
    <row r="6" spans="1:12" ht="31.5" customHeight="1">
      <c r="A6" s="204"/>
      <c r="B6" s="445" t="s">
        <v>1529</v>
      </c>
      <c r="C6" s="277" t="s">
        <v>9</v>
      </c>
      <c r="D6" s="572">
        <f>DATA!D17*1000</f>
        <v>5500</v>
      </c>
      <c r="E6" s="573"/>
      <c r="F6" s="208"/>
      <c r="G6" s="208"/>
      <c r="I6" s="446" t="s">
        <v>1530</v>
      </c>
      <c r="J6" s="277" t="s">
        <v>9</v>
      </c>
      <c r="K6" s="599">
        <v>11000</v>
      </c>
      <c r="L6" s="600"/>
    </row>
    <row r="7" spans="1:12" ht="30.75" customHeight="1">
      <c r="A7" s="204"/>
      <c r="B7" s="445" t="s">
        <v>1441</v>
      </c>
      <c r="C7" s="277" t="s">
        <v>9</v>
      </c>
      <c r="D7" s="570">
        <f>DATA!D18</f>
        <v>1</v>
      </c>
      <c r="E7" s="571"/>
      <c r="F7" s="444" t="s">
        <v>1453</v>
      </c>
      <c r="I7" s="446" t="s">
        <v>1441</v>
      </c>
      <c r="J7" s="277" t="s">
        <v>9</v>
      </c>
      <c r="K7" s="601">
        <f>DATA!D21</f>
        <v>1</v>
      </c>
      <c r="L7" s="602"/>
    </row>
    <row r="8" spans="1:12" ht="51" customHeight="1">
      <c r="A8" s="204"/>
      <c r="B8" s="445" t="s">
        <v>1442</v>
      </c>
      <c r="C8" s="277" t="s">
        <v>9</v>
      </c>
      <c r="D8" s="570">
        <f>DATA!D19</f>
        <v>220</v>
      </c>
      <c r="E8" s="571"/>
      <c r="F8" s="444" t="s">
        <v>1453</v>
      </c>
      <c r="G8" s="439">
        <v>220</v>
      </c>
      <c r="I8" s="446" t="s">
        <v>1442</v>
      </c>
      <c r="J8" s="277" t="s">
        <v>9</v>
      </c>
      <c r="K8" s="601">
        <f>DATA!D22</f>
        <v>220</v>
      </c>
      <c r="L8" s="602"/>
    </row>
    <row r="9" spans="1:12" ht="30" customHeight="1" thickBot="1">
      <c r="A9" s="204"/>
      <c r="B9" s="451" t="s">
        <v>1541</v>
      </c>
      <c r="C9" s="441" t="s">
        <v>9</v>
      </c>
      <c r="D9" s="565">
        <f>IF(D7=1,D6/(380/3^0.5),(D6/(380*3^0.5)))</f>
        <v>25.069156425339013</v>
      </c>
      <c r="E9" s="566"/>
      <c r="F9" s="207"/>
      <c r="G9" s="440">
        <v>380</v>
      </c>
      <c r="I9" s="452" t="s">
        <v>1541</v>
      </c>
      <c r="J9" s="441" t="s">
        <v>9</v>
      </c>
      <c r="K9" s="603">
        <f>IF(K7=1,K6/(380/3^0.5),(K6/(380*3^0.5)))</f>
        <v>50.138312850678027</v>
      </c>
      <c r="L9" s="604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74" t="s">
        <v>1632</v>
      </c>
      <c r="E12" s="575"/>
      <c r="F12" s="208"/>
      <c r="G12" s="208"/>
      <c r="I12" s="468" t="s">
        <v>1534</v>
      </c>
      <c r="J12" s="469" t="s">
        <v>9</v>
      </c>
      <c r="K12" s="574"/>
      <c r="L12" s="575"/>
    </row>
    <row r="13" spans="1:12" ht="31.5" customHeight="1">
      <c r="A13" s="204"/>
      <c r="B13" s="476" t="s">
        <v>1380</v>
      </c>
      <c r="C13" s="456" t="s">
        <v>9</v>
      </c>
      <c r="D13" s="578" t="s">
        <v>1633</v>
      </c>
      <c r="E13" s="579"/>
      <c r="F13" s="208"/>
      <c r="G13" s="208"/>
      <c r="I13" s="470" t="s">
        <v>1380</v>
      </c>
      <c r="J13" s="456" t="s">
        <v>9</v>
      </c>
      <c r="K13" s="578"/>
      <c r="L13" s="579"/>
    </row>
    <row r="14" spans="1:12" ht="30.75" customHeight="1">
      <c r="A14" s="204"/>
      <c r="B14" s="476" t="s">
        <v>1535</v>
      </c>
      <c r="C14" s="456" t="s">
        <v>9</v>
      </c>
      <c r="D14" s="586">
        <v>50</v>
      </c>
      <c r="E14" s="587"/>
      <c r="F14" s="444" t="s">
        <v>1453</v>
      </c>
      <c r="G14" s="448">
        <v>50</v>
      </c>
      <c r="I14" s="470" t="s">
        <v>1535</v>
      </c>
      <c r="J14" s="456" t="s">
        <v>9</v>
      </c>
      <c r="K14" s="588"/>
      <c r="L14" s="589"/>
    </row>
    <row r="15" spans="1:12" ht="57" customHeight="1">
      <c r="A15" s="204"/>
      <c r="B15" s="476" t="s">
        <v>1441</v>
      </c>
      <c r="C15" s="456" t="s">
        <v>9</v>
      </c>
      <c r="D15" s="462">
        <v>1</v>
      </c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/>
      <c r="L15" s="471"/>
    </row>
    <row r="16" spans="1:12" ht="44.25" customHeight="1">
      <c r="A16" s="204"/>
      <c r="B16" s="476" t="s">
        <v>1545</v>
      </c>
      <c r="C16" s="456"/>
      <c r="D16" s="590">
        <v>151.30000000000001</v>
      </c>
      <c r="E16" s="591"/>
      <c r="F16" s="444"/>
      <c r="G16" s="448">
        <v>160</v>
      </c>
      <c r="I16" s="470" t="s">
        <v>1537</v>
      </c>
      <c r="J16" s="456" t="s">
        <v>9</v>
      </c>
      <c r="K16" s="592"/>
      <c r="L16" s="593"/>
    </row>
    <row r="17" spans="1:12" ht="34.5" customHeight="1">
      <c r="A17" s="204"/>
      <c r="B17" s="476" t="s">
        <v>1538</v>
      </c>
      <c r="C17" s="456" t="s">
        <v>9</v>
      </c>
      <c r="D17" s="580">
        <f>IF(D15=1,D14/(20/3^0.5),(D14/(20*3^0.5)))</f>
        <v>4.3301270189221928</v>
      </c>
      <c r="E17" s="581"/>
      <c r="F17" s="444" t="s">
        <v>1453</v>
      </c>
      <c r="G17" s="449">
        <v>200</v>
      </c>
      <c r="I17" s="470" t="s">
        <v>1538</v>
      </c>
      <c r="J17" s="456" t="s">
        <v>9</v>
      </c>
      <c r="K17" s="584">
        <f>IF(K15=1,K14/(20/3^0.5),(K14/(20*3^0.5)))</f>
        <v>0</v>
      </c>
      <c r="L17" s="585"/>
    </row>
    <row r="18" spans="1:12" ht="34.5" customHeight="1">
      <c r="A18" s="204"/>
      <c r="B18" s="476" t="s">
        <v>1539</v>
      </c>
      <c r="C18" s="456" t="s">
        <v>9</v>
      </c>
      <c r="D18" s="580">
        <f>IF(D15=1,D14/(380/3^0.5),(D14/(380*3^0.5)))*1000</f>
        <v>227.90142204853646</v>
      </c>
      <c r="E18" s="581"/>
      <c r="F18" s="444" t="s">
        <v>1453</v>
      </c>
      <c r="G18" s="449">
        <v>250</v>
      </c>
      <c r="I18" s="470" t="s">
        <v>1539</v>
      </c>
      <c r="J18" s="456" t="s">
        <v>9</v>
      </c>
      <c r="K18" s="584">
        <f>IF(K15=1,K14/(380/3^0.5),(K14/(380*3^0.5)))*1000</f>
        <v>0</v>
      </c>
      <c r="L18" s="585"/>
    </row>
    <row r="19" spans="1:12" ht="30" customHeight="1">
      <c r="A19" s="204"/>
      <c r="B19" s="477" t="s">
        <v>1531</v>
      </c>
      <c r="C19" s="455" t="s">
        <v>9</v>
      </c>
      <c r="D19" s="580">
        <f>IF(D15=1,D14/(380/3^0.5),(D14/(380*3^0.5)))</f>
        <v>0.22790142204853647</v>
      </c>
      <c r="E19" s="581"/>
      <c r="F19" s="207"/>
      <c r="G19" s="440"/>
      <c r="I19" s="472" t="s">
        <v>1531</v>
      </c>
      <c r="J19" s="455" t="s">
        <v>9</v>
      </c>
      <c r="K19" s="584">
        <f>IF(K15=1,K14/(380/3^0.5),(K14/(380*3^0.5)))</f>
        <v>0</v>
      </c>
      <c r="L19" s="585"/>
    </row>
    <row r="20" spans="1:12" ht="30" customHeight="1" thickBot="1">
      <c r="A20" s="204"/>
      <c r="B20" s="478" t="s">
        <v>1540</v>
      </c>
      <c r="C20" s="474" t="s">
        <v>9</v>
      </c>
      <c r="D20" s="576">
        <f>D16/D18</f>
        <v>0.66388352753576696</v>
      </c>
      <c r="E20" s="577"/>
      <c r="F20" s="207"/>
      <c r="G20" s="440"/>
      <c r="I20" s="473" t="s">
        <v>1531</v>
      </c>
      <c r="J20" s="474" t="s">
        <v>9</v>
      </c>
      <c r="K20" s="582" t="e">
        <f>K16/K18</f>
        <v>#DIV/0!</v>
      </c>
      <c r="L20" s="583"/>
    </row>
    <row r="21" spans="1:12" ht="9.75" customHeight="1">
      <c r="A21" s="204"/>
      <c r="B21" s="463" t="s">
        <v>1540</v>
      </c>
      <c r="C21" s="464" t="s">
        <v>9</v>
      </c>
      <c r="D21" s="561">
        <v>1</v>
      </c>
      <c r="E21" s="561"/>
      <c r="F21" s="465"/>
      <c r="G21" s="466"/>
      <c r="H21" s="467"/>
      <c r="I21" s="463" t="s">
        <v>1531</v>
      </c>
      <c r="J21" s="464" t="s">
        <v>9</v>
      </c>
      <c r="K21" s="561">
        <v>1</v>
      </c>
      <c r="L21" s="561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58"/>
      <c r="C24" s="559"/>
      <c r="D24" s="559"/>
      <c r="E24" s="560"/>
      <c r="I24" s="558"/>
      <c r="J24" s="559"/>
      <c r="K24" s="559"/>
      <c r="L24" s="560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F23" sqref="F23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5.0999999999999996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4941900</v>
      </c>
    </row>
    <row r="10" spans="2:11" ht="20.100000000000001" customHeight="1">
      <c r="B10" s="291" t="s">
        <v>1446</v>
      </c>
      <c r="C10" s="292" t="s">
        <v>9</v>
      </c>
      <c r="D10" s="298">
        <f ca="1">RAB!K88</f>
        <v>26158800.880059998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523176.01760119997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1622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1624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514">
        <v>5.5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10.6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Q7" sqref="Q7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7" t="s">
        <v>1357</v>
      </c>
      <c r="C3" s="607"/>
      <c r="D3" s="607"/>
      <c r="E3" s="607"/>
      <c r="F3" s="305" t="str">
        <f>DATA!D14</f>
        <v>BUDIMAN TRI CAHYONO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09" t="s">
        <v>1359</v>
      </c>
      <c r="E5" s="609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2" t="s">
        <v>1363</v>
      </c>
      <c r="O5" s="609" t="s">
        <v>1364</v>
      </c>
      <c r="P5" s="609" t="s">
        <v>1365</v>
      </c>
      <c r="Q5" s="609" t="s">
        <v>1366</v>
      </c>
      <c r="R5" s="308"/>
      <c r="S5" s="309"/>
      <c r="T5" s="610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3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1632</v>
      </c>
      <c r="D7" s="316">
        <f>C7*4/24</f>
        <v>272</v>
      </c>
      <c r="E7" s="316">
        <f>C7-D7</f>
        <v>1360</v>
      </c>
      <c r="F7" s="317">
        <f ca="1">DATA!D10/1000000</f>
        <v>26.158800880059999</v>
      </c>
      <c r="G7" s="318">
        <f ca="1">DATA!$D$11/1000000</f>
        <v>0.52317601760120003</v>
      </c>
      <c r="H7" s="318">
        <f>C7*DATA!$D$5/1000000</f>
        <v>1.7692920748869052</v>
      </c>
      <c r="I7" s="318">
        <f>(C7*DATA!$D$5*DATA!$D$7)/1000000</f>
        <v>3.9809071684955365E-2</v>
      </c>
      <c r="J7" s="316">
        <f ca="1">SUM(F7:I7)</f>
        <v>28.491078044233063</v>
      </c>
      <c r="K7" s="319">
        <f>DATA!D9/1000000</f>
        <v>4.9419000000000004</v>
      </c>
      <c r="L7" s="316">
        <f>((D7*DATA!$D$23)/1000000)+((E7*DATA!$D$24)/1000000)</f>
        <v>2.3577504</v>
      </c>
      <c r="M7" s="316">
        <f>K7+L7</f>
        <v>7.2996504000000009</v>
      </c>
      <c r="N7" s="316">
        <f ca="1">M7-J7</f>
        <v>-21.191427644233062</v>
      </c>
      <c r="O7" s="314">
        <v>1</v>
      </c>
      <c r="P7" s="316">
        <f ca="1">O7*N7</f>
        <v>-21.191427644233062</v>
      </c>
      <c r="Q7" s="316">
        <f ca="1">P7</f>
        <v>-21.191427644233062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2448</v>
      </c>
      <c r="D8" s="316">
        <f>C8*4/24</f>
        <v>408</v>
      </c>
      <c r="E8" s="316">
        <f t="shared" ref="E8:E32" si="0">C8-D8</f>
        <v>2040</v>
      </c>
      <c r="F8" s="314"/>
      <c r="G8" s="318">
        <f ca="1">DATA!$D$11/1000000</f>
        <v>0.52317601760120003</v>
      </c>
      <c r="H8" s="318">
        <f>C8*DATA!$D$5/1000000</f>
        <v>2.653938112330358</v>
      </c>
      <c r="I8" s="318">
        <f>(C8*DATA!$D$5*DATA!$D$7)/1000000</f>
        <v>5.9713607527433051E-2</v>
      </c>
      <c r="J8" s="316">
        <f t="shared" ref="J8:J32" ca="1" si="1">SUM(F8:I8)</f>
        <v>3.2368277374589911</v>
      </c>
      <c r="K8" s="321"/>
      <c r="L8" s="316">
        <f>((D8*DATA!$D$23)/1000000)+((E8*DATA!$D$24)/1000000)</f>
        <v>3.5366256000000003</v>
      </c>
      <c r="M8" s="316">
        <f t="shared" ref="M8:M32" si="2">K8+L8</f>
        <v>3.5366256000000003</v>
      </c>
      <c r="N8" s="316">
        <f ca="1">M8-J8</f>
        <v>0.29979786254100915</v>
      </c>
      <c r="O8" s="315">
        <f>1/(1+'[93]Asumsi I'!$C$3)^(KKF!A8)</f>
        <v>0.89285714285714279</v>
      </c>
      <c r="P8" s="316">
        <f ca="1">O8*N8</f>
        <v>0.26767666298304388</v>
      </c>
      <c r="Q8" s="316">
        <f ca="1">Q7+P8</f>
        <v>-20.92375098125002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2448</v>
      </c>
      <c r="D9" s="316">
        <f t="shared" ref="D9:D32" si="5">C9*4/24</f>
        <v>408</v>
      </c>
      <c r="E9" s="316">
        <f t="shared" si="0"/>
        <v>2040</v>
      </c>
      <c r="F9" s="314"/>
      <c r="G9" s="318">
        <f ca="1">DATA!$D$11/1000000</f>
        <v>0.52317601760120003</v>
      </c>
      <c r="H9" s="318">
        <f>C9*DATA!$D$5/1000000</f>
        <v>2.653938112330358</v>
      </c>
      <c r="I9" s="318">
        <f>(C9*DATA!$D$5*DATA!$D$7)/1000000</f>
        <v>5.9713607527433051E-2</v>
      </c>
      <c r="J9" s="316">
        <f t="shared" ca="1" si="1"/>
        <v>3.2368277374589911</v>
      </c>
      <c r="K9" s="316"/>
      <c r="L9" s="316">
        <f>((D9*DATA!$D$23)/1000000)+((E9*DATA!$D$24)/1000000)</f>
        <v>3.5366256000000003</v>
      </c>
      <c r="M9" s="316">
        <f t="shared" si="2"/>
        <v>3.5366256000000003</v>
      </c>
      <c r="N9" s="316">
        <f t="shared" ref="N9:N32" ca="1" si="6">M9-J9</f>
        <v>0.29979786254100915</v>
      </c>
      <c r="O9" s="322">
        <f>1/(1+'[93]Asumsi I'!$C$3)^(KKF!A9)</f>
        <v>0.79719387755102034</v>
      </c>
      <c r="P9" s="316">
        <f t="shared" ref="P9:P32" ca="1" si="7">O9*N9</f>
        <v>0.23899702052057487</v>
      </c>
      <c r="Q9" s="316">
        <f ca="1">Q8+P9</f>
        <v>-20.684753960729445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2448</v>
      </c>
      <c r="D10" s="316">
        <f t="shared" si="5"/>
        <v>408</v>
      </c>
      <c r="E10" s="316">
        <f t="shared" si="0"/>
        <v>2040</v>
      </c>
      <c r="F10" s="314"/>
      <c r="G10" s="318">
        <f ca="1">DATA!$D$11/1000000</f>
        <v>0.52317601760120003</v>
      </c>
      <c r="H10" s="318">
        <f>C10*DATA!$D$5/1000000</f>
        <v>2.653938112330358</v>
      </c>
      <c r="I10" s="318">
        <f>(C10*DATA!$D$5*DATA!$D$7)/1000000</f>
        <v>5.9713607527433051E-2</v>
      </c>
      <c r="J10" s="316">
        <f t="shared" ca="1" si="1"/>
        <v>3.2368277374589911</v>
      </c>
      <c r="K10" s="314"/>
      <c r="L10" s="316">
        <f>((D10*DATA!$D$23)/1000000)+((E10*DATA!$D$24)/1000000)</f>
        <v>3.5366256000000003</v>
      </c>
      <c r="M10" s="316">
        <f t="shared" si="2"/>
        <v>3.5366256000000003</v>
      </c>
      <c r="N10" s="316">
        <f t="shared" ca="1" si="6"/>
        <v>0.29979786254100915</v>
      </c>
      <c r="O10" s="315">
        <f>1/(1+'[93]Asumsi I'!$C$3)^(KKF!A10)</f>
        <v>0.71178024781341087</v>
      </c>
      <c r="P10" s="316">
        <f t="shared" ca="1" si="7"/>
        <v>0.21339019689337038</v>
      </c>
      <c r="Q10" s="316">
        <f t="shared" ref="Q10:Q30" ca="1" si="9">Q9+P10</f>
        <v>-20.471363763836074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2448</v>
      </c>
      <c r="D11" s="316">
        <f t="shared" si="5"/>
        <v>408</v>
      </c>
      <c r="E11" s="316">
        <f t="shared" si="0"/>
        <v>2040</v>
      </c>
      <c r="F11" s="314"/>
      <c r="G11" s="318">
        <f ca="1">DATA!$D$11/1000000</f>
        <v>0.52317601760120003</v>
      </c>
      <c r="H11" s="318">
        <f>C11*DATA!$D$5/1000000</f>
        <v>2.653938112330358</v>
      </c>
      <c r="I11" s="318">
        <f>(C11*DATA!$D$5*DATA!$D$7)/1000000</f>
        <v>5.9713607527433051E-2</v>
      </c>
      <c r="J11" s="316">
        <f t="shared" ca="1" si="1"/>
        <v>3.2368277374589911</v>
      </c>
      <c r="K11" s="314"/>
      <c r="L11" s="316">
        <f>((D11*DATA!$D$23)/1000000)+((E11*DATA!$D$24)/1000000)</f>
        <v>3.5366256000000003</v>
      </c>
      <c r="M11" s="316">
        <f t="shared" si="2"/>
        <v>3.5366256000000003</v>
      </c>
      <c r="N11" s="316">
        <f t="shared" ca="1" si="6"/>
        <v>0.29979786254100915</v>
      </c>
      <c r="O11" s="315">
        <f>1/(1+'[93]Asumsi I'!$C$3)^(KKF!A11)</f>
        <v>0.63551807840483121</v>
      </c>
      <c r="P11" s="316">
        <f t="shared" ca="1" si="7"/>
        <v>0.19052696151193788</v>
      </c>
      <c r="Q11" s="316">
        <f t="shared" ca="1" si="9"/>
        <v>-20.280836802324135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2448</v>
      </c>
      <c r="D12" s="316">
        <f t="shared" si="5"/>
        <v>408</v>
      </c>
      <c r="E12" s="316">
        <f t="shared" si="0"/>
        <v>2040</v>
      </c>
      <c r="F12" s="314"/>
      <c r="G12" s="318">
        <f ca="1">DATA!$D$11/1000000</f>
        <v>0.52317601760120003</v>
      </c>
      <c r="H12" s="318">
        <f>C12*DATA!$D$5/1000000</f>
        <v>2.653938112330358</v>
      </c>
      <c r="I12" s="318">
        <f>(C12*DATA!$D$5*DATA!$D$7)/1000000</f>
        <v>5.9713607527433051E-2</v>
      </c>
      <c r="J12" s="316">
        <f t="shared" ca="1" si="1"/>
        <v>3.2368277374589911</v>
      </c>
      <c r="K12" s="314"/>
      <c r="L12" s="316">
        <f>((D12*DATA!$D$23)/1000000)+((E12*DATA!$D$24)/1000000)</f>
        <v>3.5366256000000003</v>
      </c>
      <c r="M12" s="316">
        <f t="shared" si="2"/>
        <v>3.5366256000000003</v>
      </c>
      <c r="N12" s="316">
        <f t="shared" ca="1" si="6"/>
        <v>0.29979786254100915</v>
      </c>
      <c r="O12" s="315">
        <f>1/(1+'[93]Asumsi I'!$C$3)^(KKF!A12)</f>
        <v>0.56742685571859919</v>
      </c>
      <c r="P12" s="316">
        <f t="shared" ca="1" si="7"/>
        <v>0.17011335849280163</v>
      </c>
      <c r="Q12" s="316">
        <f t="shared" ca="1" si="9"/>
        <v>-20.110723443831333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2448</v>
      </c>
      <c r="D13" s="316">
        <f t="shared" si="5"/>
        <v>408</v>
      </c>
      <c r="E13" s="316">
        <f t="shared" si="0"/>
        <v>2040</v>
      </c>
      <c r="F13" s="314"/>
      <c r="G13" s="318">
        <f ca="1">DATA!$D$11/1000000</f>
        <v>0.52317601760120003</v>
      </c>
      <c r="H13" s="318">
        <f>C13*DATA!$D$5/1000000</f>
        <v>2.653938112330358</v>
      </c>
      <c r="I13" s="318">
        <f>(C13*DATA!$D$5*DATA!$D$7)/1000000</f>
        <v>5.9713607527433051E-2</v>
      </c>
      <c r="J13" s="316">
        <f t="shared" ca="1" si="1"/>
        <v>3.2368277374589911</v>
      </c>
      <c r="K13" s="314"/>
      <c r="L13" s="316">
        <f>((D13*DATA!$D$23)/1000000)+((E13*DATA!$D$24)/1000000)</f>
        <v>3.5366256000000003</v>
      </c>
      <c r="M13" s="316">
        <f t="shared" si="2"/>
        <v>3.5366256000000003</v>
      </c>
      <c r="N13" s="316">
        <f t="shared" ca="1" si="6"/>
        <v>0.29979786254100915</v>
      </c>
      <c r="O13" s="315">
        <f>1/(1+'[93]Asumsi I'!$C$3)^(KKF!A13)</f>
        <v>0.50663112117732068</v>
      </c>
      <c r="P13" s="316">
        <f t="shared" ca="1" si="7"/>
        <v>0.15188692722571573</v>
      </c>
      <c r="Q13" s="316">
        <f t="shared" ca="1" si="9"/>
        <v>-19.958836516605619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2448</v>
      </c>
      <c r="D14" s="316">
        <f t="shared" si="5"/>
        <v>408</v>
      </c>
      <c r="E14" s="316">
        <f t="shared" si="0"/>
        <v>2040</v>
      </c>
      <c r="F14" s="314"/>
      <c r="G14" s="318">
        <f ca="1">DATA!$D$11/1000000</f>
        <v>0.52317601760120003</v>
      </c>
      <c r="H14" s="318">
        <f>C14*DATA!$D$5/1000000</f>
        <v>2.653938112330358</v>
      </c>
      <c r="I14" s="318">
        <f>(C14*DATA!$D$5*DATA!$D$7)/1000000</f>
        <v>5.9713607527433051E-2</v>
      </c>
      <c r="J14" s="316">
        <f t="shared" ca="1" si="1"/>
        <v>3.2368277374589911</v>
      </c>
      <c r="K14" s="314"/>
      <c r="L14" s="316">
        <f>((D14*DATA!$D$23)/1000000)+((E14*DATA!$D$24)/1000000)</f>
        <v>3.5366256000000003</v>
      </c>
      <c r="M14" s="316">
        <f t="shared" si="2"/>
        <v>3.5366256000000003</v>
      </c>
      <c r="N14" s="316">
        <f t="shared" ca="1" si="6"/>
        <v>0.29979786254100915</v>
      </c>
      <c r="O14" s="315">
        <f>1/(1+'[93]Asumsi I'!$C$3)^(KKF!A14)</f>
        <v>0.45234921533689343</v>
      </c>
      <c r="P14" s="316">
        <f t="shared" ca="1" si="7"/>
        <v>0.13561332788010333</v>
      </c>
      <c r="Q14" s="316">
        <f t="shared" ca="1" si="9"/>
        <v>-19.823223188725514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2448</v>
      </c>
      <c r="D15" s="316">
        <f t="shared" si="5"/>
        <v>408</v>
      </c>
      <c r="E15" s="316">
        <f t="shared" si="0"/>
        <v>2040</v>
      </c>
      <c r="F15" s="314"/>
      <c r="G15" s="318">
        <f ca="1">DATA!$D$11/1000000</f>
        <v>0.52317601760120003</v>
      </c>
      <c r="H15" s="318">
        <f>C15*DATA!$D$5/1000000</f>
        <v>2.653938112330358</v>
      </c>
      <c r="I15" s="318">
        <f>(C15*DATA!$D$5*DATA!$D$7)/1000000</f>
        <v>5.9713607527433051E-2</v>
      </c>
      <c r="J15" s="316">
        <f t="shared" ca="1" si="1"/>
        <v>3.2368277374589911</v>
      </c>
      <c r="K15" s="314"/>
      <c r="L15" s="316">
        <f>((D15*DATA!$D$23)/1000000)+((E15*DATA!$D$24)/1000000)</f>
        <v>3.5366256000000003</v>
      </c>
      <c r="M15" s="316">
        <f t="shared" si="2"/>
        <v>3.5366256000000003</v>
      </c>
      <c r="N15" s="316">
        <f t="shared" ca="1" si="6"/>
        <v>0.29979786254100915</v>
      </c>
      <c r="O15" s="315">
        <f>1/(1+'[93]Asumsi I'!$C$3)^(KKF!A15)</f>
        <v>0.4038832279793691</v>
      </c>
      <c r="P15" s="316">
        <f t="shared" ca="1" si="7"/>
        <v>0.12108332846437796</v>
      </c>
      <c r="Q15" s="316">
        <f t="shared" ca="1" si="9"/>
        <v>-19.702139860261138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2448</v>
      </c>
      <c r="D16" s="316">
        <f t="shared" si="5"/>
        <v>408</v>
      </c>
      <c r="E16" s="316">
        <f t="shared" si="0"/>
        <v>2040</v>
      </c>
      <c r="F16" s="314"/>
      <c r="G16" s="318">
        <f ca="1">DATA!$D$11/1000000</f>
        <v>0.52317601760120003</v>
      </c>
      <c r="H16" s="318">
        <f>C16*DATA!$D$5/1000000</f>
        <v>2.653938112330358</v>
      </c>
      <c r="I16" s="318">
        <f>(C16*DATA!$D$5*DATA!$D$7)/1000000</f>
        <v>5.9713607527433051E-2</v>
      </c>
      <c r="J16" s="316">
        <f t="shared" ca="1" si="1"/>
        <v>3.2368277374589911</v>
      </c>
      <c r="K16" s="314"/>
      <c r="L16" s="316">
        <f>((D16*DATA!$D$23)/1000000)+((E16*DATA!$D$24)/1000000)</f>
        <v>3.5366256000000003</v>
      </c>
      <c r="M16" s="316">
        <f t="shared" si="2"/>
        <v>3.5366256000000003</v>
      </c>
      <c r="N16" s="316">
        <f t="shared" ca="1" si="6"/>
        <v>0.29979786254100915</v>
      </c>
      <c r="O16" s="315">
        <f>1/(1+'[93]Asumsi I'!$C$3)^(KKF!A16)</f>
        <v>0.36061002498157957</v>
      </c>
      <c r="P16" s="316">
        <f t="shared" ca="1" si="7"/>
        <v>0.10811011470033746</v>
      </c>
      <c r="Q16" s="316">
        <f t="shared" ca="1" si="9"/>
        <v>-19.5940297455608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2448</v>
      </c>
      <c r="D17" s="316">
        <f t="shared" si="5"/>
        <v>408</v>
      </c>
      <c r="E17" s="316">
        <f t="shared" si="0"/>
        <v>2040</v>
      </c>
      <c r="F17" s="314"/>
      <c r="G17" s="318">
        <f ca="1">DATA!$D$11/1000000</f>
        <v>0.52317601760120003</v>
      </c>
      <c r="H17" s="318">
        <f>C17*DATA!$D$5/1000000</f>
        <v>2.653938112330358</v>
      </c>
      <c r="I17" s="318">
        <f>(C17*DATA!$D$5*DATA!$D$7)/1000000</f>
        <v>5.9713607527433051E-2</v>
      </c>
      <c r="J17" s="316">
        <f t="shared" ca="1" si="1"/>
        <v>3.2368277374589911</v>
      </c>
      <c r="K17" s="314"/>
      <c r="L17" s="316">
        <f>((D17*DATA!$D$23)/1000000)+((E17*DATA!$D$24)/1000000)</f>
        <v>3.5366256000000003</v>
      </c>
      <c r="M17" s="316">
        <f t="shared" si="2"/>
        <v>3.5366256000000003</v>
      </c>
      <c r="N17" s="316">
        <f t="shared" ca="1" si="6"/>
        <v>0.29979786254100915</v>
      </c>
      <c r="O17" s="315">
        <f>1/(1+'[93]Asumsi I'!$C$3)^(KKF!A17)</f>
        <v>0.32197323659069599</v>
      </c>
      <c r="P17" s="316">
        <f t="shared" ca="1" si="7"/>
        <v>9.6526888125301288E-2</v>
      </c>
      <c r="Q17" s="316">
        <f t="shared" ca="1" si="9"/>
        <v>-19.497502857435499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2448</v>
      </c>
      <c r="D18" s="316">
        <f t="shared" si="5"/>
        <v>408</v>
      </c>
      <c r="E18" s="316">
        <f t="shared" si="0"/>
        <v>2040</v>
      </c>
      <c r="F18" s="314"/>
      <c r="G18" s="318">
        <f ca="1">DATA!$D$11/1000000</f>
        <v>0.52317601760120003</v>
      </c>
      <c r="H18" s="318">
        <f>C18*DATA!$D$5/1000000</f>
        <v>2.653938112330358</v>
      </c>
      <c r="I18" s="318">
        <f>(C18*DATA!$D$5*DATA!$D$7)/1000000</f>
        <v>5.9713607527433051E-2</v>
      </c>
      <c r="J18" s="316">
        <f t="shared" ca="1" si="1"/>
        <v>3.2368277374589911</v>
      </c>
      <c r="K18" s="314"/>
      <c r="L18" s="316">
        <f>((D18*DATA!$D$23)/1000000)+((E18*DATA!$D$24)/1000000)</f>
        <v>3.5366256000000003</v>
      </c>
      <c r="M18" s="316">
        <f t="shared" si="2"/>
        <v>3.5366256000000003</v>
      </c>
      <c r="N18" s="316">
        <f t="shared" ca="1" si="6"/>
        <v>0.29979786254100915</v>
      </c>
      <c r="O18" s="315">
        <f>1/(1+'[93]Asumsi I'!$C$3)^(KKF!A18)</f>
        <v>0.28747610409883567</v>
      </c>
      <c r="P18" s="316">
        <f t="shared" ca="1" si="7"/>
        <v>8.6184721540447581E-2</v>
      </c>
      <c r="Q18" s="316">
        <f t="shared" ca="1" si="9"/>
        <v>-19.411318135895051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2448</v>
      </c>
      <c r="D19" s="316">
        <f t="shared" si="5"/>
        <v>408</v>
      </c>
      <c r="E19" s="316">
        <f t="shared" si="0"/>
        <v>2040</v>
      </c>
      <c r="F19" s="314"/>
      <c r="G19" s="318">
        <f ca="1">DATA!$D$11/1000000</f>
        <v>0.52317601760120003</v>
      </c>
      <c r="H19" s="318">
        <f>C19*DATA!$D$5/1000000</f>
        <v>2.653938112330358</v>
      </c>
      <c r="I19" s="318">
        <f>(C19*DATA!$D$5*DATA!$D$7)/1000000</f>
        <v>5.9713607527433051E-2</v>
      </c>
      <c r="J19" s="316">
        <f t="shared" ca="1" si="1"/>
        <v>3.2368277374589911</v>
      </c>
      <c r="K19" s="314"/>
      <c r="L19" s="316">
        <f>((D19*DATA!$D$23)/1000000)+((E19*DATA!$D$24)/1000000)</f>
        <v>3.5366256000000003</v>
      </c>
      <c r="M19" s="316">
        <f t="shared" si="2"/>
        <v>3.5366256000000003</v>
      </c>
      <c r="N19" s="316">
        <f t="shared" ca="1" si="6"/>
        <v>0.29979786254100915</v>
      </c>
      <c r="O19" s="315">
        <f>1/(1+'[93]Asumsi I'!$C$3)^(KKF!A19)</f>
        <v>0.25667509294538904</v>
      </c>
      <c r="P19" s="316">
        <f t="shared" ca="1" si="7"/>
        <v>7.6950644232542498E-2</v>
      </c>
      <c r="Q19" s="316">
        <f t="shared" ca="1" si="9"/>
        <v>-19.334367491662508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2448</v>
      </c>
      <c r="D20" s="316">
        <f t="shared" si="5"/>
        <v>408</v>
      </c>
      <c r="E20" s="316">
        <f t="shared" si="0"/>
        <v>2040</v>
      </c>
      <c r="F20" s="314"/>
      <c r="G20" s="318">
        <f ca="1">DATA!$D$11/1000000</f>
        <v>0.52317601760120003</v>
      </c>
      <c r="H20" s="318">
        <f>C20*DATA!$D$5/1000000</f>
        <v>2.653938112330358</v>
      </c>
      <c r="I20" s="318">
        <f>(C20*DATA!$D$5*DATA!$D$7)/1000000</f>
        <v>5.9713607527433051E-2</v>
      </c>
      <c r="J20" s="316">
        <f t="shared" ca="1" si="1"/>
        <v>3.2368277374589911</v>
      </c>
      <c r="K20" s="314"/>
      <c r="L20" s="316">
        <f>((D20*DATA!$D$23)/1000000)+((E20*DATA!$D$24)/1000000)</f>
        <v>3.5366256000000003</v>
      </c>
      <c r="M20" s="316">
        <f t="shared" si="2"/>
        <v>3.5366256000000003</v>
      </c>
      <c r="N20" s="316">
        <f t="shared" ca="1" si="6"/>
        <v>0.29979786254100915</v>
      </c>
      <c r="O20" s="315">
        <f>1/(1+'[93]Asumsi I'!$C$3)^(KKF!A20)</f>
        <v>0.22917419012981158</v>
      </c>
      <c r="P20" s="316">
        <f t="shared" ca="1" si="7"/>
        <v>6.8705932350484347E-2</v>
      </c>
      <c r="Q20" s="316">
        <f t="shared" ca="1" si="9"/>
        <v>-19.265661559312026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2448</v>
      </c>
      <c r="D21" s="316">
        <f t="shared" si="5"/>
        <v>408</v>
      </c>
      <c r="E21" s="316">
        <f t="shared" si="0"/>
        <v>2040</v>
      </c>
      <c r="F21" s="314"/>
      <c r="G21" s="318">
        <f ca="1">DATA!$D$11/1000000</f>
        <v>0.52317601760120003</v>
      </c>
      <c r="H21" s="318">
        <f>C21*DATA!$D$5/1000000</f>
        <v>2.653938112330358</v>
      </c>
      <c r="I21" s="318">
        <f>(C21*DATA!$D$5*DATA!$D$7)/1000000</f>
        <v>5.9713607527433051E-2</v>
      </c>
      <c r="J21" s="316">
        <f t="shared" ca="1" si="1"/>
        <v>3.2368277374589911</v>
      </c>
      <c r="K21" s="314"/>
      <c r="L21" s="316">
        <f>((D21*DATA!$D$23)/1000000)+((E21*DATA!$D$24)/1000000)</f>
        <v>3.5366256000000003</v>
      </c>
      <c r="M21" s="316">
        <f t="shared" si="2"/>
        <v>3.5366256000000003</v>
      </c>
      <c r="N21" s="316">
        <f t="shared" ca="1" si="6"/>
        <v>0.29979786254100915</v>
      </c>
      <c r="O21" s="315">
        <f>1/(1+'[93]Asumsi I'!$C$3)^(KKF!A21)</f>
        <v>0.20461981261590317</v>
      </c>
      <c r="P21" s="316">
        <f t="shared" ca="1" si="7"/>
        <v>6.1344582455789588E-2</v>
      </c>
      <c r="Q21" s="316">
        <f t="shared" ca="1" si="9"/>
        <v>-19.204316976856237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2448</v>
      </c>
      <c r="D22" s="316">
        <f t="shared" si="5"/>
        <v>408</v>
      </c>
      <c r="E22" s="316">
        <f t="shared" si="0"/>
        <v>2040</v>
      </c>
      <c r="F22" s="314"/>
      <c r="G22" s="318">
        <f ca="1">DATA!$D$11/1000000</f>
        <v>0.52317601760120003</v>
      </c>
      <c r="H22" s="318">
        <f>C22*DATA!$D$5/1000000</f>
        <v>2.653938112330358</v>
      </c>
      <c r="I22" s="318">
        <f>(C22*DATA!$D$5*DATA!$D$7)/1000000</f>
        <v>5.9713607527433051E-2</v>
      </c>
      <c r="J22" s="316">
        <f t="shared" ca="1" si="1"/>
        <v>3.2368277374589911</v>
      </c>
      <c r="K22" s="314"/>
      <c r="L22" s="316">
        <f>((D22*DATA!$D$23)/1000000)+((E22*DATA!$D$24)/1000000)</f>
        <v>3.5366256000000003</v>
      </c>
      <c r="M22" s="316">
        <f t="shared" si="2"/>
        <v>3.5366256000000003</v>
      </c>
      <c r="N22" s="316">
        <f t="shared" ca="1" si="6"/>
        <v>0.29979786254100915</v>
      </c>
      <c r="O22" s="315">
        <f>1/(1+'[93]Asumsi I'!$C$3)^(KKF!A22)</f>
        <v>0.18269626126419927</v>
      </c>
      <c r="P22" s="316">
        <f t="shared" ca="1" si="7"/>
        <v>5.4771948621240706E-2</v>
      </c>
      <c r="Q22" s="316">
        <f t="shared" ca="1" si="9"/>
        <v>-19.149545028234996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2448</v>
      </c>
      <c r="D23" s="316">
        <f t="shared" si="5"/>
        <v>408</v>
      </c>
      <c r="E23" s="316">
        <f t="shared" si="0"/>
        <v>2040</v>
      </c>
      <c r="F23" s="314"/>
      <c r="G23" s="318">
        <f ca="1">DATA!$D$11/1000000</f>
        <v>0.52317601760120003</v>
      </c>
      <c r="H23" s="318">
        <f>C23*DATA!$D$5/1000000</f>
        <v>2.653938112330358</v>
      </c>
      <c r="I23" s="318">
        <f>(C23*DATA!$D$5*DATA!$D$7)/1000000</f>
        <v>5.9713607527433051E-2</v>
      </c>
      <c r="J23" s="316">
        <f t="shared" ca="1" si="1"/>
        <v>3.2368277374589911</v>
      </c>
      <c r="K23" s="314"/>
      <c r="L23" s="316">
        <f>((D23*DATA!$D$23)/1000000)+((E23*DATA!$D$24)/1000000)</f>
        <v>3.5366256000000003</v>
      </c>
      <c r="M23" s="316">
        <f t="shared" si="2"/>
        <v>3.5366256000000003</v>
      </c>
      <c r="N23" s="316">
        <f t="shared" ca="1" si="6"/>
        <v>0.29979786254100915</v>
      </c>
      <c r="O23" s="315">
        <f>1/(1+'[93]Asumsi I'!$C$3)^(KKF!A23)</f>
        <v>0.16312166184303503</v>
      </c>
      <c r="P23" s="316">
        <f t="shared" ca="1" si="7"/>
        <v>4.8903525554679195E-2</v>
      </c>
      <c r="Q23" s="316">
        <f t="shared" ca="1" si="9"/>
        <v>-19.100641502680318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2448</v>
      </c>
      <c r="D24" s="316">
        <f t="shared" si="5"/>
        <v>408</v>
      </c>
      <c r="E24" s="316">
        <f t="shared" si="0"/>
        <v>2040</v>
      </c>
      <c r="F24" s="314"/>
      <c r="G24" s="318">
        <f ca="1">DATA!$D$11/1000000</f>
        <v>0.52317601760120003</v>
      </c>
      <c r="H24" s="318">
        <f>C24*DATA!$D$5/1000000</f>
        <v>2.653938112330358</v>
      </c>
      <c r="I24" s="318">
        <f>(C24*DATA!$D$5*DATA!$D$7)/1000000</f>
        <v>5.9713607527433051E-2</v>
      </c>
      <c r="J24" s="316">
        <f t="shared" ca="1" si="1"/>
        <v>3.2368277374589911</v>
      </c>
      <c r="K24" s="314"/>
      <c r="L24" s="316">
        <f>((D24*DATA!$D$23)/1000000)+((E24*DATA!$D$24)/1000000)</f>
        <v>3.5366256000000003</v>
      </c>
      <c r="M24" s="316">
        <f t="shared" si="2"/>
        <v>3.5366256000000003</v>
      </c>
      <c r="N24" s="316">
        <f t="shared" ca="1" si="6"/>
        <v>0.29979786254100915</v>
      </c>
      <c r="O24" s="315">
        <f>1/(1+'[93]Asumsi I'!$C$3)^(KKF!A24)</f>
        <v>0.14564434093128129</v>
      </c>
      <c r="P24" s="316">
        <f t="shared" ca="1" si="7"/>
        <v>4.3663862102392141E-2</v>
      </c>
      <c r="Q24" s="316">
        <f t="shared" ca="1" si="9"/>
        <v>-19.056977640577927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2448</v>
      </c>
      <c r="D25" s="316">
        <f t="shared" si="5"/>
        <v>408</v>
      </c>
      <c r="E25" s="316">
        <f t="shared" si="0"/>
        <v>2040</v>
      </c>
      <c r="F25" s="314"/>
      <c r="G25" s="318">
        <f ca="1">DATA!$D$11/1000000</f>
        <v>0.52317601760120003</v>
      </c>
      <c r="H25" s="318">
        <f>C25*DATA!$D$5/1000000</f>
        <v>2.653938112330358</v>
      </c>
      <c r="I25" s="318">
        <f>(C25*DATA!$D$5*DATA!$D$7)/1000000</f>
        <v>5.9713607527433051E-2</v>
      </c>
      <c r="J25" s="316">
        <f t="shared" ca="1" si="1"/>
        <v>3.2368277374589911</v>
      </c>
      <c r="K25" s="314"/>
      <c r="L25" s="316">
        <f>((D25*DATA!$D$23)/1000000)+((E25*DATA!$D$24)/1000000)</f>
        <v>3.5366256000000003</v>
      </c>
      <c r="M25" s="316">
        <f t="shared" si="2"/>
        <v>3.5366256000000003</v>
      </c>
      <c r="N25" s="316">
        <f t="shared" ca="1" si="6"/>
        <v>0.29979786254100915</v>
      </c>
      <c r="O25" s="315">
        <f>1/(1+'[93]Asumsi I'!$C$3)^(KKF!A25)</f>
        <v>0.13003959011721541</v>
      </c>
      <c r="P25" s="316">
        <f t="shared" ca="1" si="7"/>
        <v>3.8985591162850122E-2</v>
      </c>
      <c r="Q25" s="316">
        <f t="shared" ca="1" si="9"/>
        <v>-19.017992049415078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2448</v>
      </c>
      <c r="D26" s="316">
        <f t="shared" si="5"/>
        <v>408</v>
      </c>
      <c r="E26" s="316">
        <f t="shared" si="0"/>
        <v>2040</v>
      </c>
      <c r="F26" s="314"/>
      <c r="G26" s="318">
        <f ca="1">DATA!$D$11/1000000</f>
        <v>0.52317601760120003</v>
      </c>
      <c r="H26" s="318">
        <f>C26*DATA!$D$5/1000000</f>
        <v>2.653938112330358</v>
      </c>
      <c r="I26" s="318">
        <f>(C26*DATA!$D$5*DATA!$D$7)/1000000</f>
        <v>5.9713607527433051E-2</v>
      </c>
      <c r="J26" s="316">
        <f t="shared" ca="1" si="1"/>
        <v>3.2368277374589911</v>
      </c>
      <c r="K26" s="314"/>
      <c r="L26" s="316">
        <f>((D26*DATA!$D$23)/1000000)+((E26*DATA!$D$24)/1000000)</f>
        <v>3.5366256000000003</v>
      </c>
      <c r="M26" s="316">
        <f t="shared" si="2"/>
        <v>3.5366256000000003</v>
      </c>
      <c r="N26" s="316">
        <f t="shared" ca="1" si="6"/>
        <v>0.29979786254100915</v>
      </c>
      <c r="O26" s="315">
        <f>1/(1+'[93]Asumsi I'!$C$3)^(KKF!A26)</f>
        <v>0.1161067768903709</v>
      </c>
      <c r="P26" s="316">
        <f t="shared" ca="1" si="7"/>
        <v>3.4808563538259035E-2</v>
      </c>
      <c r="Q26" s="316">
        <f t="shared" ca="1" si="9"/>
        <v>-18.983183485876818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2448</v>
      </c>
      <c r="D27" s="316">
        <f t="shared" si="5"/>
        <v>408</v>
      </c>
      <c r="E27" s="316">
        <f t="shared" si="0"/>
        <v>2040</v>
      </c>
      <c r="F27" s="314"/>
      <c r="G27" s="318">
        <f ca="1">DATA!$D$11/1000000</f>
        <v>0.52317601760120003</v>
      </c>
      <c r="H27" s="318">
        <f>C27*DATA!$D$5/1000000</f>
        <v>2.653938112330358</v>
      </c>
      <c r="I27" s="318">
        <f>(C27*DATA!$D$5*DATA!$D$7)/1000000</f>
        <v>5.9713607527433051E-2</v>
      </c>
      <c r="J27" s="316">
        <f t="shared" ca="1" si="1"/>
        <v>3.2368277374589911</v>
      </c>
      <c r="K27" s="314"/>
      <c r="L27" s="316">
        <f>((D27*DATA!$D$23)/1000000)+((E27*DATA!$D$24)/1000000)</f>
        <v>3.5366256000000003</v>
      </c>
      <c r="M27" s="316">
        <f t="shared" si="2"/>
        <v>3.5366256000000003</v>
      </c>
      <c r="N27" s="316">
        <f t="shared" ca="1" si="6"/>
        <v>0.29979786254100915</v>
      </c>
      <c r="O27" s="315">
        <f>1/(1+'[93]Asumsi I'!$C$3)^(KKF!A27)</f>
        <v>0.1036667650806883</v>
      </c>
      <c r="P27" s="316">
        <f t="shared" ca="1" si="7"/>
        <v>3.1079074587731279E-2</v>
      </c>
      <c r="Q27" s="316">
        <f t="shared" ca="1" si="9"/>
        <v>-18.952104411289088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2448</v>
      </c>
      <c r="D28" s="316">
        <f t="shared" si="5"/>
        <v>408</v>
      </c>
      <c r="E28" s="316">
        <f t="shared" si="0"/>
        <v>2040</v>
      </c>
      <c r="F28" s="314"/>
      <c r="G28" s="318">
        <f ca="1">DATA!$D$11/1000000</f>
        <v>0.52317601760120003</v>
      </c>
      <c r="H28" s="318">
        <f>C28*DATA!$D$5/1000000</f>
        <v>2.653938112330358</v>
      </c>
      <c r="I28" s="318">
        <f>(C28*DATA!$D$5*DATA!$D$7)/1000000</f>
        <v>5.9713607527433051E-2</v>
      </c>
      <c r="J28" s="316">
        <f t="shared" ca="1" si="1"/>
        <v>3.2368277374589911</v>
      </c>
      <c r="K28" s="314"/>
      <c r="L28" s="316">
        <f>((D28*DATA!$D$23)/1000000)+((E28*DATA!$D$24)/1000000)</f>
        <v>3.5366256000000003</v>
      </c>
      <c r="M28" s="316">
        <f t="shared" si="2"/>
        <v>3.5366256000000003</v>
      </c>
      <c r="N28" s="316">
        <f t="shared" ca="1" si="6"/>
        <v>0.29979786254100915</v>
      </c>
      <c r="O28" s="315">
        <f>1/(1+'[93]Asumsi I'!$C$3)^(KKF!A28)</f>
        <v>9.2559611679185971E-2</v>
      </c>
      <c r="P28" s="316">
        <f t="shared" ca="1" si="7"/>
        <v>2.7749173739045781E-2</v>
      </c>
      <c r="Q28" s="316">
        <f t="shared" ca="1" si="9"/>
        <v>-18.924355237550042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2448</v>
      </c>
      <c r="D29" s="316">
        <f t="shared" si="5"/>
        <v>408</v>
      </c>
      <c r="E29" s="316">
        <f t="shared" si="0"/>
        <v>2040</v>
      </c>
      <c r="F29" s="314"/>
      <c r="G29" s="318">
        <f ca="1">DATA!$D$11/1000000</f>
        <v>0.52317601760120003</v>
      </c>
      <c r="H29" s="318">
        <f>C29*DATA!$D$5/1000000</f>
        <v>2.653938112330358</v>
      </c>
      <c r="I29" s="318">
        <f>(C29*DATA!$D$5*DATA!$D$7)/1000000</f>
        <v>5.9713607527433051E-2</v>
      </c>
      <c r="J29" s="316">
        <f t="shared" ca="1" si="1"/>
        <v>3.2368277374589911</v>
      </c>
      <c r="K29" s="314"/>
      <c r="L29" s="316">
        <f>((D29*DATA!$D$23)/1000000)+((E29*DATA!$D$24)/1000000)</f>
        <v>3.5366256000000003</v>
      </c>
      <c r="M29" s="316">
        <f t="shared" si="2"/>
        <v>3.5366256000000003</v>
      </c>
      <c r="N29" s="316">
        <f t="shared" ca="1" si="6"/>
        <v>0.29979786254100915</v>
      </c>
      <c r="O29" s="315">
        <f>1/(1+'[93]Asumsi I'!$C$3)^(KKF!A29)</f>
        <v>8.2642510427844609E-2</v>
      </c>
      <c r="P29" s="316">
        <f t="shared" ca="1" si="7"/>
        <v>2.4776047981290874E-2</v>
      </c>
      <c r="Q29" s="316">
        <f t="shared" ca="1" si="9"/>
        <v>-18.899579189568751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2448</v>
      </c>
      <c r="D30" s="316">
        <f t="shared" si="5"/>
        <v>408</v>
      </c>
      <c r="E30" s="316">
        <f t="shared" si="0"/>
        <v>2040</v>
      </c>
      <c r="F30" s="314"/>
      <c r="G30" s="318">
        <f ca="1">DATA!$D$11/1000000</f>
        <v>0.52317601760120003</v>
      </c>
      <c r="H30" s="318">
        <f>C30*DATA!$D$5/1000000</f>
        <v>2.653938112330358</v>
      </c>
      <c r="I30" s="318">
        <f>(C30*DATA!$D$5*DATA!$D$7)/1000000</f>
        <v>5.9713607527433051E-2</v>
      </c>
      <c r="J30" s="316">
        <f t="shared" ca="1" si="1"/>
        <v>3.2368277374589911</v>
      </c>
      <c r="K30" s="314"/>
      <c r="L30" s="316">
        <f>((D30*DATA!$D$23)/1000000)+((E30*DATA!$D$24)/1000000)</f>
        <v>3.5366256000000003</v>
      </c>
      <c r="M30" s="316">
        <f t="shared" si="2"/>
        <v>3.5366256000000003</v>
      </c>
      <c r="N30" s="316">
        <f t="shared" ca="1" si="6"/>
        <v>0.29979786254100915</v>
      </c>
      <c r="O30" s="315">
        <f>1/(1+'[93]Asumsi I'!$C$3)^(KKF!A30)</f>
        <v>7.3787955739146982E-2</v>
      </c>
      <c r="P30" s="316">
        <f t="shared" ca="1" si="7"/>
        <v>2.2121471411866853E-2</v>
      </c>
      <c r="Q30" s="316">
        <f t="shared" ca="1" si="9"/>
        <v>-18.877457718156883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2448</v>
      </c>
      <c r="D31" s="316">
        <f t="shared" si="5"/>
        <v>408</v>
      </c>
      <c r="E31" s="316">
        <f t="shared" si="0"/>
        <v>2040</v>
      </c>
      <c r="F31" s="314"/>
      <c r="G31" s="318">
        <f ca="1">DATA!$D$11/1000000</f>
        <v>0.52317601760120003</v>
      </c>
      <c r="H31" s="318">
        <f>C31*DATA!$D$5/1000000</f>
        <v>2.653938112330358</v>
      </c>
      <c r="I31" s="318">
        <f>(C31*DATA!$D$5*DATA!$D$7)/1000000</f>
        <v>5.9713607527433051E-2</v>
      </c>
      <c r="J31" s="316">
        <f t="shared" ca="1" si="1"/>
        <v>3.2368277374589911</v>
      </c>
      <c r="K31" s="314"/>
      <c r="L31" s="316">
        <f>((D31*DATA!$D$23)/1000000)+((E31*DATA!$D$24)/1000000)</f>
        <v>3.5366256000000003</v>
      </c>
      <c r="M31" s="316">
        <f t="shared" si="2"/>
        <v>3.5366256000000003</v>
      </c>
      <c r="N31" s="316">
        <f t="shared" ca="1" si="6"/>
        <v>0.29979786254100915</v>
      </c>
      <c r="O31" s="315">
        <f>1/(1+'[93]Asumsi I'!$C$3)^(KKF!A31)</f>
        <v>6.5882103338524081E-2</v>
      </c>
      <c r="P31" s="316">
        <f t="shared" ca="1" si="7"/>
        <v>1.9751313760595402E-2</v>
      </c>
      <c r="Q31" s="316">
        <f ca="1">Q30+P31</f>
        <v>-18.857706404396289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2448</v>
      </c>
      <c r="D32" s="316">
        <f t="shared" si="5"/>
        <v>408</v>
      </c>
      <c r="E32" s="316">
        <f t="shared" si="0"/>
        <v>2040</v>
      </c>
      <c r="F32" s="314"/>
      <c r="G32" s="318">
        <f ca="1">DATA!$D$11/1000000</f>
        <v>0.52317601760120003</v>
      </c>
      <c r="H32" s="318">
        <f>C32*DATA!$D$5/1000000</f>
        <v>2.653938112330358</v>
      </c>
      <c r="I32" s="318">
        <f>(C32*DATA!$D$5*DATA!$D$7)/1000000</f>
        <v>5.9713607527433051E-2</v>
      </c>
      <c r="J32" s="316">
        <f t="shared" ca="1" si="1"/>
        <v>3.2368277374589911</v>
      </c>
      <c r="K32" s="314"/>
      <c r="L32" s="316">
        <f>((D32*DATA!$D$23)/1000000)+((E32*DATA!$D$24)/1000000)</f>
        <v>3.5366256000000003</v>
      </c>
      <c r="M32" s="316">
        <f t="shared" si="2"/>
        <v>3.5366256000000003</v>
      </c>
      <c r="N32" s="316">
        <f t="shared" ca="1" si="6"/>
        <v>0.29979786254100915</v>
      </c>
      <c r="O32" s="315">
        <f>1/(1+'[93]Asumsi I'!$C$3)^(KKF!A32)</f>
        <v>5.8823306552253637E-2</v>
      </c>
      <c r="P32" s="316">
        <f t="shared" ca="1" si="7"/>
        <v>1.7635101571960177E-2</v>
      </c>
      <c r="Q32" s="316">
        <f ca="1">Q31+P32</f>
        <v>-18.840071302824327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1" t="s">
        <v>1374</v>
      </c>
      <c r="G33" s="611"/>
      <c r="H33" s="611"/>
      <c r="I33" s="324"/>
      <c r="J33" s="325">
        <f ca="1">SUM(J7:J32)</f>
        <v>109.41177148070787</v>
      </c>
      <c r="K33" s="611" t="s">
        <v>1375</v>
      </c>
      <c r="L33" s="611"/>
      <c r="M33" s="325">
        <f>SUM(M7:M32)</f>
        <v>95.715290399999958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95.0342934494264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0.87481711615351232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-16.821492234664575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-6.7893354960692376E-2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3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C23" sqref="C23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4" t="s">
        <v>1036</v>
      </c>
      <c r="P3" s="614"/>
      <c r="Q3" s="346"/>
      <c r="T3" s="344"/>
      <c r="U3" s="345" t="s">
        <v>1041</v>
      </c>
      <c r="V3" s="344"/>
    </row>
    <row r="4" spans="1:22" ht="15.75" customHeight="1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1" t="str">
        <f>DATA!D14</f>
        <v>BUDIMAN TRI CAHYONO</v>
      </c>
      <c r="H6" s="631"/>
      <c r="I6" s="631"/>
      <c r="J6" s="631"/>
      <c r="K6" s="63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1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2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8"/>
      <c r="C13" s="621"/>
      <c r="D13" s="623"/>
      <c r="E13" s="623"/>
      <c r="F13" s="623"/>
      <c r="G13" s="626"/>
      <c r="H13" s="628"/>
      <c r="I13" s="628"/>
      <c r="J13" s="623"/>
      <c r="K13" s="642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5800000</v>
      </c>
      <c r="J17" s="361">
        <f t="shared" ref="J17" ca="1" si="10">IF(D17="JASA",G17*F17,0)</f>
        <v>0</v>
      </c>
      <c r="K17" s="362">
        <f t="shared" ref="K17" ca="1" si="11">SUM(H17:J17)</f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101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3</v>
      </c>
      <c r="G18" s="360">
        <f ca="1">IF(ISERROR(OFFSET('HARGA SATUAN'!$I$6,MATCH(RAB!C18,'HARGA SATUAN'!$C$7:$C$1492,0),0)),0,OFFSET('HARGA SATUAN'!$I$6,MATCH(RAB!C18,'HARGA SATUAN'!$C$7:$C$1492,0),0))</f>
        <v>3382600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10147800</v>
      </c>
      <c r="J18" s="361">
        <f t="shared" ref="J18" ca="1" si="14">IF(D18="JASA",G18*F18,0)</f>
        <v>0</v>
      </c>
      <c r="K18" s="362">
        <f t="shared" ref="K18" ca="1" si="15">SUM(H18:J18)</f>
        <v>10147800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ref="H19" ca="1" si="16">IF(OR(D19="MDU",D19="MDU-KD"),(IF($O$3="RAB NON MDU","PLN KD",G19*F19)),0)</f>
        <v>0</v>
      </c>
      <c r="I19" s="361">
        <f t="shared" ref="I19" ca="1" si="17">IF(D19="HDW",G19*F19,0)</f>
        <v>0</v>
      </c>
      <c r="J19" s="361">
        <f t="shared" ref="J19" ca="1" si="18">IF(D19="JASA",G19*F19,0)</f>
        <v>10066.666666666668</v>
      </c>
      <c r="K19" s="362">
        <f t="shared" ref="K19" ca="1" si="19">SUM(H19:J19)</f>
        <v>10066.666666666668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>
        <v>4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8">
        <v>1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ref="H20:H38" ca="1" si="20">IF(OR(D20="MDU",D20="MDU-KD"),(IF($O$3="RAB NON MDU","PLN KD",G20*F20)),0)</f>
        <v>0</v>
      </c>
      <c r="I20" s="361">
        <f t="shared" ref="I20:I38" ca="1" si="21">IF(D20="HDW",G20*F20,0)</f>
        <v>200000</v>
      </c>
      <c r="J20" s="361">
        <f t="shared" ref="J20:J38" ca="1" si="22">IF(D20="JASA",G20*F20,0)</f>
        <v>0</v>
      </c>
      <c r="K20" s="362">
        <f t="shared" ref="K20:K38" ca="1" si="23">SUM(H20:J20)</f>
        <v>200000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71"/>
      <c r="C21" s="109"/>
      <c r="D21" s="358"/>
      <c r="E21" s="359"/>
      <c r="F21" s="368"/>
      <c r="G21" s="360"/>
      <c r="H21" s="361"/>
      <c r="I21" s="361"/>
      <c r="J21" s="361"/>
      <c r="K21" s="362"/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66" t="s">
        <v>1613</v>
      </c>
      <c r="C22" s="367" t="s">
        <v>1629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7" ca="1" si="24">IF(OR(D22="MDU",D22="MDU-KD"),(IF($O$3="RAB NON MDU","PLN KD",G22*F22)),0)</f>
        <v>0</v>
      </c>
      <c r="I22" s="361">
        <f t="shared" ref="I22:I37" ca="1" si="25">IF(D22="HDW",G22*F22,0)</f>
        <v>0</v>
      </c>
      <c r="J22" s="361">
        <f t="shared" ref="J22:J37" ca="1" si="26">IF(D22="JASA",G22*F22,0)</f>
        <v>0</v>
      </c>
      <c r="K22" s="362">
        <f t="shared" ref="K22:K37" ca="1" si="27">SUM(H22:J22)</f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65" customFormat="1">
      <c r="A23" s="336"/>
      <c r="B23" s="496"/>
      <c r="C23" s="49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4"/>
        <v>0</v>
      </c>
      <c r="I23" s="361">
        <f t="shared" ca="1" si="25"/>
        <v>0</v>
      </c>
      <c r="J23" s="361">
        <f t="shared" ca="1" si="26"/>
        <v>0</v>
      </c>
      <c r="K23" s="362">
        <f t="shared" ca="1" si="27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06" t="s">
        <v>1035</v>
      </c>
      <c r="C24" s="507" t="s">
        <v>1630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9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24"/>
        <v>0</v>
      </c>
      <c r="I24" s="361">
        <f t="shared" ca="1" si="25"/>
        <v>0</v>
      </c>
      <c r="J24" s="361">
        <f t="shared" ca="1" si="26"/>
        <v>0</v>
      </c>
      <c r="K24" s="362">
        <f t="shared" ca="1" si="27"/>
        <v>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06">
        <v>1</v>
      </c>
      <c r="C25" s="507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9">
        <f>F24*3</f>
        <v>3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24"/>
        <v>530700</v>
      </c>
      <c r="I25" s="361">
        <f t="shared" ca="1" si="25"/>
        <v>0</v>
      </c>
      <c r="J25" s="361">
        <f t="shared" ca="1" si="26"/>
        <v>0</v>
      </c>
      <c r="K25" s="362">
        <f t="shared" ca="1" si="27"/>
        <v>530700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06">
        <v>2</v>
      </c>
      <c r="C26" s="507" t="s">
        <v>28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9">
        <f>F24*1</f>
        <v>1</v>
      </c>
      <c r="G26" s="360">
        <f ca="1">IF(ISERROR(OFFSET('HARGA SATUAN'!$I$6,MATCH(RAB!C26,'HARGA SATUAN'!$C$7:$C$1492,0),0)),0,OFFSET('HARGA SATUAN'!$I$6,MATCH(RAB!C26,'HARGA SATUAN'!$C$7:$C$1492,0),0))</f>
        <v>26500</v>
      </c>
      <c r="H26" s="361">
        <f t="shared" ca="1" si="24"/>
        <v>0</v>
      </c>
      <c r="I26" s="361">
        <f t="shared" ca="1" si="25"/>
        <v>26500</v>
      </c>
      <c r="J26" s="361">
        <f t="shared" ca="1" si="26"/>
        <v>0</v>
      </c>
      <c r="K26" s="362">
        <f t="shared" ca="1" si="27"/>
        <v>26500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06">
        <v>3</v>
      </c>
      <c r="C27" s="507" t="s">
        <v>163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9">
        <f>F24*2</f>
        <v>2</v>
      </c>
      <c r="G27" s="360">
        <f ca="1">IF(ISERROR(OFFSET('HARGA SATUAN'!$I$6,MATCH(RAB!C27,'HARGA SATUAN'!$C$7:$C$1492,0),0)),0,OFFSET('HARGA SATUAN'!$I$6,MATCH(RAB!C27,'HARGA SATUAN'!$C$7:$C$1492,0),0))</f>
        <v>7938</v>
      </c>
      <c r="H27" s="361">
        <f t="shared" ca="1" si="24"/>
        <v>0</v>
      </c>
      <c r="I27" s="361">
        <f t="shared" ca="1" si="25"/>
        <v>15876</v>
      </c>
      <c r="J27" s="361">
        <f t="shared" ca="1" si="26"/>
        <v>0</v>
      </c>
      <c r="K27" s="362">
        <f t="shared" ca="1" si="27"/>
        <v>15876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06">
        <v>4</v>
      </c>
      <c r="C28" s="507" t="s">
        <v>173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9">
        <f>F24*2</f>
        <v>2</v>
      </c>
      <c r="G28" s="360">
        <f ca="1">IF(ISERROR(OFFSET('HARGA SATUAN'!$I$6,MATCH(RAB!C28,'HARGA SATUAN'!$C$7:$C$1492,0),0)),0,OFFSET('HARGA SATUAN'!$I$6,MATCH(RAB!C28,'HARGA SATUAN'!$C$7:$C$1492,0),0))</f>
        <v>45000</v>
      </c>
      <c r="H28" s="361">
        <f t="shared" ca="1" si="24"/>
        <v>0</v>
      </c>
      <c r="I28" s="361">
        <f t="shared" ca="1" si="25"/>
        <v>90000</v>
      </c>
      <c r="J28" s="361">
        <f t="shared" ca="1" si="26"/>
        <v>0</v>
      </c>
      <c r="K28" s="362">
        <f t="shared" ca="1" si="27"/>
        <v>90000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06">
        <v>5</v>
      </c>
      <c r="C29" s="507" t="s">
        <v>593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9">
        <f>F24*1</f>
        <v>1</v>
      </c>
      <c r="G29" s="360">
        <f ca="1">IF(ISERROR(OFFSET('HARGA SATUAN'!$I$6,MATCH(RAB!C29,'HARGA SATUAN'!$C$7:$C$1492,0),0)),0,OFFSET('HARGA SATUAN'!$I$6,MATCH(RAB!C29,'HARGA SATUAN'!$C$7:$C$1492,0),0))</f>
        <v>380500</v>
      </c>
      <c r="H29" s="361">
        <f t="shared" ca="1" si="24"/>
        <v>0</v>
      </c>
      <c r="I29" s="361">
        <f t="shared" ca="1" si="25"/>
        <v>380500</v>
      </c>
      <c r="J29" s="361">
        <f t="shared" ca="1" si="26"/>
        <v>0</v>
      </c>
      <c r="K29" s="362">
        <f t="shared" ca="1" si="27"/>
        <v>380500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06">
        <v>6</v>
      </c>
      <c r="C30" s="507" t="s">
        <v>217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9">
        <f>F24*1</f>
        <v>1</v>
      </c>
      <c r="G30" s="360">
        <f ca="1">IF(ISERROR(OFFSET('HARGA SATUAN'!$I$6,MATCH(RAB!C30,'HARGA SATUAN'!$C$7:$C$1492,0),0)),0,OFFSET('HARGA SATUAN'!$I$6,MATCH(RAB!C30,'HARGA SATUAN'!$C$7:$C$1492,0),0))</f>
        <v>11400</v>
      </c>
      <c r="H30" s="361">
        <f t="shared" ca="1" si="24"/>
        <v>0</v>
      </c>
      <c r="I30" s="361">
        <f t="shared" ca="1" si="25"/>
        <v>11400</v>
      </c>
      <c r="J30" s="361">
        <f t="shared" ca="1" si="26"/>
        <v>0</v>
      </c>
      <c r="K30" s="362">
        <f t="shared" ca="1" si="27"/>
        <v>11400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06">
        <v>7</v>
      </c>
      <c r="C31" s="507" t="s">
        <v>247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9">
        <f>F24*1</f>
        <v>1</v>
      </c>
      <c r="G31" s="360">
        <f ca="1">IF(ISERROR(OFFSET('HARGA SATUAN'!$I$6,MATCH(RAB!C31,'HARGA SATUAN'!$C$7:$C$1492,0),0)),0,OFFSET('HARGA SATUAN'!$I$6,MATCH(RAB!C31,'HARGA SATUAN'!$C$7:$C$1492,0),0))</f>
        <v>57690</v>
      </c>
      <c r="H31" s="361">
        <f t="shared" ca="1" si="24"/>
        <v>0</v>
      </c>
      <c r="I31" s="361">
        <f t="shared" ca="1" si="25"/>
        <v>57690</v>
      </c>
      <c r="J31" s="361">
        <f t="shared" ca="1" si="26"/>
        <v>0</v>
      </c>
      <c r="K31" s="362">
        <f t="shared" ca="1" si="27"/>
        <v>57690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06">
        <v>8</v>
      </c>
      <c r="C32" s="507" t="s">
        <v>254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9">
        <f>F24*1</f>
        <v>1</v>
      </c>
      <c r="G32" s="360">
        <f ca="1">IF(ISERROR(OFFSET('HARGA SATUAN'!$I$6,MATCH(RAB!C32,'HARGA SATUAN'!$C$7:$C$1492,0),0)),0,OFFSET('HARGA SATUAN'!$I$6,MATCH(RAB!C32,'HARGA SATUAN'!$C$7:$C$1492,0),0))</f>
        <v>51100</v>
      </c>
      <c r="H32" s="361">
        <f t="shared" ca="1" si="24"/>
        <v>0</v>
      </c>
      <c r="I32" s="361">
        <f t="shared" ca="1" si="25"/>
        <v>51100</v>
      </c>
      <c r="J32" s="361">
        <f t="shared" ca="1" si="26"/>
        <v>0</v>
      </c>
      <c r="K32" s="362">
        <f t="shared" ca="1" si="27"/>
        <v>51100</v>
      </c>
      <c r="L32" s="342"/>
      <c r="M32" s="342"/>
      <c r="N32" s="369"/>
      <c r="O32" s="344"/>
      <c r="P32" s="397"/>
      <c r="Q32" s="344"/>
    </row>
    <row r="33" spans="1:22" s="365" customFormat="1">
      <c r="A33" s="336"/>
      <c r="B33" s="506">
        <v>9</v>
      </c>
      <c r="C33" s="507" t="s">
        <v>264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9">
        <f>F24*1</f>
        <v>1</v>
      </c>
      <c r="G33" s="360">
        <f ca="1">IF(ISERROR(OFFSET('HARGA SATUAN'!$I$6,MATCH(RAB!C33,'HARGA SATUAN'!$C$7:$C$1492,0),0)),0,OFFSET('HARGA SATUAN'!$I$6,MATCH(RAB!C33,'HARGA SATUAN'!$C$7:$C$1492,0),0))</f>
        <v>28000</v>
      </c>
      <c r="H33" s="361">
        <f t="shared" ca="1" si="24"/>
        <v>0</v>
      </c>
      <c r="I33" s="361">
        <f t="shared" ca="1" si="25"/>
        <v>28000</v>
      </c>
      <c r="J33" s="361">
        <f t="shared" ca="1" si="26"/>
        <v>0</v>
      </c>
      <c r="K33" s="362">
        <f t="shared" ca="1" si="27"/>
        <v>28000</v>
      </c>
      <c r="L33" s="342"/>
      <c r="M33" s="342"/>
      <c r="N33" s="369"/>
      <c r="O33" s="344"/>
      <c r="P33" s="397"/>
      <c r="Q33" s="344"/>
    </row>
    <row r="34" spans="1:22" s="365" customFormat="1">
      <c r="A34" s="336"/>
      <c r="B34" s="506">
        <v>10</v>
      </c>
      <c r="C34" s="507" t="s">
        <v>38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Mtr</v>
      </c>
      <c r="F34" s="499">
        <f>6.2*F24</f>
        <v>6.2</v>
      </c>
      <c r="G34" s="360">
        <f ca="1">IF(ISERROR(OFFSET('HARGA SATUAN'!$I$6,MATCH(RAB!C34,'HARGA SATUAN'!$C$7:$C$1492,0),0)),0,OFFSET('HARGA SATUAN'!$I$6,MATCH(RAB!C34,'HARGA SATUAN'!$C$7:$C$1492,0),0))</f>
        <v>8550</v>
      </c>
      <c r="H34" s="361">
        <f t="shared" ca="1" si="24"/>
        <v>0</v>
      </c>
      <c r="I34" s="361">
        <f t="shared" ca="1" si="25"/>
        <v>53010</v>
      </c>
      <c r="J34" s="361">
        <f t="shared" ca="1" si="26"/>
        <v>0</v>
      </c>
      <c r="K34" s="362">
        <f t="shared" ca="1" si="27"/>
        <v>53010</v>
      </c>
      <c r="L34" s="342"/>
      <c r="M34" s="342"/>
      <c r="N34" s="369"/>
      <c r="O34" s="344"/>
      <c r="P34" s="397"/>
      <c r="Q34" s="344"/>
    </row>
    <row r="35" spans="1:22" s="365" customFormat="1">
      <c r="A35" s="336"/>
      <c r="B35" s="506">
        <v>11</v>
      </c>
      <c r="C35" s="507" t="s">
        <v>26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9">
        <f>F24*2</f>
        <v>2</v>
      </c>
      <c r="G35" s="360">
        <f ca="1">IF(ISERROR(OFFSET('HARGA SATUAN'!$I$6,MATCH(RAB!C35,'HARGA SATUAN'!$C$7:$C$1492,0),0)),0,OFFSET('HARGA SATUAN'!$I$6,MATCH(RAB!C35,'HARGA SATUAN'!$C$7:$C$1492,0),0))</f>
        <v>2500</v>
      </c>
      <c r="H35" s="361">
        <f t="shared" ca="1" si="24"/>
        <v>0</v>
      </c>
      <c r="I35" s="361">
        <f t="shared" ca="1" si="25"/>
        <v>5000</v>
      </c>
      <c r="J35" s="361">
        <f t="shared" ca="1" si="26"/>
        <v>0</v>
      </c>
      <c r="K35" s="362">
        <f t="shared" ca="1" si="27"/>
        <v>5000</v>
      </c>
      <c r="L35" s="342"/>
      <c r="M35" s="342"/>
      <c r="N35" s="369"/>
      <c r="O35" s="344"/>
      <c r="P35" s="397"/>
      <c r="Q35" s="344"/>
    </row>
    <row r="36" spans="1:22" s="365" customFormat="1">
      <c r="A36" s="336"/>
      <c r="B36" s="506">
        <v>12</v>
      </c>
      <c r="C36" s="507" t="s">
        <v>685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499">
        <f>F24*1</f>
        <v>1</v>
      </c>
      <c r="G36" s="360">
        <f ca="1">IF(ISERROR(OFFSET('HARGA SATUAN'!$I$6,MATCH(RAB!C36,'HARGA SATUAN'!$C$7:$C$1492,0),0)),0,OFFSET('HARGA SATUAN'!$I$6,MATCH(RAB!C36,'HARGA SATUAN'!$C$7:$C$1492,0),0))</f>
        <v>99100</v>
      </c>
      <c r="H36" s="361">
        <f t="shared" ca="1" si="24"/>
        <v>0</v>
      </c>
      <c r="I36" s="361">
        <f t="shared" ca="1" si="25"/>
        <v>0</v>
      </c>
      <c r="J36" s="361">
        <f t="shared" ca="1" si="26"/>
        <v>99100</v>
      </c>
      <c r="K36" s="362">
        <f t="shared" ca="1" si="27"/>
        <v>99100</v>
      </c>
      <c r="L36" s="342"/>
      <c r="M36" s="342"/>
      <c r="N36" s="369"/>
      <c r="O36" s="344"/>
      <c r="P36" s="397"/>
      <c r="Q36" s="344"/>
    </row>
    <row r="37" spans="1:22" s="365" customFormat="1">
      <c r="A37" s="336"/>
      <c r="B37" s="506"/>
      <c r="C37" s="507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499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4"/>
        <v>0</v>
      </c>
      <c r="I37" s="361">
        <f t="shared" ca="1" si="25"/>
        <v>0</v>
      </c>
      <c r="J37" s="361">
        <f t="shared" ca="1" si="26"/>
        <v>0</v>
      </c>
      <c r="K37" s="362">
        <f t="shared" ca="1" si="27"/>
        <v>0</v>
      </c>
      <c r="L37" s="342"/>
      <c r="M37" s="342"/>
      <c r="N37" s="369"/>
      <c r="O37" s="344"/>
      <c r="P37" s="397"/>
      <c r="Q37" s="344"/>
    </row>
    <row r="38" spans="1:22" s="370" customFormat="1">
      <c r="A38" s="336"/>
      <c r="B38" s="366" t="s">
        <v>1614</v>
      </c>
      <c r="C38" s="367" t="s">
        <v>1628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0"/>
        <v>0</v>
      </c>
      <c r="I38" s="361">
        <f t="shared" ca="1" si="21"/>
        <v>0</v>
      </c>
      <c r="J38" s="361">
        <f t="shared" ca="1" si="22"/>
        <v>0</v>
      </c>
      <c r="K38" s="362">
        <f t="shared" ca="1" si="23"/>
        <v>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65" customFormat="1">
      <c r="A39" s="336"/>
      <c r="B39" s="496"/>
      <c r="C39" s="497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45" ca="1" si="28">IF(OR(D39="MDU",D39="MDU-KD"),(IF($O$3="RAB NON MDU","PLN KD",G39*F39)),0)</f>
        <v>0</v>
      </c>
      <c r="I39" s="361">
        <f t="shared" ref="I39:I45" ca="1" si="29">IF(D39="HDW",G39*F39,0)</f>
        <v>0</v>
      </c>
      <c r="J39" s="361">
        <f t="shared" ref="J39:J45" ca="1" si="30">IF(D39="JASA",G39*F39,0)</f>
        <v>0</v>
      </c>
      <c r="K39" s="362">
        <f t="shared" ref="K39:K45" ca="1" si="31">SUM(H39:J39)</f>
        <v>0</v>
      </c>
      <c r="L39" s="342"/>
      <c r="M39" s="342"/>
      <c r="N39" s="369"/>
      <c r="O39" s="344"/>
      <c r="P39" s="397"/>
      <c r="Q39" s="344"/>
    </row>
    <row r="40" spans="1:22" s="365" customFormat="1">
      <c r="A40" s="336"/>
      <c r="B40" s="506" t="s">
        <v>1035</v>
      </c>
      <c r="C40" s="507" t="s">
        <v>1618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9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8"/>
        <v>0</v>
      </c>
      <c r="I40" s="361">
        <f t="shared" ca="1" si="29"/>
        <v>0</v>
      </c>
      <c r="J40" s="361">
        <f t="shared" ca="1" si="30"/>
        <v>0</v>
      </c>
      <c r="K40" s="362">
        <f t="shared" ca="1" si="31"/>
        <v>0</v>
      </c>
      <c r="L40" s="342"/>
      <c r="M40" s="342"/>
      <c r="N40" s="369"/>
      <c r="O40" s="344"/>
      <c r="P40" s="397"/>
      <c r="Q40" s="344"/>
    </row>
    <row r="41" spans="1:22" s="365" customFormat="1">
      <c r="A41" s="336"/>
      <c r="B41" s="506">
        <v>1</v>
      </c>
      <c r="C41" s="507" t="s">
        <v>595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9">
        <f>F40*1</f>
        <v>2</v>
      </c>
      <c r="G41" s="360">
        <f ca="1">IF(ISERROR(OFFSET('HARGA SATUAN'!$I$6,MATCH(RAB!C41,'HARGA SATUAN'!$C$7:$C$1492,0),0)),0,OFFSET('HARGA SATUAN'!$I$6,MATCH(RAB!C41,'HARGA SATUAN'!$C$7:$C$1492,0),0))</f>
        <v>78500</v>
      </c>
      <c r="H41" s="361">
        <f t="shared" ca="1" si="28"/>
        <v>0</v>
      </c>
      <c r="I41" s="361">
        <f t="shared" ca="1" si="29"/>
        <v>157000</v>
      </c>
      <c r="J41" s="361">
        <f t="shared" ca="1" si="30"/>
        <v>0</v>
      </c>
      <c r="K41" s="362">
        <f t="shared" ca="1" si="31"/>
        <v>157000</v>
      </c>
      <c r="L41" s="342"/>
      <c r="M41" s="342"/>
      <c r="N41" s="369"/>
      <c r="O41" s="344"/>
      <c r="P41" s="397"/>
      <c r="Q41" s="344"/>
    </row>
    <row r="42" spans="1:22" s="365" customFormat="1">
      <c r="A42" s="336"/>
      <c r="B42" s="506">
        <v>2</v>
      </c>
      <c r="C42" s="507" t="s">
        <v>229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99">
        <f>F40*1</f>
        <v>2</v>
      </c>
      <c r="G42" s="360">
        <f ca="1">IF(ISERROR(OFFSET('HARGA SATUAN'!$I$6,MATCH(RAB!C42,'HARGA SATUAN'!$C$7:$C$1492,0),0)),0,OFFSET('HARGA SATUAN'!$I$6,MATCH(RAB!C42,'HARGA SATUAN'!$C$7:$C$1492,0),0))</f>
        <v>4212</v>
      </c>
      <c r="H42" s="361">
        <f t="shared" ca="1" si="28"/>
        <v>0</v>
      </c>
      <c r="I42" s="361">
        <f t="shared" ca="1" si="29"/>
        <v>8424</v>
      </c>
      <c r="J42" s="361">
        <f t="shared" ca="1" si="30"/>
        <v>0</v>
      </c>
      <c r="K42" s="362">
        <f t="shared" ca="1" si="31"/>
        <v>8424</v>
      </c>
      <c r="L42" s="342"/>
      <c r="M42" s="342"/>
      <c r="N42" s="369"/>
      <c r="O42" s="344"/>
      <c r="P42" s="397"/>
      <c r="Q42" s="344"/>
    </row>
    <row r="43" spans="1:22" s="365" customFormat="1">
      <c r="A43" s="336"/>
      <c r="B43" s="506">
        <v>3</v>
      </c>
      <c r="C43" s="507" t="s">
        <v>266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499">
        <f>F40*1</f>
        <v>2</v>
      </c>
      <c r="G43" s="360">
        <f ca="1">IF(ISERROR(OFFSET('HARGA SATUAN'!$I$6,MATCH(RAB!C43,'HARGA SATUAN'!$C$7:$C$1492,0),0)),0,OFFSET('HARGA SATUAN'!$I$6,MATCH(RAB!C43,'HARGA SATUAN'!$C$7:$C$1492,0),0))</f>
        <v>23310</v>
      </c>
      <c r="H43" s="361">
        <f t="shared" ca="1" si="28"/>
        <v>0</v>
      </c>
      <c r="I43" s="361">
        <f t="shared" ca="1" si="29"/>
        <v>46620</v>
      </c>
      <c r="J43" s="361">
        <f t="shared" ca="1" si="30"/>
        <v>0</v>
      </c>
      <c r="K43" s="362">
        <f t="shared" ca="1" si="31"/>
        <v>46620</v>
      </c>
      <c r="L43" s="342"/>
      <c r="M43" s="342"/>
      <c r="N43" s="369"/>
      <c r="O43" s="344"/>
      <c r="P43" s="397"/>
      <c r="Q43" s="344"/>
    </row>
    <row r="44" spans="1:22" s="365" customFormat="1">
      <c r="A44" s="336"/>
      <c r="B44" s="506">
        <v>4</v>
      </c>
      <c r="C44" s="507" t="s">
        <v>35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9">
        <f>F40*1</f>
        <v>2</v>
      </c>
      <c r="G44" s="360">
        <f ca="1">IF(ISERROR(OFFSET('HARGA SATUAN'!$I$6,MATCH(RAB!C44,'HARGA SATUAN'!$C$7:$C$1492,0),0)),0,OFFSET('HARGA SATUAN'!$I$6,MATCH(RAB!C44,'HARGA SATUAN'!$C$7:$C$1492,0),0))</f>
        <v>2300</v>
      </c>
      <c r="H44" s="361">
        <f t="shared" ca="1" si="28"/>
        <v>0</v>
      </c>
      <c r="I44" s="361">
        <f t="shared" ca="1" si="29"/>
        <v>4600</v>
      </c>
      <c r="J44" s="361">
        <f t="shared" ca="1" si="30"/>
        <v>0</v>
      </c>
      <c r="K44" s="362">
        <f t="shared" ca="1" si="31"/>
        <v>4600</v>
      </c>
      <c r="L44" s="342"/>
      <c r="M44" s="342"/>
      <c r="N44" s="369"/>
      <c r="O44" s="344"/>
      <c r="P44" s="397"/>
      <c r="Q44" s="344"/>
    </row>
    <row r="45" spans="1:22" s="365" customFormat="1">
      <c r="A45" s="336"/>
      <c r="B45" s="506">
        <v>5</v>
      </c>
      <c r="C45" s="507" t="s">
        <v>630</v>
      </c>
      <c r="D45" s="358" t="str">
        <f ca="1">IF(ISERROR(OFFSET('HARGA SATUAN'!$D$6,MATCH(RAB!C45,'HARGA SATUAN'!$C$7:$C$1492,0),0)),"",OFFSET('HARGA SATUAN'!$D$6,MATCH(RAB!C45,'HARGA SATUAN'!$C$7:$C$1492,0),0))</f>
        <v>JASA</v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499">
        <f>F40*1</f>
        <v>2</v>
      </c>
      <c r="G45" s="360">
        <f ca="1">IF(ISERROR(OFFSET('HARGA SATUAN'!$I$6,MATCH(RAB!C45,'HARGA SATUAN'!$C$7:$C$1492,0),0)),0,OFFSET('HARGA SATUAN'!$I$6,MATCH(RAB!C45,'HARGA SATUAN'!$C$7:$C$1492,0),0))</f>
        <v>35700</v>
      </c>
      <c r="H45" s="361">
        <f t="shared" ca="1" si="28"/>
        <v>0</v>
      </c>
      <c r="I45" s="361">
        <f t="shared" ca="1" si="29"/>
        <v>0</v>
      </c>
      <c r="J45" s="361">
        <f t="shared" ca="1" si="30"/>
        <v>71400</v>
      </c>
      <c r="K45" s="362">
        <f t="shared" ca="1" si="31"/>
        <v>71400</v>
      </c>
      <c r="L45" s="342"/>
      <c r="M45" s="342"/>
      <c r="N45" s="369"/>
      <c r="O45" s="344"/>
      <c r="P45" s="397"/>
      <c r="Q45" s="344"/>
    </row>
    <row r="46" spans="1:22" s="365" customFormat="1">
      <c r="A46" s="336"/>
      <c r="B46" s="506"/>
      <c r="C46" s="507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499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:H71" ca="1" si="32">IF(OR(D46="MDU",D46="MDU-KD"),(IF($O$3="RAB NON MDU","PLN KD",G46*F46)),0)</f>
        <v>0</v>
      </c>
      <c r="I46" s="361">
        <f t="shared" ref="I46:I71" ca="1" si="33">IF(D46="HDW",G46*F46,0)</f>
        <v>0</v>
      </c>
      <c r="J46" s="361">
        <f t="shared" ref="J46:J71" ca="1" si="34">IF(D46="JASA",G46*F46,0)</f>
        <v>0</v>
      </c>
      <c r="K46" s="362">
        <f t="shared" ref="K46:K71" ca="1" si="35">SUM(H46:J46)</f>
        <v>0</v>
      </c>
      <c r="L46" s="342"/>
      <c r="M46" s="342"/>
      <c r="N46" s="369"/>
      <c r="O46" s="344"/>
      <c r="P46" s="397"/>
      <c r="Q46" s="344"/>
    </row>
    <row r="47" spans="1:22" s="365" customFormat="1">
      <c r="A47" s="336"/>
      <c r="B47" s="506" t="s">
        <v>1035</v>
      </c>
      <c r="C47" s="507" t="s">
        <v>1626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499">
        <v>1</v>
      </c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32"/>
        <v>0</v>
      </c>
      <c r="I47" s="361">
        <f t="shared" ca="1" si="33"/>
        <v>0</v>
      </c>
      <c r="J47" s="361">
        <f t="shared" ca="1" si="34"/>
        <v>0</v>
      </c>
      <c r="K47" s="362">
        <f t="shared" ca="1" si="35"/>
        <v>0</v>
      </c>
      <c r="L47" s="342"/>
      <c r="M47" s="342"/>
      <c r="N47" s="369"/>
      <c r="O47" s="344"/>
      <c r="P47" s="397"/>
      <c r="Q47" s="344"/>
    </row>
    <row r="48" spans="1:22" s="365" customFormat="1">
      <c r="A48" s="336"/>
      <c r="B48" s="506">
        <v>1</v>
      </c>
      <c r="C48" s="507" t="s">
        <v>216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9">
        <f>F47*1</f>
        <v>1</v>
      </c>
      <c r="G48" s="360">
        <f ca="1">IF(ISERROR(OFFSET('HARGA SATUAN'!$I$6,MATCH(RAB!C48,'HARGA SATUAN'!$C$7:$C$1492,0),0)),0,OFFSET('HARGA SATUAN'!$I$6,MATCH(RAB!C48,'HARGA SATUAN'!$C$7:$C$1492,0),0))</f>
        <v>116800</v>
      </c>
      <c r="H48" s="361">
        <f t="shared" ca="1" si="32"/>
        <v>0</v>
      </c>
      <c r="I48" s="361">
        <f t="shared" ca="1" si="33"/>
        <v>116800</v>
      </c>
      <c r="J48" s="361">
        <f t="shared" ca="1" si="34"/>
        <v>0</v>
      </c>
      <c r="K48" s="362">
        <f t="shared" ca="1" si="35"/>
        <v>116800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06">
        <v>2</v>
      </c>
      <c r="C49" s="507" t="s">
        <v>229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9">
        <f>F47*1</f>
        <v>1</v>
      </c>
      <c r="G49" s="360">
        <f ca="1">IF(ISERROR(OFFSET('HARGA SATUAN'!$I$6,MATCH(RAB!C49,'HARGA SATUAN'!$C$7:$C$1492,0),0)),0,OFFSET('HARGA SATUAN'!$I$6,MATCH(RAB!C49,'HARGA SATUAN'!$C$7:$C$1492,0),0))</f>
        <v>4212</v>
      </c>
      <c r="H49" s="361">
        <f t="shared" ca="1" si="32"/>
        <v>0</v>
      </c>
      <c r="I49" s="361">
        <f t="shared" ca="1" si="33"/>
        <v>4212</v>
      </c>
      <c r="J49" s="361">
        <f t="shared" ca="1" si="34"/>
        <v>0</v>
      </c>
      <c r="K49" s="362">
        <f t="shared" ca="1" si="35"/>
        <v>4212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06">
        <v>3</v>
      </c>
      <c r="C50" s="507" t="s">
        <v>266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499">
        <f>F47*1</f>
        <v>1</v>
      </c>
      <c r="G50" s="360">
        <f ca="1">IF(ISERROR(OFFSET('HARGA SATUAN'!$I$6,MATCH(RAB!C50,'HARGA SATUAN'!$C$7:$C$1492,0),0)),0,OFFSET('HARGA SATUAN'!$I$6,MATCH(RAB!C50,'HARGA SATUAN'!$C$7:$C$1492,0),0))</f>
        <v>23310</v>
      </c>
      <c r="H50" s="361">
        <f t="shared" ca="1" si="32"/>
        <v>0</v>
      </c>
      <c r="I50" s="361">
        <f t="shared" ca="1" si="33"/>
        <v>23310</v>
      </c>
      <c r="J50" s="361">
        <f t="shared" ca="1" si="34"/>
        <v>0</v>
      </c>
      <c r="K50" s="362">
        <f t="shared" ca="1" si="35"/>
        <v>23310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06">
        <v>4</v>
      </c>
      <c r="C51" s="507" t="s">
        <v>35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99">
        <f>F47*1</f>
        <v>1</v>
      </c>
      <c r="G51" s="360">
        <f ca="1">IF(ISERROR(OFFSET('HARGA SATUAN'!$I$6,MATCH(RAB!C51,'HARGA SATUAN'!$C$7:$C$1492,0),0)),0,OFFSET('HARGA SATUAN'!$I$6,MATCH(RAB!C51,'HARGA SATUAN'!$C$7:$C$1492,0),0))</f>
        <v>2300</v>
      </c>
      <c r="H51" s="361">
        <f t="shared" ca="1" si="32"/>
        <v>0</v>
      </c>
      <c r="I51" s="361">
        <f t="shared" ca="1" si="33"/>
        <v>2300</v>
      </c>
      <c r="J51" s="361">
        <f t="shared" ca="1" si="34"/>
        <v>0</v>
      </c>
      <c r="K51" s="362">
        <f t="shared" ca="1" si="35"/>
        <v>2300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06">
        <v>5</v>
      </c>
      <c r="C52" s="507" t="s">
        <v>631</v>
      </c>
      <c r="D52" s="358" t="str">
        <f ca="1">IF(ISERROR(OFFSET('HARGA SATUAN'!$D$6,MATCH(RAB!C52,'HARGA SATUAN'!$C$7:$C$1492,0),0)),"",OFFSET('HARGA SATUAN'!$D$6,MATCH(RAB!C52,'HARGA SATUAN'!$C$7:$C$1492,0),0))</f>
        <v>JASA</v>
      </c>
      <c r="E52" s="359" t="str">
        <f ca="1">IF(B52="+","Unit",IF(ISERROR(OFFSET('HARGA SATUAN'!$E$6,MATCH(RAB!C52,'HARGA SATUAN'!$C$7:$C$1492,0),0)),"",OFFSET('HARGA SATUAN'!$E$6,MATCH(RAB!C52,'HARGA SATUAN'!$C$7:$C$1492,0),0)))</f>
        <v>Unit</v>
      </c>
      <c r="F52" s="499">
        <f>F47*1</f>
        <v>1</v>
      </c>
      <c r="G52" s="360">
        <f ca="1">IF(ISERROR(OFFSET('HARGA SATUAN'!$I$6,MATCH(RAB!C52,'HARGA SATUAN'!$C$7:$C$1492,0),0)),0,OFFSET('HARGA SATUAN'!$I$6,MATCH(RAB!C52,'HARGA SATUAN'!$C$7:$C$1492,0),0))</f>
        <v>30700</v>
      </c>
      <c r="H52" s="361">
        <f t="shared" ca="1" si="32"/>
        <v>0</v>
      </c>
      <c r="I52" s="361">
        <f t="shared" ca="1" si="33"/>
        <v>0</v>
      </c>
      <c r="J52" s="361">
        <f t="shared" ca="1" si="34"/>
        <v>30700</v>
      </c>
      <c r="K52" s="362">
        <f t="shared" ca="1" si="35"/>
        <v>30700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06"/>
      <c r="C53" s="507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499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ref="H53:H59" ca="1" si="36">IF(OR(D53="MDU",D53="MDU-KD"),(IF($O$3="RAB NON MDU","PLN KD",G53*F53)),0)</f>
        <v>0</v>
      </c>
      <c r="I53" s="361">
        <f t="shared" ref="I53:I59" ca="1" si="37">IF(D53="HDW",G53*F53,0)</f>
        <v>0</v>
      </c>
      <c r="J53" s="361">
        <f t="shared" ref="J53:J59" ca="1" si="38">IF(D53="JASA",G53*F53,0)</f>
        <v>0</v>
      </c>
      <c r="K53" s="362">
        <f t="shared" ref="K53:K59" ca="1" si="39">SUM(H53:J53)</f>
        <v>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06" t="s">
        <v>1035</v>
      </c>
      <c r="C54" s="507" t="s">
        <v>1627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15">
        <v>2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36"/>
        <v>0</v>
      </c>
      <c r="I54" s="361">
        <f t="shared" ca="1" si="37"/>
        <v>0</v>
      </c>
      <c r="J54" s="361">
        <f t="shared" ca="1" si="38"/>
        <v>0</v>
      </c>
      <c r="K54" s="362">
        <f t="shared" ca="1" si="39"/>
        <v>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06">
        <v>1</v>
      </c>
      <c r="C55" s="507" t="s">
        <v>159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15">
        <f>F54*1</f>
        <v>2</v>
      </c>
      <c r="G55" s="360">
        <f ca="1">IF(ISERROR(OFFSET('HARGA SATUAN'!$I$6,MATCH(RAB!C55,'HARGA SATUAN'!$C$7:$C$1492,0),0)),0,OFFSET('HARGA SATUAN'!$I$6,MATCH(RAB!C55,'HARGA SATUAN'!$C$7:$C$1492,0),0))</f>
        <v>45500</v>
      </c>
      <c r="H55" s="361">
        <f t="shared" ca="1" si="36"/>
        <v>0</v>
      </c>
      <c r="I55" s="361">
        <f t="shared" ca="1" si="37"/>
        <v>91000</v>
      </c>
      <c r="J55" s="361">
        <f t="shared" ca="1" si="38"/>
        <v>0</v>
      </c>
      <c r="K55" s="362">
        <f t="shared" ca="1" si="39"/>
        <v>91000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06">
        <v>2</v>
      </c>
      <c r="C56" s="507" t="s">
        <v>264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15">
        <f>F54*1</f>
        <v>2</v>
      </c>
      <c r="G56" s="360">
        <f ca="1">IF(ISERROR(OFFSET('HARGA SATUAN'!$I$6,MATCH(RAB!C56,'HARGA SATUAN'!$C$7:$C$1492,0),0)),0,OFFSET('HARGA SATUAN'!$I$6,MATCH(RAB!C56,'HARGA SATUAN'!$C$7:$C$1492,0),0))</f>
        <v>28000</v>
      </c>
      <c r="H56" s="361">
        <f t="shared" ca="1" si="36"/>
        <v>0</v>
      </c>
      <c r="I56" s="361">
        <f t="shared" ca="1" si="37"/>
        <v>56000</v>
      </c>
      <c r="J56" s="361">
        <f t="shared" ca="1" si="38"/>
        <v>0</v>
      </c>
      <c r="K56" s="362">
        <f t="shared" ca="1" si="39"/>
        <v>56000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06">
        <v>3</v>
      </c>
      <c r="C57" s="507" t="s">
        <v>38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Mtr</v>
      </c>
      <c r="F57" s="499">
        <f>F54*0.8</f>
        <v>1.6</v>
      </c>
      <c r="G57" s="360">
        <f ca="1">IF(ISERROR(OFFSET('HARGA SATUAN'!$I$6,MATCH(RAB!C57,'HARGA SATUAN'!$C$7:$C$1492,0),0)),0,OFFSET('HARGA SATUAN'!$I$6,MATCH(RAB!C57,'HARGA SATUAN'!$C$7:$C$1492,0),0))</f>
        <v>8550</v>
      </c>
      <c r="H57" s="361">
        <f t="shared" ca="1" si="36"/>
        <v>0</v>
      </c>
      <c r="I57" s="361">
        <f t="shared" ca="1" si="37"/>
        <v>13680</v>
      </c>
      <c r="J57" s="361">
        <f t="shared" ca="1" si="38"/>
        <v>0</v>
      </c>
      <c r="K57" s="362">
        <f t="shared" ca="1" si="39"/>
        <v>13680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06">
        <v>4</v>
      </c>
      <c r="C58" s="507" t="s">
        <v>26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499">
        <f>F54*1</f>
        <v>2</v>
      </c>
      <c r="G58" s="360">
        <f ca="1">IF(ISERROR(OFFSET('HARGA SATUAN'!$I$6,MATCH(RAB!C58,'HARGA SATUAN'!$C$7:$C$1492,0),0)),0,OFFSET('HARGA SATUAN'!$I$6,MATCH(RAB!C58,'HARGA SATUAN'!$C$7:$C$1492,0),0))</f>
        <v>2500</v>
      </c>
      <c r="H58" s="361">
        <f t="shared" ca="1" si="36"/>
        <v>0</v>
      </c>
      <c r="I58" s="361">
        <f t="shared" ca="1" si="37"/>
        <v>5000</v>
      </c>
      <c r="J58" s="361">
        <f t="shared" ca="1" si="38"/>
        <v>0</v>
      </c>
      <c r="K58" s="362">
        <f t="shared" ca="1" si="39"/>
        <v>5000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6">
        <v>5</v>
      </c>
      <c r="C59" s="507" t="s">
        <v>623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499">
        <f>F54*1</f>
        <v>2</v>
      </c>
      <c r="G59" s="360">
        <f ca="1">IF(ISERROR(OFFSET('HARGA SATUAN'!$I$6,MATCH(RAB!C59,'HARGA SATUAN'!$C$7:$C$1492,0),0)),0,OFFSET('HARGA SATUAN'!$I$6,MATCH(RAB!C59,'HARGA SATUAN'!$C$7:$C$1492,0),0))</f>
        <v>33200</v>
      </c>
      <c r="H59" s="361">
        <f t="shared" ca="1" si="36"/>
        <v>0</v>
      </c>
      <c r="I59" s="361">
        <f t="shared" ca="1" si="37"/>
        <v>0</v>
      </c>
      <c r="J59" s="361">
        <f t="shared" ca="1" si="38"/>
        <v>66400</v>
      </c>
      <c r="K59" s="362">
        <f t="shared" ca="1" si="39"/>
        <v>66400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6"/>
      <c r="C60" s="507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499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ref="H60" ca="1" si="40">IF(OR(D60="MDU",D60="MDU-KD"),(IF($O$3="RAB NON MDU","PLN KD",G60*F60)),0)</f>
        <v>0</v>
      </c>
      <c r="I60" s="361">
        <f t="shared" ref="I60" ca="1" si="41">IF(D60="HDW",G60*F60,0)</f>
        <v>0</v>
      </c>
      <c r="J60" s="361">
        <f t="shared" ref="J60" ca="1" si="42">IF(D60="JASA",G60*F60,0)</f>
        <v>0</v>
      </c>
      <c r="K60" s="362">
        <f t="shared" ref="K60" ca="1" si="43">SUM(H60:J60)</f>
        <v>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09" t="s">
        <v>1035</v>
      </c>
      <c r="C61" s="510" t="s">
        <v>1620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499"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2"/>
        <v>0</v>
      </c>
      <c r="I61" s="361">
        <f t="shared" ca="1" si="33"/>
        <v>0</v>
      </c>
      <c r="J61" s="361">
        <f t="shared" ca="1" si="34"/>
        <v>0</v>
      </c>
      <c r="K61" s="362">
        <f t="shared" ca="1" si="35"/>
        <v>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09">
        <v>1</v>
      </c>
      <c r="C62" s="510" t="s">
        <v>598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99">
        <f>F61*1</f>
        <v>1</v>
      </c>
      <c r="G62" s="360">
        <f ca="1">IF(ISERROR(OFFSET('HARGA SATUAN'!$I$6,MATCH(RAB!C62,'HARGA SATUAN'!$C$7:$C$1492,0),0)),0,OFFSET('HARGA SATUAN'!$I$6,MATCH(RAB!C62,'HARGA SATUAN'!$C$7:$C$1492,0),0))</f>
        <v>3965</v>
      </c>
      <c r="H62" s="361">
        <f t="shared" ca="1" si="32"/>
        <v>0</v>
      </c>
      <c r="I62" s="361">
        <f t="shared" ca="1" si="33"/>
        <v>3965</v>
      </c>
      <c r="J62" s="361">
        <f t="shared" ca="1" si="34"/>
        <v>0</v>
      </c>
      <c r="K62" s="362">
        <f t="shared" ca="1" si="35"/>
        <v>3965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09">
        <v>2</v>
      </c>
      <c r="C63" s="510" t="s">
        <v>474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499">
        <f>F61*1</f>
        <v>1</v>
      </c>
      <c r="G63" s="360">
        <f ca="1">IF(ISERROR(OFFSET('HARGA SATUAN'!$I$6,MATCH(RAB!C63,'HARGA SATUAN'!$C$7:$C$1492,0),0)),0,OFFSET('HARGA SATUAN'!$I$6,MATCH(RAB!C63,'HARGA SATUAN'!$C$7:$C$1492,0),0))</f>
        <v>3711.24</v>
      </c>
      <c r="H63" s="361">
        <f t="shared" ca="1" si="32"/>
        <v>0</v>
      </c>
      <c r="I63" s="361">
        <f t="shared" ca="1" si="33"/>
        <v>3711.24</v>
      </c>
      <c r="J63" s="361">
        <f t="shared" ca="1" si="34"/>
        <v>0</v>
      </c>
      <c r="K63" s="362">
        <f t="shared" ca="1" si="35"/>
        <v>3711.24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09">
        <v>3</v>
      </c>
      <c r="C64" s="510" t="s">
        <v>266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499">
        <f>F61*1</f>
        <v>1</v>
      </c>
      <c r="G64" s="360">
        <f ca="1">IF(ISERROR(OFFSET('HARGA SATUAN'!$I$6,MATCH(RAB!C64,'HARGA SATUAN'!$C$7:$C$1492,0),0)),0,OFFSET('HARGA SATUAN'!$I$6,MATCH(RAB!C64,'HARGA SATUAN'!$C$7:$C$1492,0),0))</f>
        <v>23310</v>
      </c>
      <c r="H64" s="361">
        <f t="shared" ca="1" si="32"/>
        <v>0</v>
      </c>
      <c r="I64" s="361">
        <f t="shared" ca="1" si="33"/>
        <v>23310</v>
      </c>
      <c r="J64" s="361">
        <f t="shared" ca="1" si="34"/>
        <v>0</v>
      </c>
      <c r="K64" s="362">
        <f t="shared" ca="1" si="35"/>
        <v>23310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09">
        <v>4</v>
      </c>
      <c r="C65" s="510" t="s">
        <v>35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499">
        <f>F61*1</f>
        <v>1</v>
      </c>
      <c r="G65" s="360">
        <f ca="1">IF(ISERROR(OFFSET('HARGA SATUAN'!$I$6,MATCH(RAB!C65,'HARGA SATUAN'!$C$7:$C$1492,0),0)),0,OFFSET('HARGA SATUAN'!$I$6,MATCH(RAB!C65,'HARGA SATUAN'!$C$7:$C$1492,0),0))</f>
        <v>2300</v>
      </c>
      <c r="H65" s="361">
        <f t="shared" ca="1" si="32"/>
        <v>0</v>
      </c>
      <c r="I65" s="361">
        <f t="shared" ca="1" si="33"/>
        <v>2300</v>
      </c>
      <c r="J65" s="361">
        <f t="shared" ca="1" si="34"/>
        <v>0</v>
      </c>
      <c r="K65" s="362">
        <f t="shared" ca="1" si="35"/>
        <v>2300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09">
        <v>5</v>
      </c>
      <c r="C66" s="510" t="s">
        <v>632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499">
        <f>F61*1</f>
        <v>1</v>
      </c>
      <c r="G66" s="360">
        <f ca="1">IF(ISERROR(OFFSET('HARGA SATUAN'!$I$6,MATCH(RAB!C66,'HARGA SATUAN'!$C$7:$C$1492,0),0)),0,OFFSET('HARGA SATUAN'!$I$6,MATCH(RAB!C66,'HARGA SATUAN'!$C$7:$C$1492,0),0))</f>
        <v>22700</v>
      </c>
      <c r="H66" s="361">
        <f t="shared" ca="1" si="32"/>
        <v>0</v>
      </c>
      <c r="I66" s="361">
        <f t="shared" ca="1" si="33"/>
        <v>0</v>
      </c>
      <c r="J66" s="361">
        <f t="shared" ca="1" si="34"/>
        <v>22700</v>
      </c>
      <c r="K66" s="362">
        <f t="shared" ca="1" si="35"/>
        <v>22700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06"/>
      <c r="C67" s="507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499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32"/>
        <v>0</v>
      </c>
      <c r="I67" s="361">
        <f t="shared" ca="1" si="33"/>
        <v>0</v>
      </c>
      <c r="J67" s="361">
        <f t="shared" ca="1" si="34"/>
        <v>0</v>
      </c>
      <c r="K67" s="362">
        <f t="shared" ca="1" si="35"/>
        <v>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496"/>
      <c r="C68" s="504" t="s">
        <v>1619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499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2"/>
        <v>0</v>
      </c>
      <c r="I68" s="361">
        <f t="shared" ca="1" si="33"/>
        <v>0</v>
      </c>
      <c r="J68" s="361">
        <f t="shared" ca="1" si="34"/>
        <v>0</v>
      </c>
      <c r="K68" s="362">
        <f t="shared" ca="1" si="35"/>
        <v>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496">
        <v>1</v>
      </c>
      <c r="C69" s="109" t="s">
        <v>1402</v>
      </c>
      <c r="D69" s="358" t="str">
        <f ca="1">IF(ISERROR(OFFSET('HARGA SATUAN'!$D$6,MATCH(RAB!C69,'HARGA SATUAN'!$C$7:$C$1492,0),0)),"",OFFSET('HARGA SATUAN'!$D$6,MATCH(RAB!C69,'HARGA SATUAN'!$C$7:$C$1492,0),0))</f>
        <v>MDU-KD</v>
      </c>
      <c r="E69" s="359" t="str">
        <f ca="1">IF(B69="+","Unit",IF(ISERROR(OFFSET('HARGA SATUAN'!$E$6,MATCH(RAB!C69,'HARGA SATUAN'!$C$7:$C$1492,0),0)),"",OFFSET('HARGA SATUAN'!$E$6,MATCH(RAB!C69,'HARGA SATUAN'!$C$7:$C$1492,0),0)))</f>
        <v>Mtr</v>
      </c>
      <c r="F69" s="499">
        <v>74</v>
      </c>
      <c r="G69" s="360">
        <f ca="1">IF(ISERROR(OFFSET('HARGA SATUAN'!$I$6,MATCH(RAB!C69,'HARGA SATUAN'!$C$7:$C$1492,0),0)),0,OFFSET('HARGA SATUAN'!$I$6,MATCH(RAB!C69,'HARGA SATUAN'!$C$7:$C$1492,0),0))</f>
        <v>53300</v>
      </c>
      <c r="H69" s="361">
        <f t="shared" ca="1" si="32"/>
        <v>3944200</v>
      </c>
      <c r="I69" s="361">
        <f t="shared" ca="1" si="33"/>
        <v>0</v>
      </c>
      <c r="J69" s="361">
        <f t="shared" ca="1" si="34"/>
        <v>0</v>
      </c>
      <c r="K69" s="362">
        <f t="shared" ca="1" si="35"/>
        <v>3944200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496">
        <v>2</v>
      </c>
      <c r="C70" s="109" t="s">
        <v>347</v>
      </c>
      <c r="D70" s="502" t="s">
        <v>47</v>
      </c>
      <c r="E70" s="503" t="s">
        <v>297</v>
      </c>
      <c r="F70" s="503">
        <f>F69/50</f>
        <v>1.48</v>
      </c>
      <c r="G70" s="360">
        <f ca="1">IF(ISERROR(OFFSET('HARGA SATUAN'!$I$6,MATCH(RAB!C70,'HARGA SATUAN'!$C$7:$C$1492,0),0)),0,OFFSET('HARGA SATUAN'!$I$6,MATCH(RAB!C70,'HARGA SATUAN'!$C$7:$C$1492,0),0))</f>
        <v>179000</v>
      </c>
      <c r="H70" s="361">
        <f t="shared" si="32"/>
        <v>0</v>
      </c>
      <c r="I70" s="361">
        <f t="shared" si="33"/>
        <v>0</v>
      </c>
      <c r="J70" s="361">
        <f t="shared" ca="1" si="34"/>
        <v>264920</v>
      </c>
      <c r="K70" s="362">
        <f t="shared" ca="1" si="35"/>
        <v>264920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496"/>
      <c r="C71" s="497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499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32"/>
        <v>0</v>
      </c>
      <c r="I71" s="361">
        <f t="shared" ca="1" si="33"/>
        <v>0</v>
      </c>
      <c r="J71" s="361">
        <f t="shared" ca="1" si="34"/>
        <v>0</v>
      </c>
      <c r="K71" s="362">
        <f t="shared" ca="1" si="35"/>
        <v>0</v>
      </c>
      <c r="L71" s="342"/>
      <c r="M71" s="342"/>
      <c r="N71" s="369"/>
      <c r="O71" s="344"/>
      <c r="P71" s="397"/>
      <c r="Q71" s="344"/>
    </row>
    <row r="72" spans="1:17">
      <c r="B72" s="494" t="s">
        <v>1615</v>
      </c>
      <c r="C72" s="498" t="s">
        <v>1617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368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ref="H72:H78" ca="1" si="44">IF(OR(D72="MDU",D72="MDU-KD"),(IF($O$3="RAB NON MDU","PLN KD",G72*F72)),0)</f>
        <v>0</v>
      </c>
      <c r="I72" s="361">
        <f t="shared" ref="I72:I78" ca="1" si="45">IF(D72="HDW",G72*F72,0)</f>
        <v>0</v>
      </c>
      <c r="J72" s="361">
        <f t="shared" ref="J72:J78" ca="1" si="46">IF(D72="JASA",G72*F72,0)</f>
        <v>0</v>
      </c>
      <c r="K72" s="362">
        <f t="shared" ref="K72:K78" ca="1" si="47">SUM(H72:J72)</f>
        <v>0</v>
      </c>
    </row>
    <row r="73" spans="1:17">
      <c r="B73" s="494"/>
      <c r="C73" s="495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501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44"/>
        <v>0</v>
      </c>
      <c r="I73" s="361">
        <f t="shared" ca="1" si="45"/>
        <v>0</v>
      </c>
      <c r="J73" s="361">
        <f t="shared" ca="1" si="46"/>
        <v>0</v>
      </c>
      <c r="K73" s="362">
        <f t="shared" ca="1" si="47"/>
        <v>0</v>
      </c>
    </row>
    <row r="74" spans="1:17">
      <c r="B74" s="494" t="s">
        <v>1035</v>
      </c>
      <c r="C74" s="495" t="s">
        <v>1631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05">
        <v>1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44"/>
        <v>0</v>
      </c>
      <c r="I74" s="361">
        <f t="shared" ca="1" si="45"/>
        <v>0</v>
      </c>
      <c r="J74" s="361">
        <f t="shared" ca="1" si="46"/>
        <v>0</v>
      </c>
      <c r="K74" s="362">
        <f t="shared" ca="1" si="47"/>
        <v>0</v>
      </c>
    </row>
    <row r="75" spans="1:17">
      <c r="B75" s="511">
        <v>1</v>
      </c>
      <c r="C75" s="109" t="s">
        <v>482</v>
      </c>
      <c r="D75" s="513" t="s">
        <v>1621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5">
        <f>F74*1</f>
        <v>1</v>
      </c>
      <c r="G75" s="360">
        <f ca="1">IF(ISERROR(OFFSET('HARGA SATUAN'!$I$6,MATCH(RAB!C75,'HARGA SATUAN'!$C$7:$C$1492,0),0)),0,OFFSET('HARGA SATUAN'!$I$6,MATCH(RAB!C75,'HARGA SATUAN'!$C$7:$C$1492,0),0))</f>
        <v>327600</v>
      </c>
      <c r="H75" s="361">
        <f t="shared" si="44"/>
        <v>0</v>
      </c>
      <c r="I75" s="361">
        <f t="shared" si="45"/>
        <v>0</v>
      </c>
      <c r="J75" s="361">
        <f t="shared" si="46"/>
        <v>0</v>
      </c>
      <c r="K75" s="362">
        <f t="shared" si="47"/>
        <v>0</v>
      </c>
    </row>
    <row r="76" spans="1:17">
      <c r="B76" s="511">
        <v>2</v>
      </c>
      <c r="C76" s="512" t="s">
        <v>493</v>
      </c>
      <c r="D76" s="358" t="str">
        <f ca="1">IF(ISERROR(OFFSET('HARGA SATUAN'!$D$6,MATCH(RAB!C76,'HARGA SATUAN'!$C$7:$C$1492,0),0)),"",OFFSET('HARGA SATUAN'!$D$6,MATCH(RAB!C76,'HARGA SATUAN'!$C$7:$C$1492,0),0))</f>
        <v>MDU-KD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5">
        <f>F74*1</f>
        <v>1</v>
      </c>
      <c r="G76" s="360">
        <f ca="1">IF(ISERROR(OFFSET('HARGA SATUAN'!$I$6,MATCH(RAB!C76,'HARGA SATUAN'!$C$7:$C$1492,0),0)),0,OFFSET('HARGA SATUAN'!$I$6,MATCH(RAB!C76,'HARGA SATUAN'!$C$7:$C$1492,0),0))</f>
        <v>39000</v>
      </c>
      <c r="H76" s="361">
        <f t="shared" ca="1" si="44"/>
        <v>39000</v>
      </c>
      <c r="I76" s="361">
        <f t="shared" ca="1" si="45"/>
        <v>0</v>
      </c>
      <c r="J76" s="361">
        <f t="shared" ca="1" si="46"/>
        <v>0</v>
      </c>
      <c r="K76" s="362">
        <f t="shared" ca="1" si="47"/>
        <v>39000</v>
      </c>
    </row>
    <row r="77" spans="1:17">
      <c r="B77" s="511">
        <v>3</v>
      </c>
      <c r="C77" s="512" t="s">
        <v>74</v>
      </c>
      <c r="D77" s="358" t="str">
        <f ca="1">IF(ISERROR(OFFSET('HARGA SATUAN'!$D$6,MATCH(RAB!C77,'HARGA SATUAN'!$C$7:$C$1492,0),0)),"",OFFSET('HARGA SATUAN'!$D$6,MATCH(RAB!C77,'HARGA SATUAN'!$C$7:$C$1492,0),0))</f>
        <v>MDU-KD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505">
        <v>65</v>
      </c>
      <c r="G77" s="360">
        <f ca="1">IF(ISERROR(OFFSET('HARGA SATUAN'!$I$6,MATCH(RAB!C77,'HARGA SATUAN'!$C$7:$C$1492,0),0)),0,OFFSET('HARGA SATUAN'!$I$6,MATCH(RAB!C77,'HARGA SATUAN'!$C$7:$C$1492,0),0))</f>
        <v>6600</v>
      </c>
      <c r="H77" s="361">
        <f t="shared" ca="1" si="44"/>
        <v>429000</v>
      </c>
      <c r="I77" s="361">
        <f t="shared" ca="1" si="45"/>
        <v>0</v>
      </c>
      <c r="J77" s="361">
        <f t="shared" ca="1" si="46"/>
        <v>0</v>
      </c>
      <c r="K77" s="362">
        <f t="shared" ca="1" si="47"/>
        <v>429000</v>
      </c>
    </row>
    <row r="78" spans="1:17">
      <c r="B78" s="511">
        <v>4</v>
      </c>
      <c r="C78" s="512" t="s">
        <v>798</v>
      </c>
      <c r="D78" s="358" t="str">
        <f ca="1">IF(ISERROR(OFFSET('HARGA SATUAN'!$D$6,MATCH(RAB!C78,'HARGA SATUAN'!$C$7:$C$1492,0),0)),"",OFFSET('HARGA SATUAN'!$D$6,MATCH(RAB!C78,'HARGA SATUAN'!$C$7:$C$1492,0),0))</f>
        <v>JASA</v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505">
        <f>F74*1</f>
        <v>1</v>
      </c>
      <c r="G78" s="360">
        <f ca="1">IF(ISERROR(OFFSET('HARGA SATUAN'!$I$6,MATCH(RAB!C78,'HARGA SATUAN'!$C$7:$C$1492,0),0)),0,OFFSET('HARGA SATUAN'!$I$6,MATCH(RAB!C78,'HARGA SATUAN'!$C$7:$C$1492,0),0))</f>
        <v>54400</v>
      </c>
      <c r="H78" s="361">
        <f t="shared" ca="1" si="44"/>
        <v>0</v>
      </c>
      <c r="I78" s="361">
        <f t="shared" ca="1" si="45"/>
        <v>0</v>
      </c>
      <c r="J78" s="361">
        <f t="shared" ca="1" si="46"/>
        <v>54400</v>
      </c>
      <c r="K78" s="362">
        <f t="shared" ca="1" si="47"/>
        <v>54400</v>
      </c>
    </row>
    <row r="79" spans="1:17">
      <c r="B79" s="374"/>
      <c r="C79" s="500"/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368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ref="H79:H82" ca="1" si="48">IF(OR(D79="MDU",D79="MDU-KD"),(IF($O$3="RAB NON MDU","PLN KD",G79*F79)),0)</f>
        <v>0</v>
      </c>
      <c r="I79" s="361">
        <f t="shared" ref="I79:I82" ca="1" si="49">IF(D79="HDW",G79*F79,0)</f>
        <v>0</v>
      </c>
      <c r="J79" s="361">
        <f t="shared" ref="J79:J82" ca="1" si="50">IF(D79="JASA",G79*F79,0)</f>
        <v>0</v>
      </c>
      <c r="K79" s="362">
        <f t="shared" ref="K79:K82" ca="1" si="51">SUM(H79:J79)</f>
        <v>0</v>
      </c>
    </row>
    <row r="80" spans="1:17">
      <c r="B80" s="366" t="s">
        <v>22</v>
      </c>
      <c r="C80" s="367" t="s">
        <v>1616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368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48"/>
        <v>0</v>
      </c>
      <c r="I80" s="361">
        <f t="shared" ca="1" si="49"/>
        <v>0</v>
      </c>
      <c r="J80" s="361">
        <f t="shared" ca="1" si="50"/>
        <v>0</v>
      </c>
      <c r="K80" s="362">
        <f t="shared" ca="1" si="51"/>
        <v>0</v>
      </c>
    </row>
    <row r="81" spans="2:13">
      <c r="B81" s="374"/>
      <c r="C81" s="373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368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48"/>
        <v>0</v>
      </c>
      <c r="I81" s="361">
        <f t="shared" ca="1" si="49"/>
        <v>0</v>
      </c>
      <c r="J81" s="361">
        <f t="shared" ca="1" si="50"/>
        <v>0</v>
      </c>
      <c r="K81" s="362">
        <f t="shared" ca="1" si="51"/>
        <v>0</v>
      </c>
    </row>
    <row r="82" spans="2:13">
      <c r="B82" s="375"/>
      <c r="C82" s="376" t="s">
        <v>475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8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48"/>
        <v>0</v>
      </c>
      <c r="I82" s="361">
        <f t="shared" ca="1" si="49"/>
        <v>0</v>
      </c>
      <c r="J82" s="361">
        <f t="shared" ca="1" si="50"/>
        <v>0</v>
      </c>
      <c r="K82" s="362">
        <f t="shared" ca="1" si="51"/>
        <v>0</v>
      </c>
    </row>
    <row r="83" spans="2:13">
      <c r="B83" s="378">
        <v>1</v>
      </c>
      <c r="C83" s="379" t="s">
        <v>1091</v>
      </c>
      <c r="D83" s="380" t="str">
        <f ca="1">IF(ISERROR(OFFSET('HARGA SATUAN'!$D$6,MATCH(RAB!C83,'HARGA SATUAN'!$C$7:$C$1492,0),0)),"",OFFSET('HARGA SATUAN'!$D$6,MATCH(RAB!C83,'HARGA SATUAN'!$C$7:$C$1492,0),0))</f>
        <v>JASA</v>
      </c>
      <c r="E83" s="381" t="str">
        <f ca="1">IF(ISERROR(OFFSET('HARGA SATUAN'!$E$6,MATCH(RAB!C83,'HARGA SATUAN'!$C$7:$C$1492,0),0)),"",OFFSET('HARGA SATUAN'!$E$6,MATCH(RAB!C83,'HARGA SATUAN'!$C$7:$C$1492,0),0))</f>
        <v>Lot</v>
      </c>
      <c r="F83" s="382">
        <v>1</v>
      </c>
      <c r="G83" s="383">
        <f ca="1">IF(ISERROR(OFFSET('HARGA SATUAN'!$I$6,MATCH(RAB!C83,'HARGA SATUAN'!$C$7:$C$1492,0),0)),0,OFFSET('HARGA SATUAN'!$I$6,MATCH(RAB!C83,'HARGA SATUAN'!$C$7:$C$1492,0),0))</f>
        <v>2.5000000000000001E-2</v>
      </c>
      <c r="H83" s="384">
        <f ca="1">SUM(H14:H82)*G83</f>
        <v>123572.5</v>
      </c>
      <c r="I83" s="384">
        <f ca="1">SUM(I14:I82)*G83</f>
        <v>435727.70600000001</v>
      </c>
      <c r="J83" s="384">
        <f ca="1">SUM(J14:J82)*G83</f>
        <v>15492.16666666667</v>
      </c>
      <c r="K83" s="385">
        <f ca="1">SUM(H83:J83)</f>
        <v>574792.37266666663</v>
      </c>
    </row>
    <row r="84" spans="2:13">
      <c r="B84" s="386"/>
      <c r="C84" s="387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IF(ISERROR(OFFSET('HARGA SATUAN'!$E$6,MATCH(RAB!C84,'HARGA SATUAN'!$C$7:$C$1492,0),0)),"",OFFSET('HARGA SATUAN'!$E$6,MATCH(RAB!C84,'HARGA SATUAN'!$C$7:$C$1492,0),0))</f>
        <v/>
      </c>
      <c r="F84" s="377"/>
      <c r="G84" s="360" t="str">
        <f ca="1">IF(ISERROR(OFFSET('HARGA SATUAN'!$I$6,MATCH(RAB!C84,'HARGA SATUAN'!$C$7:$C$1492,0),0)),"",OFFSET('HARGA SATUAN'!$I$6,MATCH(RAB!C84,'HARGA SATUAN'!$C$7:$C$1492,0),0))</f>
        <v/>
      </c>
      <c r="H84" s="361">
        <f ca="1">IF(OR(D84="MDU",D84="MDU-KD"),IF(G84="PLN",0,G84*F84),0)</f>
        <v>0</v>
      </c>
      <c r="I84" s="361">
        <f ca="1">IF(D84="HDW",IF(G84="PLN",0,G84*F84),0)</f>
        <v>0</v>
      </c>
      <c r="J84" s="361">
        <f ca="1">IF(D84="JASA",IF(G84="PLN",0,G84*F84),0)</f>
        <v>0</v>
      </c>
      <c r="K84" s="362">
        <f ca="1">SUM(H84:J84)</f>
        <v>0</v>
      </c>
    </row>
    <row r="85" spans="2:13" ht="15.75" thickBot="1">
      <c r="B85" s="388"/>
      <c r="C85" s="389"/>
      <c r="D85" s="390"/>
      <c r="E85" s="391"/>
      <c r="F85" s="391"/>
      <c r="G85" s="391"/>
      <c r="H85" s="392"/>
      <c r="I85" s="392"/>
      <c r="J85" s="392"/>
      <c r="K85" s="393"/>
    </row>
    <row r="86" spans="2:13">
      <c r="B86" s="394"/>
      <c r="C86" s="616" t="s">
        <v>1008</v>
      </c>
      <c r="D86" s="616"/>
      <c r="E86" s="616"/>
      <c r="F86" s="616"/>
      <c r="G86" s="395" t="s">
        <v>9</v>
      </c>
      <c r="H86" s="396">
        <f ca="1">SUM(H14:H84)</f>
        <v>5066472.5</v>
      </c>
      <c r="I86" s="396">
        <f ca="1">SUM(I14:I84)</f>
        <v>17864835.945999999</v>
      </c>
      <c r="J86" s="396">
        <f ca="1">SUM(J14:J84)</f>
        <v>635178.83333333337</v>
      </c>
      <c r="K86" s="396">
        <f ca="1">SUM(K14:K84)</f>
        <v>23566487.279333331</v>
      </c>
    </row>
    <row r="87" spans="2:13">
      <c r="B87" s="398"/>
      <c r="C87" s="632" t="s">
        <v>1457</v>
      </c>
      <c r="D87" s="632"/>
      <c r="E87" s="632"/>
      <c r="F87" s="632"/>
      <c r="G87" s="399" t="s">
        <v>9</v>
      </c>
      <c r="H87" s="400">
        <f ca="1">H86*0.11</f>
        <v>557311.97499999998</v>
      </c>
      <c r="I87" s="400">
        <f ca="1">I86*0.11</f>
        <v>1965131.9540599999</v>
      </c>
      <c r="J87" s="400">
        <f ca="1">J86*0.11</f>
        <v>69869.671666666676</v>
      </c>
      <c r="K87" s="400">
        <f ca="1">K86*0.11</f>
        <v>2592313.6007266664</v>
      </c>
    </row>
    <row r="88" spans="2:13" ht="15.75" thickBot="1">
      <c r="B88" s="398"/>
      <c r="C88" s="630" t="s">
        <v>463</v>
      </c>
      <c r="D88" s="630"/>
      <c r="E88" s="630"/>
      <c r="F88" s="630"/>
      <c r="G88" s="401" t="s">
        <v>9</v>
      </c>
      <c r="H88" s="402">
        <f ca="1">SUM(H86:H87)</f>
        <v>5623784.4749999996</v>
      </c>
      <c r="I88" s="402">
        <f ca="1">SUM(I86:I87)</f>
        <v>19829967.900059998</v>
      </c>
      <c r="J88" s="401">
        <f ca="1">SUM(J86:J87)</f>
        <v>705048.505</v>
      </c>
      <c r="K88" s="401">
        <f ca="1">SUM(K86:K87)</f>
        <v>26158800.880059998</v>
      </c>
      <c r="M88" s="484"/>
    </row>
    <row r="89" spans="2:13">
      <c r="B89" s="633" t="str">
        <f ca="1">"Terbilang : "&amp;PROPER(IF(K88=0,"nol",IF(K88&lt;0,"minus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IF(--MID(TEXT(ABS(K88),"000000000000000"),1,3)=0,"",MID(TEXT(ABS(K88),"000000000000000"),1,1)&amp;" ratus "&amp;MID(TEXT(ABS(K88),"000000000000000"),2,1)&amp;" puluh "&amp;MID(TEXT(ABS(K88),"000000000000000"),3,1)&amp;" trilyun ")&amp; IF(--MID(TEXT(ABS(K88),"000000000000000"),4,3)=0,"",MID(TEXT(ABS(K88),"000000000000000"),4,1)&amp;" ratus "&amp;MID(TEXT(ABS(K88),"000000000000000"),5,1)&amp;" puluh "&amp;MID(TEXT(ABS(K88),"000000000000000"),6,1)&amp;" milyar ")&amp; IF(--MID(TEXT(ABS(K88),"000000000000000"),7,3)=0,"",MID(TEXT(ABS(K88),"000000000000000"),7,1)&amp;" ratus "&amp;MID(TEXT(ABS(K88),"000000000000000"),8,1)&amp;" puluh "&amp;MID(TEXT(ABS(K88),"000000000000000"),9,1)&amp;" juta ")&amp; IF(--MID(TEXT(ABS(K88),"000000000000000"),10,3)=0,"",IF(--MID(TEXT(ABS(K88),"000000000000000"),10,3)=1,"*",MID(TEXT(ABS(K88),"000000000000000"),10,1)&amp;" ratus "&amp;MID(TEXT(ABS(K88),"000000000000000"),11,1)&amp;" puluh ")&amp;MID(TEXT(ABS(K88),"000000000000000"),12,1)&amp;" ribu ")&amp; IF(--MID(TEXT(ABS(K88),"000000000000000"),13,3)=0,"",MID(TEXT(ABS(K88),"000000000000000"),13,1)&amp;" ratus "&amp;MID(TEXT(ABS(K88),"000000000000000"),14,1)&amp;" puluh "&amp;MID(TEXT(ABS(K88),"000000000000000"),15,1)),1,"satu"),2,"dua"),3,"tiga"),4,"empat"),5,"lima"),6,"enam"),7,"tujuh"),8,"delapan"),9,"sembilan"),"0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Enam Juta Seratus Lima Puluh Delapan Ribu Delapan Ratus Satu Rupiah</v>
      </c>
      <c r="C89" s="634"/>
      <c r="D89" s="634"/>
      <c r="E89" s="634"/>
      <c r="F89" s="634"/>
      <c r="G89" s="634"/>
      <c r="H89" s="634"/>
      <c r="I89" s="634"/>
      <c r="J89" s="634"/>
      <c r="K89" s="635"/>
    </row>
    <row r="90" spans="2:13">
      <c r="B90" s="636"/>
      <c r="C90" s="637"/>
      <c r="D90" s="637"/>
      <c r="E90" s="637"/>
      <c r="F90" s="637"/>
      <c r="G90" s="637"/>
      <c r="H90" s="637"/>
      <c r="I90" s="637"/>
      <c r="J90" s="637"/>
      <c r="K90" s="638"/>
    </row>
    <row r="91" spans="2:13" ht="15.75" thickBot="1">
      <c r="B91" s="403" t="str">
        <f>"Harga yang dipakai adalah "&amp;'HARGA SATUAN'!I5&amp;""</f>
        <v>Harga yang dipakai adalah RAB HSS 2023</v>
      </c>
      <c r="C91" s="404"/>
      <c r="D91" s="405"/>
      <c r="E91" s="405"/>
      <c r="F91" s="405"/>
      <c r="G91" s="406"/>
      <c r="H91" s="406"/>
      <c r="I91" s="406"/>
      <c r="J91" s="406"/>
      <c r="K91" s="407"/>
    </row>
    <row r="92" spans="2:13">
      <c r="C92" s="408"/>
      <c r="E92" s="410"/>
      <c r="F92" s="410"/>
      <c r="G92" s="410"/>
    </row>
    <row r="93" spans="2:13">
      <c r="C93" s="337"/>
      <c r="E93" s="410"/>
      <c r="F93" s="410"/>
      <c r="G93" s="410"/>
      <c r="H93" s="639"/>
      <c r="I93" s="639"/>
      <c r="J93" s="640"/>
      <c r="K93" s="640"/>
    </row>
    <row r="94" spans="2:13">
      <c r="C94" s="337"/>
      <c r="E94" s="410"/>
      <c r="F94" s="410"/>
      <c r="G94" s="410"/>
      <c r="H94" s="411"/>
      <c r="I94" s="629" t="s">
        <v>1610</v>
      </c>
      <c r="J94" s="629"/>
      <c r="K94" s="629"/>
    </row>
    <row r="95" spans="2:13">
      <c r="C95" s="337"/>
      <c r="E95" s="410"/>
      <c r="F95" s="410"/>
      <c r="G95" s="410"/>
      <c r="H95" s="411"/>
      <c r="I95" s="629" t="s">
        <v>1546</v>
      </c>
      <c r="J95" s="629"/>
      <c r="K95" s="629"/>
    </row>
    <row r="96" spans="2:13">
      <c r="C96" s="337"/>
      <c r="E96" s="410"/>
      <c r="F96" s="410"/>
      <c r="G96" s="410"/>
      <c r="H96" s="412"/>
      <c r="I96" s="413"/>
      <c r="J96" s="413"/>
      <c r="K96" s="413"/>
    </row>
    <row r="97" spans="3:11">
      <c r="C97" s="337"/>
      <c r="E97" s="410"/>
      <c r="F97" s="410"/>
      <c r="G97" s="410"/>
      <c r="H97" s="412"/>
      <c r="I97" s="412"/>
      <c r="J97" s="412"/>
      <c r="K97" s="412"/>
    </row>
    <row r="98" spans="3:11">
      <c r="C98" s="337"/>
      <c r="E98" s="410"/>
      <c r="F98" s="410"/>
      <c r="G98" s="410"/>
      <c r="H98" s="412"/>
      <c r="I98" s="412"/>
      <c r="J98" s="412"/>
      <c r="K98" s="412"/>
    </row>
    <row r="99" spans="3:11">
      <c r="C99" s="337"/>
      <c r="E99" s="410"/>
      <c r="F99" s="410"/>
      <c r="G99" s="410"/>
      <c r="H99" s="412"/>
      <c r="I99" s="412"/>
      <c r="J99" s="412"/>
      <c r="K99" s="412"/>
    </row>
    <row r="100" spans="3:11">
      <c r="C100" s="337"/>
      <c r="E100" s="410"/>
      <c r="F100" s="410"/>
      <c r="G100" s="410"/>
      <c r="H100" s="414"/>
      <c r="I100" s="629" t="s">
        <v>1547</v>
      </c>
      <c r="J100" s="629"/>
      <c r="K100" s="629"/>
    </row>
    <row r="101" spans="3:11">
      <c r="C101" s="408"/>
      <c r="E101" s="410"/>
      <c r="F101" s="410"/>
      <c r="G101" s="410"/>
      <c r="H101" s="412"/>
      <c r="I101" s="412"/>
      <c r="J101" s="412"/>
      <c r="K101" s="412"/>
    </row>
    <row r="102" spans="3:11">
      <c r="C102" s="408"/>
      <c r="E102" s="410"/>
      <c r="F102" s="410"/>
      <c r="G102" s="410"/>
      <c r="H102" s="412"/>
      <c r="I102" s="412"/>
      <c r="J102" s="412"/>
      <c r="K102" s="412"/>
    </row>
    <row r="103" spans="3:11">
      <c r="C103" s="408"/>
      <c r="E103" s="410"/>
      <c r="F103" s="410"/>
      <c r="G103" s="410"/>
      <c r="H103" s="412"/>
      <c r="I103" s="412"/>
      <c r="J103" s="412"/>
      <c r="K103" s="412"/>
    </row>
  </sheetData>
  <sheetProtection sort="0" autoFilter="0"/>
  <protectedRanges>
    <protectedRange sqref="B81 B73:B79" name="Range1_1"/>
    <protectedRange sqref="F14:F69 F71:F82" name="Range1_1_2_2"/>
    <protectedRange sqref="C81 C73:C74 C76 C78:C79" name="Range1_1_1"/>
    <protectedRange sqref="B72:C72" name="Range1_6_2"/>
    <protectedRange sqref="C77" name="Range1_1_3_13"/>
    <protectedRange sqref="C17:C18" name="Range1_1_3_14"/>
    <protectedRange sqref="C19:C21" name="Range1_1_3"/>
    <protectedRange sqref="C70" name="Range1_1_3_5"/>
    <protectedRange sqref="C75" name="Range1_1_3_4"/>
    <protectedRange sqref="C69" name="Range1_1_3_7"/>
  </protectedRanges>
  <mergeCells count="22">
    <mergeCell ref="I95:K95"/>
    <mergeCell ref="I100:K100"/>
    <mergeCell ref="C88:F88"/>
    <mergeCell ref="G6:K6"/>
    <mergeCell ref="I94:K94"/>
    <mergeCell ref="C87:F87"/>
    <mergeCell ref="B89:K90"/>
    <mergeCell ref="H93:K93"/>
    <mergeCell ref="H11:K11"/>
    <mergeCell ref="H12:H13"/>
    <mergeCell ref="J12:J13"/>
    <mergeCell ref="K12:K13"/>
    <mergeCell ref="O3:P4"/>
    <mergeCell ref="B4:K4"/>
    <mergeCell ref="C86:F86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 C38">
    <cfRule type="cellIs" dxfId="11" priority="518" operator="equal">
      <formula>0</formula>
    </cfRule>
  </conditionalFormatting>
  <conditionalFormatting sqref="C17:C22">
    <cfRule type="cellIs" dxfId="10" priority="6" operator="equal">
      <formula>0</formula>
    </cfRule>
  </conditionalFormatting>
  <conditionalFormatting sqref="C69">
    <cfRule type="cellIs" dxfId="9" priority="21" operator="equal">
      <formula>0</formula>
    </cfRule>
  </conditionalFormatting>
  <conditionalFormatting sqref="C75">
    <cfRule type="cellIs" dxfId="8" priority="16" operator="equal">
      <formula>0</formula>
    </cfRule>
  </conditionalFormatting>
  <conditionalFormatting sqref="C80">
    <cfRule type="cellIs" dxfId="7" priority="141" operator="equal">
      <formula>0</formula>
    </cfRule>
  </conditionalFormatting>
  <conditionalFormatting sqref="C70:F70">
    <cfRule type="cellIs" dxfId="6" priority="36" operator="equal">
      <formula>0</formula>
    </cfRule>
  </conditionalFormatting>
  <conditionalFormatting sqref="E1:E3 G1:G13 E5:E13 H12:I12 O13 S38:V38 E71:F71 E72:K82 E83:G83 H83:K85 E84:H84 E85:F85">
    <cfRule type="cellIs" dxfId="5" priority="1098" stopIfTrue="1" operator="equal">
      <formula>0</formula>
    </cfRule>
  </conditionalFormatting>
  <conditionalFormatting sqref="E53:F69">
    <cfRule type="cellIs" dxfId="4" priority="2" stopIfTrue="1" operator="equal">
      <formula>0</formula>
    </cfRule>
  </conditionalFormatting>
  <conditionalFormatting sqref="E14:K52">
    <cfRule type="cellIs" dxfId="3" priority="1" stopIfTrue="1" operator="equal">
      <formula>0</formula>
    </cfRule>
  </conditionalFormatting>
  <conditionalFormatting sqref="G84:G65550 E89:E65550">
    <cfRule type="cellIs" dxfId="2" priority="232" stopIfTrue="1" operator="equal">
      <formula>0</formula>
    </cfRule>
  </conditionalFormatting>
  <conditionalFormatting sqref="G53:K71">
    <cfRule type="cellIs" dxfId="1" priority="9" stopIfTrue="1" operator="equal">
      <formula>0</formula>
    </cfRule>
  </conditionalFormatting>
  <conditionalFormatting sqref="S14:V22">
    <cfRule type="cellIs" dxfId="0" priority="7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71 F57:F69 F40:F53 F24:F37 H14:K8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70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G10" zoomScaleNormal="115" zoomScaleSheetLayoutView="100" workbookViewId="0">
      <selection activeCell="L45" sqref="L45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3" t="s">
        <v>1439</v>
      </c>
      <c r="X2" s="644"/>
      <c r="Y2" s="644"/>
      <c r="Z2" s="644"/>
      <c r="AA2" s="644"/>
      <c r="AB2" s="644"/>
      <c r="AC2" s="644"/>
      <c r="AD2" s="645"/>
    </row>
    <row r="3" spans="3:30">
      <c r="C3" s="238"/>
      <c r="W3" s="646"/>
      <c r="X3" s="647"/>
      <c r="Y3" s="647"/>
      <c r="Z3" s="647"/>
      <c r="AA3" s="647"/>
      <c r="AB3" s="647"/>
      <c r="AC3" s="647"/>
      <c r="AD3" s="648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238"/>
      <c r="W6" s="241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238"/>
      <c r="E7" s="490" t="str">
        <f>PETA!C6</f>
        <v>KOORDINAT : -6.953455, 110.543819</v>
      </c>
      <c r="W7" s="241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238"/>
      <c r="W8" s="241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238"/>
      <c r="W9" s="241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238"/>
      <c r="W10" s="241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238"/>
      <c r="W11" s="241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238"/>
      <c r="W12" s="241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238"/>
      <c r="W13" s="241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238"/>
      <c r="W14" s="241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238"/>
      <c r="W15" s="241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238"/>
      <c r="W16" s="241">
        <v>11</v>
      </c>
      <c r="X16" s="649" t="s">
        <v>1455</v>
      </c>
      <c r="Y16" s="649"/>
      <c r="Z16" s="649"/>
      <c r="AA16" s="649"/>
      <c r="AB16" s="649"/>
      <c r="AC16" s="649"/>
      <c r="AD16" s="650"/>
    </row>
    <row r="17" spans="3:30">
      <c r="C17" s="238"/>
      <c r="S17" s="242"/>
      <c r="W17" s="241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243"/>
      <c r="D18" s="244"/>
      <c r="E18" s="244"/>
      <c r="W18" s="241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238"/>
      <c r="W19" s="245"/>
      <c r="X19" s="666"/>
      <c r="Y19" s="666"/>
      <c r="Z19" s="666"/>
      <c r="AA19" s="666"/>
      <c r="AB19" s="666"/>
      <c r="AC19" s="666"/>
      <c r="AD19" s="667"/>
    </row>
    <row r="20" spans="3:30">
      <c r="C20" s="238"/>
      <c r="W20" s="651" t="s">
        <v>992</v>
      </c>
      <c r="X20" s="652"/>
      <c r="Y20" s="652"/>
      <c r="Z20" s="652"/>
      <c r="AA20" s="652"/>
      <c r="AB20" s="652"/>
      <c r="AC20" s="652"/>
      <c r="AD20" s="653"/>
    </row>
    <row r="21" spans="3:30">
      <c r="C21" s="238"/>
      <c r="W21" s="654" t="s">
        <v>985</v>
      </c>
      <c r="X21" s="655"/>
      <c r="Y21" s="655"/>
      <c r="Z21" s="656"/>
      <c r="AA21" s="657" t="s">
        <v>986</v>
      </c>
      <c r="AB21" s="658"/>
      <c r="AC21" s="658"/>
      <c r="AD21" s="659"/>
    </row>
    <row r="22" spans="3:30">
      <c r="C22" s="238"/>
      <c r="W22" s="660"/>
      <c r="X22" s="661"/>
      <c r="Y22" s="492"/>
      <c r="Z22" s="493"/>
      <c r="AA22" s="662"/>
      <c r="AB22" s="663"/>
      <c r="AC22" s="248"/>
      <c r="AD22" s="249"/>
    </row>
    <row r="23" spans="3:30">
      <c r="C23" s="238"/>
      <c r="W23" s="660"/>
      <c r="X23" s="661"/>
      <c r="Y23" s="492"/>
      <c r="Z23" s="493"/>
      <c r="AA23" s="664"/>
      <c r="AB23" s="665"/>
      <c r="AC23" s="248"/>
      <c r="AD23" s="249"/>
    </row>
    <row r="24" spans="3:30">
      <c r="C24" s="238"/>
      <c r="W24" s="670"/>
      <c r="X24" s="671"/>
      <c r="Y24" s="246"/>
      <c r="Z24" s="247"/>
      <c r="AA24" s="672"/>
      <c r="AB24" s="673"/>
      <c r="AC24" s="248"/>
      <c r="AD24" s="249"/>
    </row>
    <row r="25" spans="3:30">
      <c r="C25" s="238"/>
      <c r="W25" s="670"/>
      <c r="X25" s="671"/>
      <c r="Y25" s="246"/>
      <c r="Z25" s="247"/>
      <c r="AA25" s="664"/>
      <c r="AB25" s="665"/>
      <c r="AC25" s="248"/>
      <c r="AD25" s="249"/>
    </row>
    <row r="26" spans="3:30">
      <c r="C26" s="238"/>
      <c r="W26" s="480"/>
      <c r="X26" s="481"/>
      <c r="Y26" s="246"/>
      <c r="Z26" s="247"/>
      <c r="AA26" s="664"/>
      <c r="AB26" s="665"/>
      <c r="AC26" s="248"/>
      <c r="AD26" s="249"/>
    </row>
    <row r="27" spans="3:30">
      <c r="C27" s="238"/>
      <c r="W27" s="480"/>
      <c r="X27" s="481"/>
      <c r="Y27" s="246"/>
      <c r="Z27" s="247"/>
      <c r="AA27" s="668"/>
      <c r="AB27" s="669"/>
      <c r="AC27" s="248"/>
      <c r="AD27" s="249"/>
    </row>
    <row r="28" spans="3:30">
      <c r="C28" s="238"/>
      <c r="W28" s="480"/>
      <c r="X28" s="481"/>
      <c r="Y28" s="246"/>
      <c r="Z28" s="247"/>
      <c r="AA28" s="668"/>
      <c r="AB28" s="669"/>
      <c r="AC28" s="248"/>
      <c r="AD28" s="249"/>
    </row>
    <row r="29" spans="3:30">
      <c r="C29" s="238"/>
      <c r="W29" s="480"/>
      <c r="X29" s="481"/>
      <c r="Y29" s="246"/>
      <c r="Z29" s="247"/>
      <c r="AA29" s="668"/>
      <c r="AB29" s="669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8"/>
      <c r="AB30" s="669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8"/>
      <c r="AB31" s="669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8"/>
      <c r="AB32" s="669"/>
      <c r="AC32" s="248"/>
      <c r="AD32" s="249"/>
    </row>
    <row r="33" spans="3:30">
      <c r="C33" s="238"/>
      <c r="W33" s="480"/>
      <c r="X33" s="481"/>
      <c r="Y33" s="246"/>
      <c r="Z33" s="247"/>
      <c r="AA33" s="668"/>
      <c r="AB33" s="669"/>
      <c r="AC33" s="248"/>
      <c r="AD33" s="249"/>
    </row>
    <row r="34" spans="3:30">
      <c r="C34" s="238"/>
      <c r="W34" s="480"/>
      <c r="X34" s="481"/>
      <c r="Y34" s="246"/>
      <c r="Z34" s="247"/>
      <c r="AA34" s="668"/>
      <c r="AB34" s="669"/>
      <c r="AC34" s="248"/>
      <c r="AD34" s="249"/>
    </row>
    <row r="35" spans="3:30">
      <c r="C35" s="238"/>
      <c r="W35" s="670"/>
      <c r="X35" s="683"/>
      <c r="Y35" s="246"/>
      <c r="Z35" s="247"/>
      <c r="AA35" s="668"/>
      <c r="AB35" s="669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69"/>
      <c r="AC36" s="248"/>
      <c r="AD36" s="249"/>
    </row>
    <row r="37" spans="3:30" ht="12.75" customHeight="1">
      <c r="C37" s="238"/>
      <c r="W37" s="677"/>
      <c r="X37" s="678"/>
      <c r="Y37" s="246"/>
      <c r="Z37" s="251"/>
      <c r="AA37" s="679"/>
      <c r="AB37" s="680"/>
      <c r="AC37" s="252"/>
      <c r="AD37" s="253"/>
    </row>
    <row r="38" spans="3:30" ht="12.75" customHeight="1">
      <c r="C38" s="238"/>
      <c r="W38" s="677"/>
      <c r="X38" s="678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8"/>
      <c r="W39" s="677"/>
      <c r="X39" s="678"/>
      <c r="Y39" s="254"/>
      <c r="Z39" s="257"/>
      <c r="AA39" s="681"/>
      <c r="AB39" s="682"/>
      <c r="AC39" s="252"/>
      <c r="AD39" s="253"/>
    </row>
    <row r="40" spans="3:30" ht="12" customHeight="1">
      <c r="C40" s="238"/>
      <c r="D40" s="508"/>
      <c r="W40" s="687"/>
      <c r="X40" s="688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8"/>
      <c r="W41" s="689"/>
      <c r="X41" s="690"/>
      <c r="Y41" s="260"/>
      <c r="Z41" s="261"/>
      <c r="AA41" s="681"/>
      <c r="AB41" s="682"/>
      <c r="AC41" s="252"/>
      <c r="AD41" s="253"/>
    </row>
    <row r="42" spans="3:30" ht="12" customHeight="1">
      <c r="C42" s="238"/>
      <c r="D42" s="508"/>
      <c r="W42" s="691" t="s">
        <v>1456</v>
      </c>
      <c r="X42" s="692"/>
      <c r="Y42" s="692"/>
      <c r="Z42" s="692"/>
      <c r="AA42" s="262"/>
      <c r="AB42" s="262"/>
      <c r="AC42" s="262"/>
      <c r="AD42" s="263"/>
    </row>
    <row r="43" spans="3:30" ht="12" customHeight="1">
      <c r="C43" s="238"/>
      <c r="D43" s="50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8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4" t="s">
        <v>11</v>
      </c>
      <c r="X44" s="685"/>
      <c r="Y44" s="649"/>
      <c r="Z44" s="649"/>
      <c r="AA44" s="649"/>
      <c r="AB44" s="649"/>
      <c r="AC44" s="649"/>
      <c r="AD44" s="650"/>
    </row>
    <row r="45" spans="3:30">
      <c r="C45" s="268"/>
      <c r="D45" s="508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4" t="s">
        <v>984</v>
      </c>
      <c r="X45" s="685"/>
      <c r="Y45" s="649">
        <v>1</v>
      </c>
      <c r="Z45" s="649"/>
      <c r="AA45" s="649"/>
      <c r="AB45" s="649" t="s">
        <v>12</v>
      </c>
      <c r="AC45" s="64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4" t="s">
        <v>15</v>
      </c>
      <c r="X46" s="685"/>
      <c r="Y46" s="686"/>
      <c r="Z46" s="686"/>
      <c r="AA46" s="686"/>
      <c r="AB46" s="649" t="s">
        <v>16</v>
      </c>
      <c r="AC46" s="64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7" t="s">
        <v>17</v>
      </c>
      <c r="X47" s="697"/>
      <c r="Y47" s="697"/>
      <c r="Z47" s="697"/>
      <c r="AA47" s="697"/>
      <c r="AB47" s="697"/>
      <c r="AC47" s="697"/>
      <c r="AD47" s="69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9" t="str">
        <f>RAB!G6</f>
        <v>BUDIMAN TRI CAHYONO</v>
      </c>
      <c r="X48" s="699"/>
      <c r="Y48" s="699"/>
      <c r="Z48" s="699"/>
      <c r="AA48" s="699"/>
      <c r="AB48" s="699"/>
      <c r="AC48" s="699"/>
      <c r="AD48" s="70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9"/>
      <c r="X49" s="699"/>
      <c r="Y49" s="699"/>
      <c r="Z49" s="699"/>
      <c r="AA49" s="699"/>
      <c r="AB49" s="699"/>
      <c r="AC49" s="699"/>
      <c r="AD49" s="70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9"/>
      <c r="X50" s="699"/>
      <c r="Y50" s="699"/>
      <c r="Z50" s="699"/>
      <c r="AA50" s="699"/>
      <c r="AB50" s="699"/>
      <c r="AC50" s="699"/>
      <c r="AD50" s="70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1"/>
      <c r="X51" s="701"/>
      <c r="Y51" s="701"/>
      <c r="Z51" s="701"/>
      <c r="AA51" s="701"/>
      <c r="AB51" s="701"/>
      <c r="AC51" s="701"/>
      <c r="AD51" s="70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4" t="s">
        <v>18</v>
      </c>
      <c r="X52" s="685"/>
      <c r="Y52" s="649" t="s">
        <v>1549</v>
      </c>
      <c r="Z52" s="649"/>
      <c r="AA52" s="649"/>
      <c r="AB52" s="649"/>
      <c r="AC52" s="649"/>
      <c r="AD52" s="65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4" t="s">
        <v>19</v>
      </c>
      <c r="X53" s="685"/>
      <c r="Y53" s="649" t="s">
        <v>1549</v>
      </c>
      <c r="Z53" s="649"/>
      <c r="AA53" s="649"/>
      <c r="AB53" s="649"/>
      <c r="AC53" s="649"/>
      <c r="AD53" s="65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4" t="s">
        <v>20</v>
      </c>
      <c r="X54" s="685"/>
      <c r="Y54" s="693" t="s">
        <v>1550</v>
      </c>
      <c r="Z54" s="693"/>
      <c r="AA54" s="693"/>
      <c r="AB54" s="649"/>
      <c r="AC54" s="649"/>
      <c r="AD54" s="65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4" t="s">
        <v>21</v>
      </c>
      <c r="X55" s="695"/>
      <c r="Y55" s="693" t="s">
        <v>1551</v>
      </c>
      <c r="Z55" s="693"/>
      <c r="AA55" s="693"/>
      <c r="AB55" s="693"/>
      <c r="AC55" s="693"/>
      <c r="AD55" s="696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Q26" sqref="Q2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3" t="s">
        <v>1528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17"/>
      <c r="AE4" s="216"/>
      <c r="AF4" s="216"/>
    </row>
    <row r="5" spans="2:32" ht="13.5" customHeight="1">
      <c r="B5" s="215"/>
      <c r="C5" s="215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17"/>
      <c r="AE5" s="216"/>
      <c r="AF5" s="216"/>
    </row>
    <row r="6" spans="2:32" ht="12.75" customHeight="1">
      <c r="B6" s="215"/>
      <c r="C6" s="215"/>
      <c r="D6" s="706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8"/>
      <c r="AE6" s="216"/>
      <c r="AF6" s="216"/>
    </row>
    <row r="7" spans="2:32" ht="12.75" customHeight="1" thickBot="1">
      <c r="B7" s="215"/>
      <c r="C7" s="215"/>
      <c r="D7" s="709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C13" zoomScale="85" zoomScaleNormal="40" zoomScaleSheetLayoutView="85" workbookViewId="0">
      <selection activeCell="P7" sqref="P7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7" t="s">
        <v>1527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2" t="s">
        <v>1625</v>
      </c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8"/>
      <c r="Z6" s="428"/>
      <c r="AA6" s="428"/>
      <c r="AB6" s="429"/>
      <c r="AC6" s="429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2024-04-20T07:50:36Z</dcterms:modified>
</cp:coreProperties>
</file>