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BF663C0B-2E60-439F-854F-8992F2AD9CA3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3" i="11" l="1"/>
  <c r="F72" i="11"/>
  <c r="F71" i="11"/>
  <c r="F70" i="11"/>
  <c r="F69" i="11"/>
  <c r="F68" i="11"/>
  <c r="F67" i="11"/>
  <c r="F62" i="11"/>
  <c r="F60" i="11"/>
  <c r="F59" i="11"/>
  <c r="F58" i="11"/>
  <c r="F51" i="11"/>
  <c r="F50" i="11"/>
  <c r="F49" i="11"/>
  <c r="F48" i="11"/>
  <c r="F47" i="11"/>
  <c r="F46" i="11"/>
  <c r="F45" i="11"/>
  <c r="F44" i="11"/>
  <c r="F43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22" i="11"/>
  <c r="J22" i="11" s="1"/>
  <c r="E22" i="11"/>
  <c r="G22" i="11"/>
  <c r="D23" i="11"/>
  <c r="J23" i="11" s="1"/>
  <c r="E23" i="11"/>
  <c r="G23" i="11"/>
  <c r="D24" i="11"/>
  <c r="I24" i="11" s="1"/>
  <c r="E24" i="11"/>
  <c r="G24" i="11"/>
  <c r="D25" i="11"/>
  <c r="J25" i="11" s="1"/>
  <c r="E25" i="11"/>
  <c r="G25" i="11"/>
  <c r="J26" i="1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E40" i="11"/>
  <c r="G40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J46" i="1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E51" i="11"/>
  <c r="G51" i="11"/>
  <c r="D53" i="11"/>
  <c r="H53" i="11" s="1"/>
  <c r="E53" i="11"/>
  <c r="G53" i="11"/>
  <c r="D54" i="11"/>
  <c r="H54" i="11" s="1"/>
  <c r="E54" i="11"/>
  <c r="G54" i="11"/>
  <c r="E5" i="68"/>
  <c r="D55" i="11"/>
  <c r="H55" i="11" s="1"/>
  <c r="E55" i="11"/>
  <c r="G55" i="11"/>
  <c r="D56" i="11"/>
  <c r="J56" i="11" s="1"/>
  <c r="E56" i="11"/>
  <c r="G56" i="11"/>
  <c r="J40" i="11" l="1"/>
  <c r="J51" i="11"/>
  <c r="J49" i="11"/>
  <c r="J24" i="11"/>
  <c r="I26" i="11"/>
  <c r="I49" i="11"/>
  <c r="J28" i="11"/>
  <c r="I34" i="11"/>
  <c r="I22" i="11"/>
  <c r="J45" i="11"/>
  <c r="J53" i="11"/>
  <c r="I45" i="11"/>
  <c r="I30" i="11"/>
  <c r="I53" i="11"/>
  <c r="I51" i="11"/>
  <c r="I50" i="11"/>
  <c r="J32" i="11"/>
  <c r="H22" i="11"/>
  <c r="I42" i="11"/>
  <c r="I40" i="11"/>
  <c r="J48" i="11"/>
  <c r="J44" i="11"/>
  <c r="J54" i="11"/>
  <c r="I37" i="11"/>
  <c r="J36" i="11"/>
  <c r="J35" i="11"/>
  <c r="H34" i="11"/>
  <c r="I32" i="11"/>
  <c r="H30" i="11"/>
  <c r="I29" i="11"/>
  <c r="I28" i="11"/>
  <c r="H26" i="11"/>
  <c r="I25" i="11"/>
  <c r="H24" i="11"/>
  <c r="I48" i="11"/>
  <c r="I47" i="11"/>
  <c r="I46" i="11"/>
  <c r="I54" i="11"/>
  <c r="I36" i="11"/>
  <c r="H50" i="11"/>
  <c r="K50" i="11" s="1"/>
  <c r="I33" i="11"/>
  <c r="H46" i="11"/>
  <c r="I44" i="11"/>
  <c r="I43" i="11"/>
  <c r="H40" i="11"/>
  <c r="J39" i="11"/>
  <c r="H33" i="11"/>
  <c r="H29" i="11"/>
  <c r="H25" i="11"/>
  <c r="K25" i="11" s="1"/>
  <c r="H42" i="11"/>
  <c r="I39" i="11"/>
  <c r="I38" i="11"/>
  <c r="H37" i="11"/>
  <c r="I35" i="11"/>
  <c r="I31" i="11"/>
  <c r="I27" i="11"/>
  <c r="I23" i="11"/>
  <c r="H51" i="11"/>
  <c r="H47" i="11"/>
  <c r="H43" i="11"/>
  <c r="H38" i="11"/>
  <c r="H31" i="11"/>
  <c r="H27" i="11"/>
  <c r="H23" i="11"/>
  <c r="J55" i="11"/>
  <c r="I55" i="11"/>
  <c r="I56" i="11"/>
  <c r="H56" i="11"/>
  <c r="K24" i="11" l="1"/>
  <c r="K26" i="11"/>
  <c r="K49" i="11"/>
  <c r="K53" i="11"/>
  <c r="K32" i="11"/>
  <c r="K36" i="11"/>
  <c r="K48" i="11"/>
  <c r="K28" i="11"/>
  <c r="K45" i="11"/>
  <c r="K39" i="11"/>
  <c r="K29" i="11"/>
  <c r="K33" i="11"/>
  <c r="K34" i="11"/>
  <c r="K47" i="11"/>
  <c r="K54" i="11"/>
  <c r="K22" i="11"/>
  <c r="K31" i="11"/>
  <c r="K51" i="11"/>
  <c r="K35" i="11"/>
  <c r="K42" i="11"/>
  <c r="K30" i="11"/>
  <c r="K37" i="11"/>
  <c r="K40" i="11"/>
  <c r="K27" i="11"/>
  <c r="K38" i="11"/>
  <c r="K44" i="11"/>
  <c r="K43" i="11"/>
  <c r="K46" i="11"/>
  <c r="K23" i="11"/>
  <c r="K56" i="11"/>
  <c r="K55" i="11"/>
  <c r="D16" i="11" l="1"/>
  <c r="H16" i="11" s="1"/>
  <c r="E16" i="11"/>
  <c r="G16" i="11"/>
  <c r="D17" i="11"/>
  <c r="H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J20" i="11" l="1"/>
  <c r="J16" i="11"/>
  <c r="I20" i="11"/>
  <c r="I16" i="11"/>
  <c r="I18" i="11"/>
  <c r="J17" i="11"/>
  <c r="H18" i="11"/>
  <c r="I17" i="11"/>
  <c r="I19" i="11"/>
  <c r="J19" i="11"/>
  <c r="K20" i="11" l="1"/>
  <c r="K16" i="11"/>
  <c r="K18" i="11"/>
  <c r="K19" i="11"/>
  <c r="K17" i="11"/>
  <c r="D21" i="11" l="1"/>
  <c r="E21" i="11"/>
  <c r="G21" i="11"/>
  <c r="D60" i="11"/>
  <c r="D61" i="11"/>
  <c r="D62" i="11"/>
  <c r="D63" i="11"/>
  <c r="D64" i="11"/>
  <c r="D65" i="11"/>
  <c r="D57" i="11"/>
  <c r="D58" i="11"/>
  <c r="D59" i="11"/>
  <c r="J21" i="11" l="1"/>
  <c r="I21" i="11"/>
  <c r="H21" i="11"/>
  <c r="G15" i="11"/>
  <c r="D15" i="11"/>
  <c r="H15" i="11" s="1"/>
  <c r="E15" i="11"/>
  <c r="G14" i="11"/>
  <c r="E14" i="11"/>
  <c r="D14" i="11"/>
  <c r="J14" i="11" s="1"/>
  <c r="G7" i="11"/>
  <c r="V48" i="68"/>
  <c r="V2" i="68"/>
  <c r="J64" i="11"/>
  <c r="E64" i="11"/>
  <c r="G64" i="11"/>
  <c r="G63" i="11"/>
  <c r="E63" i="11"/>
  <c r="G62" i="11"/>
  <c r="E62" i="11"/>
  <c r="H62" i="11"/>
  <c r="G61" i="11"/>
  <c r="H61" i="11" s="1"/>
  <c r="E61" i="11"/>
  <c r="J61" i="11"/>
  <c r="G60" i="11"/>
  <c r="E60" i="11"/>
  <c r="G59" i="11"/>
  <c r="E59" i="11"/>
  <c r="J58" i="11"/>
  <c r="I58" i="11"/>
  <c r="G58" i="11"/>
  <c r="H58" i="11" s="1"/>
  <c r="E58" i="11"/>
  <c r="G57" i="11"/>
  <c r="E57" i="11"/>
  <c r="H57" i="11"/>
  <c r="K21" i="11" l="1"/>
  <c r="I15" i="11"/>
  <c r="J15" i="11"/>
  <c r="H14" i="11"/>
  <c r="I14" i="11"/>
  <c r="H64" i="11"/>
  <c r="I64" i="11"/>
  <c r="K58" i="11"/>
  <c r="J62" i="11"/>
  <c r="I59" i="11"/>
  <c r="I60" i="11"/>
  <c r="J63" i="11"/>
  <c r="I57" i="11"/>
  <c r="J59" i="11"/>
  <c r="J60" i="11"/>
  <c r="H63" i="11"/>
  <c r="J57" i="11"/>
  <c r="I63" i="11"/>
  <c r="H59" i="11"/>
  <c r="H60" i="11"/>
  <c r="I61" i="11"/>
  <c r="I62" i="11"/>
  <c r="F80" i="11"/>
  <c r="F79" i="11"/>
  <c r="F78" i="11"/>
  <c r="F77" i="11"/>
  <c r="F76" i="11"/>
  <c r="K15" i="11" l="1"/>
  <c r="K14" i="11"/>
  <c r="K64" i="11"/>
  <c r="K61" i="11"/>
  <c r="K63" i="11"/>
  <c r="K62" i="11"/>
  <c r="K60" i="11"/>
  <c r="K57" i="11"/>
  <c r="K59" i="11"/>
  <c r="J65" i="11"/>
  <c r="E65" i="11"/>
  <c r="G65" i="11"/>
  <c r="D66" i="11"/>
  <c r="E66" i="11"/>
  <c r="G66" i="11"/>
  <c r="D67" i="11"/>
  <c r="H67" i="11" s="1"/>
  <c r="E67" i="11"/>
  <c r="G67" i="11"/>
  <c r="D68" i="11"/>
  <c r="E68" i="11"/>
  <c r="G68" i="11"/>
  <c r="D69" i="11"/>
  <c r="J69" i="11" s="1"/>
  <c r="E69" i="11"/>
  <c r="G69" i="11"/>
  <c r="D70" i="11"/>
  <c r="E70" i="11"/>
  <c r="G70" i="11"/>
  <c r="D71" i="11"/>
  <c r="H71" i="11" s="1"/>
  <c r="E71" i="11"/>
  <c r="G71" i="11"/>
  <c r="D72" i="11"/>
  <c r="J72" i="11" s="1"/>
  <c r="E72" i="11"/>
  <c r="G72" i="11"/>
  <c r="D73" i="11"/>
  <c r="J73" i="11" s="1"/>
  <c r="E73" i="11"/>
  <c r="G73" i="11"/>
  <c r="D75" i="11"/>
  <c r="J75" i="11" s="1"/>
  <c r="E75" i="11"/>
  <c r="G75" i="11"/>
  <c r="D76" i="11"/>
  <c r="E76" i="11"/>
  <c r="G76" i="11"/>
  <c r="D77" i="11"/>
  <c r="E77" i="11"/>
  <c r="G77" i="11"/>
  <c r="D78" i="11"/>
  <c r="J78" i="11" s="1"/>
  <c r="E78" i="11"/>
  <c r="G78" i="11"/>
  <c r="D79" i="11"/>
  <c r="E79" i="11"/>
  <c r="G79" i="11"/>
  <c r="D80" i="11"/>
  <c r="E80" i="11"/>
  <c r="G80" i="11"/>
  <c r="D81" i="11"/>
  <c r="J81" i="11" s="1"/>
  <c r="E81" i="11"/>
  <c r="G81" i="11"/>
  <c r="I77" i="11" l="1"/>
  <c r="H76" i="11"/>
  <c r="I79" i="11"/>
  <c r="I81" i="11"/>
  <c r="J76" i="11"/>
  <c r="H81" i="11"/>
  <c r="I69" i="11"/>
  <c r="I78" i="11"/>
  <c r="I76" i="11"/>
  <c r="I75" i="11"/>
  <c r="I73" i="11"/>
  <c r="I72" i="11"/>
  <c r="H72" i="11"/>
  <c r="J71" i="11"/>
  <c r="I65" i="11"/>
  <c r="H78" i="11"/>
  <c r="J67" i="11"/>
  <c r="H80" i="11"/>
  <c r="I80" i="11"/>
  <c r="J70" i="11"/>
  <c r="H70" i="11"/>
  <c r="J68" i="11"/>
  <c r="H68" i="11"/>
  <c r="J80" i="11"/>
  <c r="H77" i="11"/>
  <c r="J77" i="11"/>
  <c r="I70" i="11"/>
  <c r="I68" i="11"/>
  <c r="H73" i="11"/>
  <c r="H69" i="11"/>
  <c r="I67" i="11"/>
  <c r="H65" i="11"/>
  <c r="H75" i="11"/>
  <c r="J79" i="11"/>
  <c r="H79" i="11"/>
  <c r="J66" i="11"/>
  <c r="H66" i="11"/>
  <c r="I66" i="11"/>
  <c r="I71" i="11"/>
  <c r="K65" i="11" l="1"/>
  <c r="K76" i="11"/>
  <c r="K75" i="11"/>
  <c r="K69" i="11"/>
  <c r="K81" i="11"/>
  <c r="K67" i="11"/>
  <c r="K78" i="11"/>
  <c r="K72" i="11"/>
  <c r="K73" i="11"/>
  <c r="K80" i="11"/>
  <c r="K71" i="11"/>
  <c r="K79" i="11"/>
  <c r="K77" i="11"/>
  <c r="K70" i="11"/>
  <c r="K68" i="11"/>
  <c r="K66" i="11"/>
  <c r="G6" i="11" l="1"/>
  <c r="K19" i="60" l="1"/>
  <c r="D19" i="60"/>
  <c r="J82" i="11" l="1"/>
  <c r="H82" i="11"/>
  <c r="I82" i="11"/>
  <c r="K82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9" i="11" l="1"/>
  <c r="D8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2" i="11"/>
  <c r="D83" i="11"/>
  <c r="H83" i="11" s="1"/>
  <c r="E8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3" i="11"/>
  <c r="I8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83" i="11"/>
  <c r="K85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5" i="11"/>
  <c r="H86" i="11" s="1"/>
  <c r="I85" i="11"/>
  <c r="I86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298" i="29"/>
  <c r="F300" i="29"/>
  <c r="F320" i="29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7" i="11"/>
  <c r="I8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6" i="11" l="1"/>
  <c r="K87" i="11" s="1"/>
  <c r="B8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5" i="11"/>
  <c r="J8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2" i="41" l="1"/>
  <c r="F788" i="41"/>
  <c r="F790" i="41"/>
  <c r="F810" i="4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<sst xmlns="http://schemas.openxmlformats.org/spreadsheetml/2006/main" count="4748" uniqueCount="1630">
  <si>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</si>
  <si>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</si>
  <si>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</si>
  <si>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</si>
  <si>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</si>
  <si>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</si>
  <si>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</si>
  <si>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</si>
  <si>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</si>
  <si>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</si>
  <si>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</si>
  <si>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</si>
  <si>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</si>
  <si>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</si>
  <si>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</si>
  <si>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</si>
  <si>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</si>
  <si>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</si>
  <si>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</si>
  <si>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</si>
  <si>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</si>
  <si>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</si>
  <si>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</si>
  <si>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</si>
  <si>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</si>
  <si>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</si>
  <si>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</si>
  <si>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</si>
  <si>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</si>
  <si>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</si>
  <si>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</si>
  <si>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</si>
  <si>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</si>
  <si>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</si>
  <si>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</si>
  <si>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</si>
  <si>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</si>
  <si>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</si>
  <si>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</si>
  <si>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</si>
  <si>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</si>
  <si>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</si>
  <si>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</si>
  <si>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</si>
  <si>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</si>
  <si>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</si>
  <si>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</si>
  <si>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</si>
  <si>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</si>
  <si>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</si>
  <si>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</si>
  <si>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</si>
  <si>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</si>
  <si>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</si>
  <si>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</si>
  <si>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</si>
  <si>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</si>
  <si>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</si>
  <si>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</si>
  <si>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</si>
  <si>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</si>
  <si>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</si>
  <si>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</si>
  <si>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</si>
  <si>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</si>
  <si>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</si>
  <si>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</si>
  <si>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</si>
  <si>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</si>
  <si>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</si>
  <si>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</si>
  <si>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</si>
  <si>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</si>
  <si>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</si>
  <si>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</si>
  <si>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</si>
  <si>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</si>
  <si>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</si>
  <si>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</si>
  <si>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</si>
  <si>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</si>
  <si>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</si>
  <si>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</si>
  <si>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</si>
  <si>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</si>
  <si>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</si>
  <si>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</si>
  <si>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</si>
  <si>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</si>
  <si>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</si>
  <si>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</si>
  <si>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</si>
  <si>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</si>
  <si>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</si>
  <si>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</si>
  <si>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</si>
  <si>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</si>
  <si>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</si>
  <si>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</si>
  <si>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</si>
  <si>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</si>
  <si>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</si>
  <si>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</si>
  <si>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</si>
  <si>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</si>
  <si>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</si>
  <si>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</si>
  <si>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</si>
  <si>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</si>
  <si>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</si>
  <si>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</si>
  <si>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</si>
  <si>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</si>
  <si>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</si>
  <si>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</si>
  <si>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</si>
  <si>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</si>
  <si>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</si>
  <si>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</si>
  <si>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</si>
  <si>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</si>
  <si>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</si>
  <si>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</si>
  <si>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</si>
  <si>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</si>
  <si>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</si>
  <si>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</si>
  <si>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</si>
  <si>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</si>
  <si>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</si>
  <si>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</si>
  <si>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</si>
  <si>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</si>
  <si>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</si>
  <si>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</si>
  <si>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</si>
  <si>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</si>
  <si>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</si>
  <si>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</si>
  <si>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</si>
  <si>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</si>
  <si>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</si>
  <si>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</si>
  <si>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</si>
  <si>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</si>
  <si>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</si>
  <si>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</si>
  <si>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</si>
  <si>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</si>
  <si>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</si>
  <si>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</si>
  <si>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</si>
  <si>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</si>
  <si>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</si>
  <si>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</si>
  <si>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</si>
  <si>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</si>
  <si>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</si>
  <si>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</si>
  <si>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</si>
  <si>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</si>
  <si>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</si>
  <si>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</si>
  <si>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</si>
  <si>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</si>
  <si>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</si>
  <si>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</si>
  <si>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</si>
  <si>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</si>
  <si>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</si>
  <si>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</si>
  <si>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</si>
  <si>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</si>
  <si>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</si>
  <si>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</si>
  <si>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</si>
  <si>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</si>
  <si>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</si>
  <si>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</si>
  <si>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</si>
  <si>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</si>
  <si>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</si>
  <si>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</si>
  <si>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</si>
  <si>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</si>
  <si>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</si>
  <si>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</si>
  <si>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</si>
  <si>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</si>
  <si>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</si>
  <si>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</si>
  <si>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</si>
  <si>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</si>
  <si>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</si>
  <si>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</si>
  <si>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</si>
  <si>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</si>
  <si>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</si>
  <si>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</si>
  <si>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</si>
  <si>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</si>
  <si>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</si>
  <si>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</si>
  <si>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</si>
  <si>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</si>
  <si>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</si>
  <si>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</si>
  <si>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</si>
  <si>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</si>
  <si>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</si>
  <si>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</si>
  <si>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</si>
  <si>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</si>
  <si>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</si>
  <si>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</si>
  <si>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</si>
  <si>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</si>
  <si>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</si>
  <si>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</si>
  <si>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</si>
  <si>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</si>
  <si>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</si>
  <si>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</si>
  <si>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</si>
  <si>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</si>
  <si>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</si>
  <si>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</si>
  <si>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</si>
  <si>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</si>
  <si>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</si>
  <si>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</si>
  <si>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</si>
  <si>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</si>
  <si>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</si>
  <si>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</si>
  <si>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</si>
  <si>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</si>
  <si>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</si>
  <si>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</si>
  <si>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</si>
  <si>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</si>
  <si>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</si>
  <si>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</si>
  <si>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</si>
  <si>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</si>
  <si>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</si>
  <si>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</si>
  <si>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</si>
  <si>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</si>
  <si>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</si>
  <si>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</si>
  <si>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</si>
  <si>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</si>
  <si>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</si>
  <si>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</si>
  <si>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</si>
  <si>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</si>
  <si>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</si>
  <si>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</si>
  <si>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</si>
  <si>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</si>
  <si>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</si>
  <si>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</si>
  <si>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</si>
  <si>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</si>
  <si>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</si>
  <si>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</si>
  <si>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</si>
  <si>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</si>
  <si>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</si>
  <si>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</si>
  <si>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</si>
  <si>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</si>
  <si>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</si>
  <si>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</si>
  <si>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</si>
  <si>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</si>
  <si>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</si>
  <si>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</si>
  <si>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</si>
  <si>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</si>
  <si>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</si>
  <si>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</si>
  <si>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</si>
  <si>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</si>
  <si>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</si>
  <si>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</si>
  <si>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</si>
  <si>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</si>
  <si>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</si>
  <si>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</si>
  <si>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</si>
  <si>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</si>
  <si>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</si>
  <si>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</si>
  <si>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</si>
  <si>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</si>
  <si>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</si>
  <si>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</si>
  <si>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</si>
  <si>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</si>
  <si>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</si>
  <si>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</si>
  <si>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</si>
  <si>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</si>
  <si>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</si>
  <si>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</si>
  <si>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</si>
  <si>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</si>
  <si>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</si>
  <si>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</si>
  <si>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</si>
  <si>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</si>
  <si>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</si>
  <si>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</si>
  <si>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</si>
  <si>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</si>
  <si>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</si>
  <si>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</si>
  <si>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</si>
  <si>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</si>
  <si>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</si>
  <si>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</si>
  <si>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</si>
  <si>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</si>
  <si>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</si>
  <si>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</si>
  <si>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</si>
  <si>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</si>
  <si>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</si>
  <si>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</si>
  <si>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</si>
  <si>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</si>
  <si>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</si>
  <si>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</si>
  <si>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</si>
  <si>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</si>
  <si>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</si>
  <si>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</si>
  <si>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</si>
  <si>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</si>
  <si>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</si>
  <si>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</si>
  <si>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</si>
  <si>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</si>
  <si>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</si>
  <si>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</si>
  <si>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</si>
  <si>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</si>
  <si>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</si>
  <si>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</si>
  <si>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</si>
  <si>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</si>
  <si>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</si>
  <si>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</si>
  <si>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</si>
  <si>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</si>
  <si>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</si>
  <si>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</si>
  <si>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</si>
  <si>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</si>
  <si>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</si>
  <si>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</si>
  <si>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</si>
  <si>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</si>
  <si>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</si>
  <si>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</si>
  <si>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</si>
  <si>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</si>
  <si>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</si>
  <si>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</si>
  <si>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</si>
  <si>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</si>
  <si>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</si>
  <si>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</si>
  <si>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</si>
  <si>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</si>
  <si>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</si>
  <si>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</si>
  <si>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</si>
  <si>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</si>
  <si>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</si>
  <si>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</si>
  <si>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</si>
  <si>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</si>
  <si>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</si>
  <si>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</si>
  <si>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</si>
  <si>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</si>
  <si>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</si>
  <si>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</si>
  <si>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</si>
  <si>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</si>
  <si>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</si>
  <si>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</si>
  <si>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</si>
  <si>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</si>
  <si>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</si>
  <si>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</si>
  <si>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</si>
  <si>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</si>
  <si>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</si>
  <si>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</si>
  <si>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</si>
  <si>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</si>
  <si>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</si>
  <si>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</si>
  <si>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</si>
  <si>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</si>
  <si>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</si>
  <si>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</si>
  <si>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</si>
  <si>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</si>
  <si>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</si>
  <si>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</si>
  <si>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</si>
  <si>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</si>
  <si>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</si>
  <si>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</si>
  <si>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</si>
  <si>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</si>
  <si>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</si>
  <si>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</si>
  <si>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</si>
  <si>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</si>
  <si>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</si>
  <si>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</si>
  <si>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</si>
  <si>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</si>
  <si>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</si>
  <si>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</si>
  <si>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</si>
  <si>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</si>
  <si>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</si>
  <si>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</si>
  <si>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</si>
  <si>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</si>
  <si>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</si>
  <si>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</si>
  <si>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</si>
  <si>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</si>
  <si>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</si>
  <si>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</si>
  <si>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</si>
  <si>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</si>
  <si>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</si>
  <si>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</si>
  <si>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</si>
  <si>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</si>
  <si>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</si>
  <si>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</si>
  <si>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</si>
  <si>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</si>
  <si>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</si>
  <si>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</si>
  <si>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</si>
  <si>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</si>
  <si>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</si>
  <si>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</si>
  <si>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</si>
  <si>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</si>
  <si>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</si>
  <si>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</si>
  <si>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</si>
  <si>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</si>
  <si>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</si>
  <si>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</si>
  <si>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</si>
  <si>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</si>
  <si>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</si>
  <si>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</si>
  <si>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</si>
  <si>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</si>
  <si>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</si>
  <si>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</si>
  <si>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</si>
  <si>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</si>
  <si>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</si>
  <si>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</si>
  <si>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</si>
  <si>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</si>
  <si>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</si>
  <si>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</si>
  <si>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</si>
  <si>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</si>
  <si>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</si>
  <si>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</si>
  <si>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</si>
  <si>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</si>
  <si>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</si>
  <si>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</si>
  <si>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</si>
  <si>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</si>
  <si>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</si>
  <si>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</si>
  <si>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</si>
  <si>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</si>
  <si>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</si>
  <si>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</si>
  <si>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</si>
  <si>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</si>
  <si>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</si>
  <si>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</si>
  <si>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</si>
  <si>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</si>
  <si>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</si>
  <si>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</si>
  <si>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</si>
  <si>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</si>
  <si>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</si>
  <si>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</si>
  <si>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</si>
  <si>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</si>
  <si>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</si>
  <si>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</si>
  <si>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</si>
  <si>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</si>
  <si>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</si>
  <si>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</si>
  <si>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</si>
  <si>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</si>
  <si>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</si>
  <si>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</si>
  <si>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</si>
  <si>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</si>
  <si>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</si>
  <si>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</si>
  <si>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</si>
  <si>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</si>
  <si>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</si>
  <si>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</si>
  <si>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</si>
  <si>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</si>
  <si>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</si>
  <si>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</si>
  <si>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</si>
  <si>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</si>
  <si>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</si>
  <si>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</si>
  <si>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</si>
  <si>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</si>
  <si>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</si>
  <si>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</si>
  <si>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</si>
  <si>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</si>
  <si>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</si>
  <si>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</si>
  <si>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</si>
  <si>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</si>
  <si>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</si>
  <si>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</si>
  <si>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</si>
  <si>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</si>
  <si>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</si>
  <si>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</si>
  <si>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</si>
  <si>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</si>
  <si>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</si>
  <si>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</si>
  <si>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</si>
  <si>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</si>
  <si>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</si>
  <si>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</si>
  <si>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</si>
  <si>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</si>
  <si>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</si>
  <si>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</si>
  <si>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</si>
  <si>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</si>
  <si>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</si>
  <si>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</si>
  <si>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</si>
  <si>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</si>
  <si>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</si>
  <si>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</si>
  <si>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</si>
  <si>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</si>
  <si>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</si>
  <si>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</si>
  <si>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</si>
  <si>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</si>
  <si>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</si>
  <si>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</si>
  <si>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</si>
  <si>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</si>
  <si>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</si>
  <si>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</si>
  <si>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</si>
  <si>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</si>
  <si>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</si>
  <si>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</si>
  <si>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</si>
  <si>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</si>
  <si>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</si>
  <si>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</si>
  <si>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</si>
  <si>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</si>
  <si>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</si>
  <si>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</si>
  <si>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</si>
  <si>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</si>
  <si>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</si>
  <si>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</si>
  <si>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</si>
  <si>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</si>
  <si>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</si>
  <si>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</si>
  <si>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</si>
  <si>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</si>
  <si>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</si>
  <si>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</si>
  <si>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</si>
  <si>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</si>
  <si>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</si>
  <si>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</si>
  <si>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</si>
  <si>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</si>
  <si>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</si>
  <si>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</si>
  <si>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</si>
  <si>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</si>
  <si>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</si>
  <si>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</si>
  <si>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</si>
  <si>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</si>
  <si>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</si>
  <si>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</si>
  <si>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</si>
  <si>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</si>
  <si>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</si>
  <si>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</si>
  <si>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</si>
  <si>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</si>
  <si>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</si>
  <si>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</si>
  <si>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</si>
  <si>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</si>
  <si>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</si>
  <si>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</si>
  <si>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</si>
  <si>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</si>
  <si>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</si>
  <si>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</si>
  <si>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</si>
  <si>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</si>
  <si>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</si>
  <si>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</si>
  <si>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</si>
  <si>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</si>
  <si>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</si>
  <si>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</si>
  <si>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</si>
  <si>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</si>
  <si>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</si>
  <si>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</si>
  <si>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</si>
  <si>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</si>
  <si>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</si>
  <si>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</si>
  <si>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</si>
  <si>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</si>
  <si>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</si>
  <si>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</si>
  <si>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</si>
  <si>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</si>
  <si>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</si>
  <si>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</si>
  <si>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</si>
  <si>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</si>
  <si>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</si>
  <si>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</si>
  <si>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</si>
  <si>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</si>
  <si>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</si>
  <si>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</si>
  <si>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</si>
  <si>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</si>
  <si>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</si>
  <si>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</si>
  <si>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</si>
  <si>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</si>
  <si>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</si>
  <si>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</si>
  <si>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</si>
  <si>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</si>
  <si>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</si>
  <si>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</si>
  <si>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</si>
  <si>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</si>
  <si>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</si>
  <si>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</si>
  <si>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</si>
  <si>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</si>
  <si>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</si>
  <si>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</si>
  <si>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</si>
  <si>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</si>
  <si>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</si>
  <si>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</si>
  <si>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</si>
  <si>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</si>
  <si>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</si>
  <si>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</si>
  <si>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</si>
  <si>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</si>
  <si>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</si>
  <si>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</si>
  <si>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</si>
  <si>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</si>
  <si>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</si>
  <si>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</si>
  <si>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</si>
  <si>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</si>
  <si>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</si>
  <si>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</si>
  <si>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</si>
  <si>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</si>
  <si>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</si>
  <si>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</si>
  <si>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</si>
  <si>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</si>
  <si>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</si>
  <si>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</si>
  <si>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</si>
  <si>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</si>
  <si>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</si>
  <si>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</si>
  <si>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</si>
  <si>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</si>
  <si>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</si>
  <si>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</si>
  <si>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</si>
  <si>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</si>
  <si>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</si>
  <si>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</si>
  <si>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</si>
  <si>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</si>
  <si>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</si>
  <si>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</si>
  <si>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</si>
  <si>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</si>
  <si>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</si>
  <si>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</si>
  <si>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</si>
  <si>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</si>
  <si>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</si>
  <si>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</si>
  <si>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</si>
  <si>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</si>
  <si>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</si>
  <si>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</si>
  <si>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</si>
  <si>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</si>
  <si>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</si>
  <si>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</si>
  <si>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</si>
  <si>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</si>
  <si>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</si>
  <si>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</si>
  <si>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</si>
  <si>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</si>
  <si>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</si>
  <si>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</si>
  <si>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</si>
  <si>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</si>
  <si>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</si>
  <si>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</si>
  <si>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</si>
  <si>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</si>
  <si>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</si>
  <si>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</si>
  <si>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</si>
  <si>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</si>
  <si>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</si>
  <si>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</si>
  <si>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</si>
  <si>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</si>
  <si>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</si>
  <si>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</si>
  <si>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</si>
  <si>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</si>
  <si>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</si>
  <si>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</si>
  <si>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</si>
  <si>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</si>
  <si>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</si>
  <si>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</si>
  <si>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</si>
  <si>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</si>
  <si>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</si>
  <si>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</si>
  <si>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</si>
  <si>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</si>
  <si>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</si>
  <si>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</si>
  <si>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</si>
  <si>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</si>
  <si>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</si>
  <si>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</si>
  <si>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</si>
  <si>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</si>
  <si>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</si>
  <si>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</si>
  <si>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</si>
  <si>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</si>
  <si>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</si>
  <si>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</si>
  <si>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</si>
  <si>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</si>
  <si>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</si>
  <si>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</si>
  <si>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</si>
  <si>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</si>
  <si>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</si>
  <si>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</si>
  <si>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</si>
  <si>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</si>
  <si>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</si>
  <si>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</si>
  <si>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</si>
  <si>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</si>
  <si>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</si>
  <si>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</si>
  <si>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</si>
  <si>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</si>
  <si>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</si>
  <si>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</si>
  <si>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</si>
  <si>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</si>
  <si>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</si>
  <si>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</si>
  <si>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</si>
  <si>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</si>
  <si>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</si>
  <si>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</si>
  <si>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</si>
  <si>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</si>
  <si>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</si>
  <si>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</si>
  <si>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</si>
  <si>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</si>
  <si>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</si>
  <si>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</si>
  <si>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</si>
  <si>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</si>
  <si>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</si>
  <si>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</si>
  <si>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</si>
  <si>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</si>
  <si>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</si>
  <si>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</si>
  <si>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</si>
  <si>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</si>
  <si>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</si>
  <si>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</si>
  <si>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</si>
  <si>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</si>
  <si>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</si>
  <si>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</si>
  <si>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</si>
  <si>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</si>
  <si>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</si>
  <si>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</si>
  <si>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</si>
  <si>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</si>
  <si>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</si>
  <si>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</si>
  <si>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</si>
  <si>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</si>
  <si>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</si>
  <si>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</si>
  <si>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</si>
  <si>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</si>
  <si>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</si>
  <si>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</si>
  <si>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</si>
  <si>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</si>
  <si>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</si>
  <si>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</si>
  <si>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</si>
  <si>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</si>
  <si>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</si>
  <si>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</si>
  <si>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</si>
  <si>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</si>
  <si>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</si>
  <si>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</si>
  <si>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</si>
  <si>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</si>
  <si>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</si>
  <si>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</si>
  <si>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</si>
  <si>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</si>
  <si>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</si>
  <si>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</si>
  <si>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</si>
  <si>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</si>
  <si>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</si>
  <si>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</si>
  <si>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</si>
  <si>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</si>
  <si>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</si>
  <si>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</si>
  <si>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</si>
  <si>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</si>
  <si>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</si>
  <si>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</si>
  <si>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</si>
  <si>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</si>
  <si>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</si>
  <si>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</si>
  <si>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</si>
  <si>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</si>
  <si>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</si>
  <si>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</si>
  <si>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</si>
  <si>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</si>
  <si>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</si>
  <si>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</si>
  <si>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</si>
  <si>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</si>
  <si>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</si>
  <si>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</si>
  <si>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</si>
  <si>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</si>
  <si>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</si>
  <si>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</si>
  <si>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</si>
  <si>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</si>
  <si>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</si>
  <si>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</si>
  <si>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</si>
  <si>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</si>
  <si>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</si>
  <si>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</si>
  <si>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</si>
  <si>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</si>
  <si>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</si>
  <si>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</si>
  <si>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</si>
  <si>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</si>
  <si>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</si>
  <si>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</si>
  <si>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</si>
  <si>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</si>
  <si>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</si>
  <si>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</si>
  <si>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</si>
  <si>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</si>
  <si>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</si>
  <si>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</si>
  <si>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</si>
  <si>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</si>
  <si>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</si>
  <si>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</si>
  <si>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</si>
  <si>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</si>
  <si>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</si>
  <si>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</si>
  <si>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</si>
  <si>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</si>
  <si>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</si>
  <si>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</si>
  <si>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</si>
  <si>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</si>
  <si>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</si>
  <si>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</si>
  <si>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</si>
  <si>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</si>
  <si>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</si>
  <si>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</si>
  <si>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</si>
  <si>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</si>
  <si>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</si>
  <si>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</si>
  <si>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</si>
  <si>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</si>
  <si>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</si>
  <si>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</si>
  <si>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</si>
  <si>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</si>
  <si>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</si>
  <si>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</si>
  <si>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</si>
  <si>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</si>
  <si>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</si>
  <si>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</si>
  <si>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</si>
  <si>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</si>
  <si>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</si>
  <si>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</si>
  <si>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</si>
  <si>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</si>
  <si>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</si>
  <si>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</si>
  <si>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</si>
  <si>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</si>
  <si>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</si>
  <si>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</si>
  <si>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</si>
  <si>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</si>
  <si>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</si>
  <si>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</si>
  <si>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</si>
  <si>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</si>
  <si>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</si>
  <si>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</si>
  <si>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</si>
  <si>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</si>
  <si>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</si>
  <si>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</si>
  <si>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</si>
  <si>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</si>
  <si>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</si>
  <si>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</si>
  <si>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</si>
  <si>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</si>
  <si>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</si>
  <si>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</si>
  <si>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</si>
  <si>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</si>
  <si>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</si>
  <si>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</si>
  <si>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</si>
  <si>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</si>
  <si>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</si>
  <si>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</si>
  <si>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</si>
  <si>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</si>
  <si>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</si>
  <si>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</si>
  <si>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</si>
  <si>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</si>
  <si>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</si>
  <si>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</si>
  <si>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</si>
  <si>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</si>
  <si>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</si>
  <si>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</si>
  <si>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</si>
  <si>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</si>
  <si>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</si>
  <si>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</si>
  <si>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</si>
  <si>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</si>
  <si>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</si>
  <si>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</si>
  <si>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</si>
  <si>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</si>
  <si>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</si>
  <si>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</si>
  <si>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</si>
  <si>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</si>
  <si>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</si>
  <si>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</si>
  <si>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</si>
  <si>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</si>
  <si>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</si>
  <si>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</si>
  <si>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</si>
  <si>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</si>
  <si>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</si>
  <si>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</si>
  <si>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</si>
  <si>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</si>
  <si>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</si>
  <si>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</si>
  <si>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</si>
  <si>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</si>
  <si>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</si>
  <si>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</si>
  <si>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</si>
  <si>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</si>
  <si>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</si>
  <si>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</si>
  <si>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</si>
  <si>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</si>
  <si>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</si>
  <si>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</si>
  <si>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</si>
  <si>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</si>
  <si>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</si>
  <si>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</si>
  <si>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</si>
  <si>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</si>
  <si>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</si>
  <si>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</si>
  <si>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</si>
  <si>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</si>
  <si>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</si>
  <si>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</si>
  <si>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</si>
  <si>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</si>
  <si>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</si>
  <si>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</si>
  <si>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</si>
  <si>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</si>
  <si>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</si>
  <si>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</si>
  <si>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</si>
  <si>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</si>
  <si>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</si>
  <si>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</si>
  <si>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</si>
  <si>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</si>
  <si>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</si>
  <si>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</si>
  <si>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</si>
  <si>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</si>
  <si>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</si>
  <si>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</si>
  <si>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</si>
  <si>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</si>
  <si>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</si>
  <si>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</si>
  <si>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</si>
  <si>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</si>
  <si>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</si>
  <si>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</si>
  <si>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</si>
  <si>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</si>
  <si>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</si>
  <si>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</si>
  <si>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</si>
  <si>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</si>
  <si>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</si>
  <si>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</si>
  <si>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</si>
  <si>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</si>
  <si>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</si>
  <si>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</si>
  <si>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</si>
  <si>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</si>
  <si>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</si>
  <si>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</si>
  <si>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</si>
  <si>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</si>
  <si>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</si>
  <si>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</si>
  <si>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</si>
  <si>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</si>
  <si>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</si>
  <si>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</si>
  <si>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</si>
  <si>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</si>
  <si>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</si>
  <si>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</si>
  <si>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</si>
  <si>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</si>
  <si>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</si>
  <si>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</si>
  <si>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</si>
  <si>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</si>
  <si>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</si>
  <si>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</si>
  <si>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</si>
  <si>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</si>
  <si>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</si>
  <si>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</si>
  <si>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</si>
  <si>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</si>
  <si>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</si>
  <si>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</si>
  <si>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</si>
  <si>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</si>
  <si>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</si>
  <si>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</si>
  <si>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</si>
  <si>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</si>
  <si>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</si>
  <si>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</si>
  <si>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</si>
  <si>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</si>
  <si>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</si>
  <si>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</si>
  <si>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</si>
  <si>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</si>
  <si>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</si>
  <si>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</si>
  <si>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</si>
  <si>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</si>
  <si>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</si>
  <si>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</si>
  <si>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</si>
  <si>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</si>
  <si>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</si>
  <si>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</si>
  <si>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</si>
  <si>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</si>
  <si>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</si>
  <si>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</si>
  <si>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</si>
  <si>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</si>
  <si>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</si>
  <si>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</si>
  <si>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</si>
  <si>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</si>
  <si>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</si>
  <si>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</si>
  <si>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</si>
  <si>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</si>
  <si>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</si>
  <si>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</si>
  <si>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</si>
  <si>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</si>
  <si>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</si>
  <si>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</si>
  <si>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</si>
  <si>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</si>
  <si>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</si>
  <si>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</si>
  <si>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</si>
  <si>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</si>
  <si>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</si>
  <si>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</si>
  <si>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</si>
  <si>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</si>
  <si>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</si>
  <si>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</si>
  <si>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</si>
  <si>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</si>
  <si>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</si>
  <si>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</si>
  <si>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</si>
  <si>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</si>
  <si>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</si>
  <si>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</si>
  <si>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</si>
  <si>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</si>
  <si>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</si>
  <si>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</si>
  <si>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</si>
  <si>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</si>
  <si>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</si>
  <si>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</si>
  <si>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</si>
  <si>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</si>
  <si>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</si>
  <si>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</si>
  <si>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</si>
  <si>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</si>
  <si>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</si>
  <si>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</si>
  <si>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</si>
  <si>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</si>
  <si>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</si>
  <si>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</si>
  <si>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</si>
  <si>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</si>
  <si>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</si>
  <si>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</si>
  <si>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</si>
  <si>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</si>
  <si>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</si>
  <si>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</si>
  <si>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</si>
  <si>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</si>
  <si>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</si>
  <si>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</si>
  <si>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</si>
  <si>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</si>
  <si>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</si>
  <si>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</si>
  <si>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</si>
  <si>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</si>
  <si>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</si>
  <si>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</si>
  <si>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</si>
  <si>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</si>
  <si>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</si>
  <si>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</si>
  <si>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</si>
  <si>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</si>
  <si>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</si>
  <si>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</si>
  <si>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</si>
  <si>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</si>
  <si>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</si>
  <si>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</si>
  <si>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</si>
  <si>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</si>
  <si>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</si>
  <si>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</si>
  <si>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</si>
  <si>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</si>
  <si>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</si>
  <si>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</si>
  <si>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</si>
  <si>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</si>
  <si>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</si>
  <si>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</si>
  <si>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</si>
  <si>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</si>
  <si>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</si>
  <si>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</si>
  <si>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</si>
  <si>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</si>
  <si>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</si>
  <si>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</si>
  <si>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</si>
  <si>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</si>
  <si>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</si>
  <si>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</si>
  <si>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</si>
  <si>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</si>
  <si>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</si>
  <si>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</si>
  <si>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</si>
  <si>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</si>
  <si>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</si>
  <si>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</si>
  <si>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</si>
  <si>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</si>
  <si>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</si>
  <si>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</si>
  <si>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</si>
  <si>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</si>
  <si>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</si>
  <si>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</si>
  <si>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</si>
  <si>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</si>
  <si>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</si>
  <si>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</si>
  <si>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</si>
  <si>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</si>
  <si>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</si>
  <si>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</si>
  <si>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</si>
  <si>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</si>
  <si>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</si>
  <si>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</si>
  <si>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</si>
  <si>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</si>
  <si>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</si>
  <si>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</si>
  <si>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</si>
  <si>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</si>
  <si>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</si>
  <si>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</si>
  <si>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</si>
  <si>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</si>
  <si>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</si>
  <si>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</si>
  <si>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</si>
  <si>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</si>
  <si>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</si>
  <si>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</si>
  <si>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</si>
  <si>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</si>
  <si>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</si>
  <si>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</si>
  <si>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</si>
  <si>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</si>
  <si>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</si>
  <si>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</si>
  <si>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</si>
  <si>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</si>
  <si>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</si>
  <si>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</si>
  <si>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</si>
  <si>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</si>
  <si>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</si>
  <si>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</si>
  <si>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</si>
  <si>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</si>
  <si>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</si>
  <si>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</si>
  <si>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</si>
  <si>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</si>
  <si>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</si>
  <si>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</si>
  <si>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</si>
  <si>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</si>
  <si>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</si>
  <si>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</si>
  <si>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</si>
  <si>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</si>
  <si>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</si>
  <si>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</si>
  <si>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</si>
  <si>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</si>
  <si>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</si>
  <si>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</si>
  <si>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</si>
  <si>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</si>
  <si>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</si>
  <si>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</si>
  <si>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</si>
  <si>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</si>
  <si>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</si>
  <si>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</si>
  <si>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</si>
  <si>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</si>
  <si>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</si>
  <si>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</si>
  <si>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</si>
  <si>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</si>
  <si>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</si>
  <si>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</si>
  <si>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</si>
  <si>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</si>
  <si>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</si>
  <si>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</si>
  <si>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</si>
  <si>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</si>
  <si>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</si>
  <si>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</si>
  <si>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</si>
  <si>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</si>
  <si>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</si>
  <si>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</si>
  <si>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</si>
  <si>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</si>
  <si>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</si>
  <si>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</si>
  <si>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</si>
  <si>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</si>
  <si>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</si>
  <si>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</si>
  <si>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</si>
  <si>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</si>
  <si>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</si>
  <si>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</si>
  <si>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</si>
  <si>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</si>
  <si>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</si>
  <si>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</si>
  <si>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</si>
  <si>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</si>
  <si>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</si>
  <si>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</si>
  <si>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</si>
  <si>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</si>
  <si>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</si>
  <si>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</si>
  <si>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</si>
  <si>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</si>
  <si>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</si>
  <si>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</si>
  <si>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</si>
  <si>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</si>
  <si>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</si>
  <si>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</si>
  <si>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</si>
  <si>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</si>
  <si>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</si>
  <si>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</si>
  <si>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</si>
  <si>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</si>
  <si>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</si>
  <si>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</si>
  <si>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</si>
  <si>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</si>
  <si>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</si>
  <si>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</si>
  <si>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</si>
  <si>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</si>
  <si>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</si>
  <si>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</si>
  <si>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</si>
  <si>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</si>
  <si>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</si>
  <si>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</si>
  <si>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</si>
  <si>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</si>
  <si>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</si>
  <si>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</si>
  <si>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</si>
  <si>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</si>
  <si>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</si>
  <si>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</si>
  <si>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</si>
  <si>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</si>
  <si>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</si>
  <si>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</si>
  <si>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</si>
  <si>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</si>
  <si>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</si>
  <si>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</si>
  <si>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</si>
  <si>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</si>
  <si>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</si>
  <si>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</si>
  <si>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</si>
  <si>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</si>
  <si>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</si>
  <si>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</si>
  <si>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</si>
  <si>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</si>
  <si>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</si>
  <si>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</si>
  <si>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</si>
  <si>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</si>
  <si>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</si>
  <si>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</si>
  <si>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</si>
  <si>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</si>
  <si>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</si>
  <si>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</si>
  <si>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</si>
  <si>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</si>
  <si>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</si>
  <si>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</si>
  <si>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</si>
  <si>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</si>
  <si>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</si>
  <si>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</si>
  <si>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</si>
  <si>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</si>
  <si>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</si>
  <si>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</si>
  <si>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</si>
  <si>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</si>
  <si>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</si>
  <si>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</si>
  <si>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</si>
  <si>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</si>
  <si>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</si>
  <si>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</si>
  <si>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</si>
  <si>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</si>
  <si>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</si>
  <si>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</si>
  <si>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</si>
  <si>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</si>
  <si>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</si>
  <si>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</si>
  <si>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</si>
  <si>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</si>
  <si>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</si>
  <si>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</si>
  <si>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</si>
  <si>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</si>
  <si>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</si>
  <si>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</si>
  <si>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</si>
  <si>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</si>
  <si>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</si>
  <si>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</si>
  <si>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</si>
  <si>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</si>
  <si>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</si>
  <si>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</si>
  <si>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</si>
  <si>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</si>
  <si>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</si>
  <si>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</si>
  <si>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</si>
  <si>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</si>
  <si>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</si>
  <si>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</si>
  <si>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</si>
  <si>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</si>
  <si>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</si>
  <si>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</si>
  <si>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</si>
  <si>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</si>
  <si>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</si>
  <si>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</si>
  <si>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</si>
  <si>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</si>
  <si>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</si>
  <si>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</si>
  <si>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</si>
  <si>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</si>
  <si>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</si>
  <si>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</si>
  <si>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</si>
  <si>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</si>
  <si>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</si>
  <si>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</si>
  <si>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</si>
  <si>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</si>
  <si>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</si>
  <si>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</si>
  <si>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</si>
  <si>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</si>
  <si>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</si>
  <si>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</si>
  <si>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</si>
  <si>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</si>
  <si>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</si>
  <si>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</si>
  <si>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</si>
  <si>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</si>
  <si>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</si>
  <si>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</si>
  <si>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</si>
  <si>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</si>
  <si>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</si>
  <si>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</si>
  <si>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</si>
  <si>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</si>
  <si>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</si>
  <si>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</si>
  <si>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</si>
  <si>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</si>
  <si>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</si>
  <si>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</si>
  <si>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</si>
  <si>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</si>
  <si>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</si>
  <si>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</si>
  <si>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</si>
  <si>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</si>
  <si>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</si>
  <si>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</si>
  <si>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</si>
  <si>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</si>
  <si>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</si>
  <si>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II</t>
  </si>
  <si>
    <t>PEMASANGAN TIANG</t>
  </si>
  <si>
    <t>PEMASANGAN KONSTRUKSI</t>
  </si>
  <si>
    <t>SPV. RENSIS</t>
  </si>
  <si>
    <t>MB PERENCANAAN</t>
  </si>
  <si>
    <t>MANAGER</t>
  </si>
  <si>
    <t>III</t>
  </si>
  <si>
    <t>IV</t>
  </si>
  <si>
    <t>PEMASANGAN DI TIANG</t>
  </si>
  <si>
    <t>KOORDINAT :'-6.922989, 110.598142</t>
  </si>
  <si>
    <t>Trafo 3 Fasa 160 KVA 2 Tiang (G313)</t>
  </si>
  <si>
    <t xml:space="preserve">Jumper Wire : </t>
  </si>
  <si>
    <t>CM2-11M</t>
  </si>
  <si>
    <t>Stainless Steel Strap 20 X 0.7 mm</t>
  </si>
  <si>
    <t>ATTB</t>
  </si>
  <si>
    <t>Daya 147.000 VA</t>
  </si>
  <si>
    <t>Pemasangan APP Di Tiang</t>
  </si>
  <si>
    <t>JL BUYARAN-GUNTUR</t>
  </si>
  <si>
    <t>CHARLIE HOSPITAL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</si>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</sst>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8" fillId="0" borderId="0"/>
    <xf numFmtId="165" fontId="23" fillId="0" borderId="0" applyFont="0" applyFill="0" applyBorder="0" applyAlignment="0" applyProtection="0"/>
    <xf numFmtId="0" fontId="8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3"/>
    <xf numFmtId="0" fontId="90" fillId="0" borderId="94"/>
    <xf numFmtId="166" fontId="23" fillId="0" borderId="0" applyFont="0" applyFill="0" applyBorder="0" applyAlignment="0" applyProtection="0"/>
    <xf numFmtId="0" fontId="38" fillId="20" borderId="99" applyNumberFormat="0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8" fillId="21" borderId="95" applyNumberFormat="0" applyAlignment="0" applyProtection="0"/>
    <xf numFmtId="0" fontId="34" fillId="7" borderId="103" applyNumberFormat="0" applyAlignment="0" applyProtection="0"/>
    <xf numFmtId="0" fontId="40" fillId="0" borderId="100" applyNumberFormat="0" applyFill="0" applyAlignment="0" applyProtection="0"/>
    <xf numFmtId="0" fontId="7" fillId="0" borderId="0"/>
    <xf numFmtId="0" fontId="7" fillId="0" borderId="0"/>
    <xf numFmtId="0" fontId="89" fillId="0" borderId="102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40" fillId="0" borderId="106" applyNumberFormat="0" applyFill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7" fillId="0" borderId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166" fontId="7" fillId="0" borderId="0" applyFont="0" applyFill="0" applyBorder="0" applyAlignment="0" applyProtection="0"/>
    <xf numFmtId="0" fontId="80" fillId="23" borderId="101"/>
    <xf numFmtId="0" fontId="80" fillId="0" borderId="101"/>
    <xf numFmtId="0" fontId="80" fillId="0" borderId="96"/>
    <xf numFmtId="0" fontId="80" fillId="0" borderId="96"/>
    <xf numFmtId="0" fontId="75" fillId="0" borderId="101"/>
    <xf numFmtId="0" fontId="75" fillId="0" borderId="101"/>
    <xf numFmtId="0" fontId="75" fillId="0" borderId="107"/>
    <xf numFmtId="0" fontId="75" fillId="0" borderId="107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7" fillId="0" borderId="0"/>
    <xf numFmtId="0" fontId="7" fillId="0" borderId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17" fillId="27" borderId="104" applyNumberFormat="0" applyFont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38" fillId="20" borderId="99" applyNumberFormat="0" applyAlignment="0" applyProtection="0"/>
    <xf numFmtId="0" fontId="23" fillId="27" borderId="98" applyNumberFormat="0" applyFont="0" applyAlignment="0" applyProtection="0"/>
    <xf numFmtId="0" fontId="34" fillId="7" borderId="97" applyNumberFormat="0" applyAlignment="0" applyProtection="0"/>
    <xf numFmtId="0" fontId="27" fillId="20" borderId="97" applyNumberForma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34" fillId="7" borderId="103" applyNumberFormat="0" applyAlignment="0" applyProtection="0"/>
    <xf numFmtId="0" fontId="27" fillId="20" borderId="103" applyNumberFormat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89" fillId="0" borderId="108"/>
    <xf numFmtId="0" fontId="34" fillId="7" borderId="103" applyNumberFormat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2" fontId="17" fillId="0" borderId="0" applyFont="0" applyFill="0" applyBorder="0" applyAlignment="0" applyProtection="0"/>
    <xf numFmtId="0" fontId="75" fillId="0" borderId="107"/>
    <xf numFmtId="0" fontId="75" fillId="0" borderId="107"/>
    <xf numFmtId="0" fontId="80" fillId="0" borderId="96"/>
    <xf numFmtId="0" fontId="80" fillId="0" borderId="96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9" fontId="23" fillId="0" borderId="0" applyFont="0" applyFill="0" applyBorder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09"/>
    <xf numFmtId="0" fontId="89" fillId="0" borderId="109"/>
    <xf numFmtId="0" fontId="90" fillId="0" borderId="110"/>
    <xf numFmtId="0" fontId="90" fillId="0" borderId="11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113" fillId="0" borderId="0"/>
    <xf numFmtId="166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75" fillId="0" borderId="136"/>
    <xf numFmtId="0" fontId="34" fillId="7" borderId="10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17" fillId="27" borderId="121" applyNumberFormat="0" applyFont="0" applyAlignment="0" applyProtection="0"/>
    <xf numFmtId="0" fontId="5" fillId="0" borderId="0"/>
    <xf numFmtId="0" fontId="34" fillId="7" borderId="113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27" fillId="20" borderId="132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5" fillId="0" borderId="0"/>
    <xf numFmtId="193" fontId="44" fillId="28" borderId="121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3" fillId="0" borderId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7" fillId="20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23" fillId="27" borderId="121" applyNumberFormat="0" applyFont="0" applyAlignment="0" applyProtection="0"/>
    <xf numFmtId="0" fontId="38" fillId="20" borderId="122" applyNumberFormat="0" applyAlignment="0" applyProtection="0"/>
    <xf numFmtId="0" fontId="89" fillId="0" borderId="119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166" fontId="23" fillId="0" borderId="0" applyFont="0" applyFill="0" applyBorder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80" fillId="23" borderId="130"/>
    <xf numFmtId="0" fontId="80" fillId="0" borderId="130"/>
    <xf numFmtId="0" fontId="75" fillId="0" borderId="130"/>
    <xf numFmtId="0" fontId="75" fillId="0" borderId="130"/>
    <xf numFmtId="166" fontId="5" fillId="0" borderId="0" applyFont="0" applyFill="0" applyBorder="0" applyAlignment="0" applyProtection="0"/>
    <xf numFmtId="0" fontId="75" fillId="0" borderId="136"/>
    <xf numFmtId="0" fontId="75" fillId="0" borderId="124"/>
    <xf numFmtId="0" fontId="75" fillId="0" borderId="124"/>
    <xf numFmtId="0" fontId="80" fillId="0" borderId="136"/>
    <xf numFmtId="0" fontId="80" fillId="23" borderId="136"/>
    <xf numFmtId="0" fontId="80" fillId="0" borderId="124"/>
    <xf numFmtId="0" fontId="75" fillId="0" borderId="114"/>
    <xf numFmtId="0" fontId="75" fillId="0" borderId="114"/>
    <xf numFmtId="0" fontId="75" fillId="0" borderId="114"/>
    <xf numFmtId="0" fontId="75" fillId="0" borderId="114"/>
    <xf numFmtId="0" fontId="80" fillId="23" borderId="124"/>
    <xf numFmtId="0" fontId="80" fillId="0" borderId="114"/>
    <xf numFmtId="0" fontId="80" fillId="0" borderId="114"/>
    <xf numFmtId="0" fontId="80" fillId="23" borderId="114"/>
    <xf numFmtId="0" fontId="80" fillId="23" borderId="114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34" fillId="7" borderId="113" applyNumberFormat="0" applyAlignment="0" applyProtection="0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32" applyNumberFormat="0" applyAlignment="0" applyProtection="0"/>
    <xf numFmtId="0" fontId="89" fillId="0" borderId="111"/>
    <xf numFmtId="0" fontId="90" fillId="0" borderId="112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13" applyNumberFormat="0" applyAlignment="0" applyProtection="0"/>
    <xf numFmtId="0" fontId="23" fillId="27" borderId="133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0" borderId="0"/>
    <xf numFmtId="193" fontId="44" fillId="28" borderId="121" applyAlignment="0" applyProtection="0"/>
    <xf numFmtId="0" fontId="23" fillId="0" borderId="0"/>
    <xf numFmtId="0" fontId="34" fillId="7" borderId="132" applyNumberFormat="0" applyAlignment="0" applyProtection="0"/>
    <xf numFmtId="0" fontId="34" fillId="7" borderId="132" applyNumberForma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5" fillId="0" borderId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5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38" fillId="20" borderId="128" applyNumberFormat="0" applyAlignment="0" applyProtection="0"/>
    <xf numFmtId="0" fontId="23" fillId="27" borderId="127" applyNumberFormat="0" applyFont="0" applyAlignment="0" applyProtection="0"/>
    <xf numFmtId="0" fontId="89" fillId="0" borderId="125"/>
    <xf numFmtId="0" fontId="5" fillId="0" borderId="0"/>
    <xf numFmtId="0" fontId="27" fillId="20" borderId="12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89" fillId="0" borderId="118"/>
    <xf numFmtId="0" fontId="89" fillId="0" borderId="118"/>
    <xf numFmtId="0" fontId="17" fillId="27" borderId="133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0" fontId="34" fillId="7" borderId="120" applyNumberFormat="0" applyAlignment="0" applyProtection="0"/>
    <xf numFmtId="0" fontId="40" fillId="0" borderId="123" applyNumberFormat="0" applyFill="0" applyAlignment="0" applyProtection="0"/>
    <xf numFmtId="0" fontId="27" fillId="20" borderId="132" applyNumberFormat="0" applyAlignment="0" applyProtection="0"/>
    <xf numFmtId="0" fontId="34" fillId="7" borderId="103" applyNumberFormat="0" applyAlignment="0" applyProtection="0"/>
    <xf numFmtId="0" fontId="89" fillId="0" borderId="111"/>
    <xf numFmtId="0" fontId="23" fillId="27" borderId="133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38" fillId="20" borderId="122" applyNumberFormat="0" applyAlignment="0" applyProtection="0"/>
    <xf numFmtId="0" fontId="23" fillId="27" borderId="133" applyNumberFormat="0" applyFont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40" fillId="0" borderId="123" applyNumberFormat="0" applyFill="0" applyAlignment="0" applyProtection="0"/>
    <xf numFmtId="0" fontId="17" fillId="27" borderId="13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5" fillId="0" borderId="0"/>
    <xf numFmtId="0" fontId="40" fillId="0" borderId="123" applyNumberFormat="0" applyFill="0" applyAlignment="0" applyProtection="0"/>
    <xf numFmtId="166" fontId="12" fillId="0" borderId="0" applyFont="0" applyFill="0" applyBorder="0" applyAlignment="0" applyProtection="0"/>
    <xf numFmtId="0" fontId="5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40" fillId="0" borderId="135" applyNumberFormat="0" applyFill="0" applyAlignment="0" applyProtection="0"/>
    <xf numFmtId="0" fontId="38" fillId="20" borderId="134" applyNumberFormat="0" applyAlignment="0" applyProtection="0"/>
    <xf numFmtId="0" fontId="23" fillId="27" borderId="133" applyNumberFormat="0" applyFont="0" applyAlignment="0" applyProtection="0"/>
    <xf numFmtId="0" fontId="89" fillId="0" borderId="131"/>
    <xf numFmtId="0" fontId="34" fillId="7" borderId="132" applyNumberFormat="0" applyAlignment="0" applyProtection="0"/>
    <xf numFmtId="0" fontId="27" fillId="20" borderId="132" applyNumberFormat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27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89" fillId="0" borderId="137"/>
    <xf numFmtId="0" fontId="34" fillId="7" borderId="132" applyNumberFormat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23" fillId="0" borderId="0"/>
    <xf numFmtId="0" fontId="178" fillId="0" borderId="0"/>
  </cellStyleXfs>
  <cellXfs count="70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48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7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0" xfId="2670" applyFont="1" applyFill="1" applyBorder="1" applyAlignment="1">
      <alignment horizontal="left" vertical="center"/>
    </xf>
    <xf numFmtId="0" fontId="161" fillId="39" borderId="76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83" xfId="2670" applyFont="1" applyFill="1" applyBorder="1" applyAlignment="1">
      <alignment horizontal="center" vertical="center"/>
    </xf>
    <xf numFmtId="43" fontId="142" fillId="40" borderId="79" xfId="2672" applyFont="1" applyFill="1" applyBorder="1" applyAlignment="1" applyProtection="1">
      <alignment horizontal="right" vertical="center" wrapText="1"/>
      <protection locked="0"/>
    </xf>
    <xf numFmtId="43" fontId="142" fillId="40" borderId="81" xfId="2672" applyFont="1" applyFill="1" applyBorder="1" applyAlignment="1" applyProtection="1">
      <alignment horizontal="right" vertical="center"/>
      <protection locked="0"/>
    </xf>
    <xf numFmtId="168" fontId="142" fillId="40" borderId="81" xfId="2672" applyNumberFormat="1" applyFont="1" applyFill="1" applyBorder="1" applyAlignment="1" applyProtection="1">
      <alignment horizontal="right" vertical="center"/>
      <protection locked="0"/>
    </xf>
    <xf numFmtId="168" fontId="142" fillId="40" borderId="84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49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0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88" xfId="2673" applyFont="1" applyFill="1" applyBorder="1" applyAlignment="1">
      <alignment vertical="center" wrapText="1"/>
    </xf>
    <xf numFmtId="0" fontId="148" fillId="43" borderId="88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7" fillId="0" borderId="56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2" xfId="2673" applyFont="1" applyFill="1" applyBorder="1" applyAlignment="1">
      <alignment vertical="center" wrapText="1"/>
    </xf>
    <xf numFmtId="0" fontId="108" fillId="0" borderId="62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4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45" fillId="0" borderId="20" xfId="1615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17" fillId="0" borderId="0" xfId="2677" applyFont="1" applyAlignment="1">
      <alignment horizontal="center"/>
    </xf>
    <xf numFmtId="0" fontId="117" fillId="0" borderId="26" xfId="2677" applyFont="1" applyBorder="1" applyAlignment="1">
      <alignment horizontal="center"/>
    </xf>
    <xf numFmtId="0" fontId="117" fillId="0" borderId="36" xfId="2677" applyFont="1" applyBorder="1" applyAlignment="1">
      <alignment horizontal="center"/>
    </xf>
    <xf numFmtId="0" fontId="117" fillId="0" borderId="28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7" fillId="0" borderId="37" xfId="2677" applyFont="1" applyBorder="1" applyAlignment="1">
      <alignment horizontal="center"/>
    </xf>
    <xf numFmtId="0" fontId="176" fillId="0" borderId="0" xfId="2677" quotePrefix="1" applyFont="1" applyAlignment="1">
      <alignment horizontal="left" vertic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17" fillId="0" borderId="0" xfId="2677" applyFont="1" applyAlignment="1">
      <alignment horizontal="left"/>
    </xf>
    <xf numFmtId="0" fontId="119" fillId="0" borderId="28" xfId="2677" applyFont="1" applyBorder="1" applyAlignment="1">
      <alignment horizontal="center"/>
    </xf>
    <xf numFmtId="0" fontId="119" fillId="0" borderId="0" xfId="2677" applyFont="1" applyAlignment="1">
      <alignment horizontal="center"/>
    </xf>
    <xf numFmtId="0" fontId="117" fillId="0" borderId="138" xfId="2677" applyFont="1" applyBorder="1" applyAlignment="1">
      <alignment horizontal="center"/>
    </xf>
    <xf numFmtId="0" fontId="94" fillId="0" borderId="40" xfId="2677" applyFont="1" applyBorder="1" applyAlignment="1">
      <alignment horizontal="center" vertical="center"/>
    </xf>
    <xf numFmtId="0" fontId="94" fillId="0" borderId="47" xfId="2677" applyFont="1" applyBorder="1" applyAlignment="1">
      <alignment horizontal="center" vertical="center"/>
    </xf>
    <xf numFmtId="0" fontId="117" fillId="0" borderId="3" xfId="2677" applyFont="1" applyBorder="1" applyAlignment="1">
      <alignment horizontal="center" vertical="center"/>
    </xf>
    <xf numFmtId="0" fontId="117" fillId="0" borderId="39" xfId="2677" applyFont="1" applyBorder="1" applyAlignment="1">
      <alignment horizontal="center" vertical="center"/>
    </xf>
    <xf numFmtId="0" fontId="120" fillId="0" borderId="0" xfId="2677" applyFont="1" applyAlignment="1">
      <alignment horizontal="center"/>
    </xf>
    <xf numFmtId="0" fontId="94" fillId="0" borderId="144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17" fillId="0" borderId="3" xfId="2677" applyFont="1" applyBorder="1" applyAlignment="1">
      <alignment vertical="top" wrapText="1"/>
    </xf>
    <xf numFmtId="0" fontId="117" fillId="0" borderId="39" xfId="2677" applyFont="1" applyBorder="1" applyAlignment="1">
      <alignment vertical="top" wrapText="1"/>
    </xf>
    <xf numFmtId="0" fontId="121" fillId="0" borderId="66" xfId="2677" applyFont="1" applyBorder="1" applyAlignment="1">
      <alignment horizontal="center" vertical="center"/>
    </xf>
    <xf numFmtId="0" fontId="121" fillId="0" borderId="67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22" fillId="0" borderId="68" xfId="2677" applyFont="1" applyBorder="1" applyAlignment="1">
      <alignment horizontal="center" vertical="top" wrapText="1"/>
    </xf>
    <xf numFmtId="0" fontId="122" fillId="0" borderId="69" xfId="2677" applyFont="1" applyBorder="1" applyAlignment="1">
      <alignment horizontal="center" vertical="top" wrapText="1"/>
    </xf>
    <xf numFmtId="0" fontId="117" fillId="0" borderId="0" xfId="2677" applyFont="1" applyAlignment="1">
      <alignment vertical="top" wrapText="1"/>
    </xf>
    <xf numFmtId="0" fontId="117" fillId="0" borderId="37" xfId="2677" applyFont="1" applyBorder="1" applyAlignment="1">
      <alignment vertical="top" wrapText="1"/>
    </xf>
    <xf numFmtId="0" fontId="117" fillId="0" borderId="42" xfId="2677" applyFont="1" applyBorder="1" applyAlignment="1">
      <alignment horizontal="center"/>
    </xf>
    <xf numFmtId="0" fontId="117" fillId="0" borderId="43" xfId="2677" applyFont="1" applyBorder="1" applyAlignment="1">
      <alignment vertical="top" wrapText="1"/>
    </xf>
    <xf numFmtId="0" fontId="117" fillId="0" borderId="44" xfId="2677" applyFont="1" applyBorder="1" applyAlignment="1">
      <alignment vertical="top" wrapText="1"/>
    </xf>
    <xf numFmtId="0" fontId="117" fillId="0" borderId="45" xfId="2677" applyFont="1" applyBorder="1" applyAlignment="1">
      <alignment vertical="top" wrapText="1"/>
    </xf>
    <xf numFmtId="0" fontId="122" fillId="0" borderId="28" xfId="2677" applyFont="1" applyBorder="1" applyAlignment="1">
      <alignment horizontal="center"/>
    </xf>
    <xf numFmtId="0" fontId="122" fillId="0" borderId="0" xfId="2677" applyFont="1" applyAlignment="1">
      <alignment horizontal="center"/>
    </xf>
    <xf numFmtId="20" fontId="117" fillId="0" borderId="39" xfId="2677" applyNumberFormat="1" applyFont="1" applyBorder="1" applyAlignment="1">
      <alignment horizontal="center"/>
    </xf>
    <xf numFmtId="0" fontId="117" fillId="0" borderId="42" xfId="2677" applyFont="1" applyBorder="1" applyAlignment="1">
      <alignment horizontal="center" vertical="center" wrapText="1"/>
    </xf>
    <xf numFmtId="0" fontId="122" fillId="0" borderId="34" xfId="2677" applyFont="1" applyBorder="1" applyAlignment="1">
      <alignment horizontal="center"/>
    </xf>
    <xf numFmtId="0" fontId="122" fillId="0" borderId="19" xfId="2677" applyFont="1" applyBorder="1" applyAlignment="1">
      <alignment horizontal="center"/>
    </xf>
    <xf numFmtId="0" fontId="117" fillId="0" borderId="19" xfId="2677" applyFont="1" applyBorder="1" applyAlignment="1">
      <alignment horizontal="center"/>
    </xf>
    <xf numFmtId="0" fontId="117" fillId="0" borderId="46" xfId="2677" applyFont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5" fillId="42" borderId="85" xfId="2673" applyFont="1" applyFill="1" applyBorder="1" applyAlignment="1">
      <alignment horizontal="center" vertical="center" wrapText="1"/>
    </xf>
    <xf numFmtId="0" fontId="165" fillId="42" borderId="86" xfId="2673" applyFont="1" applyFill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6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6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6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7" fillId="43" borderId="60" xfId="2673" applyNumberFormat="1" applyFont="1" applyFill="1" applyBorder="1" applyAlignment="1">
      <alignment horizontal="center" vertical="center" wrapText="1"/>
    </xf>
    <xf numFmtId="2" fontId="137" fillId="43" borderId="8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6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2" xfId="2675" applyFont="1" applyFill="1" applyBorder="1" applyAlignment="1">
      <alignment horizontal="center" vertical="center" wrapText="1"/>
    </xf>
    <xf numFmtId="9" fontId="137" fillId="35" borderId="63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0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1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6" xfId="2673" applyFont="1" applyFill="1" applyBorder="1" applyAlignment="1">
      <alignment horizontal="center" vertical="center" wrapText="1"/>
    </xf>
    <xf numFmtId="2" fontId="137" fillId="35" borderId="60" xfId="2673" applyNumberFormat="1" applyFont="1" applyFill="1" applyBorder="1" applyAlignment="1">
      <alignment horizontal="center" vertical="center" wrapText="1"/>
    </xf>
    <xf numFmtId="2" fontId="137" fillId="35" borderId="89" xfId="2673" applyNumberFormat="1" applyFont="1" applyFill="1" applyBorder="1" applyAlignment="1">
      <alignment horizontal="center" vertical="center" wrapText="1"/>
    </xf>
    <xf numFmtId="0" fontId="165" fillId="41" borderId="85" xfId="2673" applyFont="1" applyFill="1" applyBorder="1" applyAlignment="1">
      <alignment horizontal="center" vertical="center" wrapText="1"/>
    </xf>
    <xf numFmtId="0" fontId="165" fillId="41" borderId="86" xfId="2673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6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6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7" fillId="0" borderId="62" xfId="2675" applyFont="1" applyFill="1" applyBorder="1" applyAlignment="1">
      <alignment horizontal="center" vertical="center" wrapText="1"/>
    </xf>
    <xf numFmtId="9" fontId="137" fillId="0" borderId="63" xfId="2675" applyFont="1" applyFill="1" applyBorder="1" applyAlignment="1">
      <alignment horizontal="center" vertical="center" wrapText="1"/>
    </xf>
    <xf numFmtId="0" fontId="11" fillId="34" borderId="74" xfId="2670" applyFill="1" applyBorder="1" applyAlignment="1">
      <alignment horizontal="center" vertical="center"/>
    </xf>
    <xf numFmtId="0" fontId="140" fillId="0" borderId="75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33" fillId="0" borderId="55" xfId="2677" applyFont="1" applyBorder="1" applyAlignment="1">
      <alignment horizontal="center" vertical="center"/>
    </xf>
    <xf numFmtId="0" fontId="133" fillId="0" borderId="36" xfId="2677" applyFont="1" applyBorder="1" applyAlignment="1">
      <alignment horizontal="center" vertical="center"/>
    </xf>
    <xf numFmtId="0" fontId="133" fillId="0" borderId="48" xfId="2677" applyFont="1" applyBorder="1" applyAlignment="1">
      <alignment horizontal="center" vertical="center"/>
    </xf>
    <xf numFmtId="0" fontId="133" fillId="0" borderId="43" xfId="2677" applyFont="1" applyBorder="1" applyAlignment="1">
      <alignment horizontal="center" vertical="center"/>
    </xf>
    <xf numFmtId="0" fontId="133" fillId="0" borderId="44" xfId="2677" applyFont="1" applyBorder="1" applyAlignment="1">
      <alignment horizontal="center" vertical="center"/>
    </xf>
    <xf numFmtId="0" fontId="133" fillId="0" borderId="45" xfId="2677" applyFont="1" applyBorder="1" applyAlignment="1">
      <alignment horizontal="center" vertical="center"/>
    </xf>
    <xf numFmtId="0" fontId="117" fillId="0" borderId="139" xfId="2677" applyFont="1" applyBorder="1" applyAlignment="1">
      <alignment horizontal="center"/>
    </xf>
    <xf numFmtId="0" fontId="117" fillId="0" borderId="140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8" fillId="0" borderId="0" xfId="2677" applyFont="1" applyAlignment="1">
      <alignment horizontal="left"/>
    </xf>
    <xf numFmtId="0" fontId="118" fillId="0" borderId="37" xfId="2677" applyFont="1" applyBorder="1" applyAlignment="1">
      <alignment horizontal="left"/>
    </xf>
    <xf numFmtId="0" fontId="134" fillId="0" borderId="50" xfId="2677" applyFont="1" applyBorder="1" applyAlignment="1">
      <alignment horizontal="center" vertical="center"/>
    </xf>
    <xf numFmtId="0" fontId="134" fillId="0" borderId="7" xfId="2677" applyFont="1" applyBorder="1" applyAlignment="1">
      <alignment horizontal="center" vertical="center"/>
    </xf>
    <xf numFmtId="0" fontId="134" fillId="0" borderId="41" xfId="2677" applyFont="1" applyBorder="1" applyAlignment="1">
      <alignment horizontal="center" vertical="center"/>
    </xf>
    <xf numFmtId="0" fontId="118" fillId="0" borderId="50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center"/>
    </xf>
    <xf numFmtId="0" fontId="118" fillId="0" borderId="56" xfId="2677" applyFont="1" applyBorder="1" applyAlignment="1">
      <alignment horizontal="center" vertical="center"/>
    </xf>
    <xf numFmtId="0" fontId="94" fillId="0" borderId="57" xfId="2677" applyFont="1" applyBorder="1" applyAlignment="1">
      <alignment horizontal="center" vertical="center"/>
    </xf>
    <xf numFmtId="0" fontId="94" fillId="0" borderId="40" xfId="2677" applyFont="1" applyBorder="1" applyAlignment="1">
      <alignment horizontal="center" vertical="center"/>
    </xf>
    <xf numFmtId="49" fontId="117" fillId="0" borderId="50" xfId="2677" applyNumberFormat="1" applyFont="1" applyBorder="1" applyAlignment="1">
      <alignment horizontal="center" vertical="center"/>
    </xf>
    <xf numFmtId="49" fontId="117" fillId="0" borderId="41" xfId="2677" applyNumberFormat="1" applyFont="1" applyBorder="1" applyAlignment="1">
      <alignment horizontal="center" vertical="center"/>
    </xf>
    <xf numFmtId="49" fontId="177" fillId="0" borderId="57" xfId="2677" applyNumberFormat="1" applyFont="1" applyBorder="1" applyAlignment="1">
      <alignment horizontal="left" vertical="center"/>
    </xf>
    <xf numFmtId="49" fontId="177" fillId="0" borderId="40" xfId="2677" applyNumberFormat="1" applyFont="1" applyBorder="1" applyAlignment="1">
      <alignment horizontal="left" vertical="center"/>
    </xf>
    <xf numFmtId="49" fontId="135" fillId="0" borderId="57" xfId="2677" applyNumberFormat="1" applyFont="1" applyBorder="1" applyAlignment="1">
      <alignment horizontal="center" vertical="center"/>
    </xf>
    <xf numFmtId="49" fontId="135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left" vertical="center"/>
    </xf>
    <xf numFmtId="0" fontId="94" fillId="0" borderId="40" xfId="2677" applyFont="1" applyBorder="1" applyAlignment="1">
      <alignment horizontal="left" vertical="center"/>
    </xf>
    <xf numFmtId="0" fontId="94" fillId="0" borderId="58" xfId="2677" applyFont="1" applyBorder="1" applyAlignment="1">
      <alignment horizontal="left" vertical="center"/>
    </xf>
    <xf numFmtId="0" fontId="94" fillId="0" borderId="141" xfId="2677" applyFont="1" applyBorder="1" applyAlignment="1">
      <alignment horizontal="left" vertical="center"/>
    </xf>
    <xf numFmtId="0" fontId="135" fillId="0" borderId="58" xfId="2677" applyFont="1" applyBorder="1" applyAlignment="1">
      <alignment horizontal="center" vertical="center"/>
    </xf>
    <xf numFmtId="0" fontId="135" fillId="0" borderId="59" xfId="2677" applyFont="1" applyBorder="1" applyAlignment="1">
      <alignment horizontal="center" vertical="center"/>
    </xf>
    <xf numFmtId="0" fontId="94" fillId="0" borderId="58" xfId="2677" applyFont="1" applyBorder="1" applyAlignment="1">
      <alignment horizontal="center" vertical="center"/>
    </xf>
    <xf numFmtId="0" fontId="94" fillId="0" borderId="141" xfId="2677" applyFont="1" applyBorder="1" applyAlignment="1">
      <alignment horizontal="center" vertical="center"/>
    </xf>
    <xf numFmtId="49" fontId="94" fillId="0" borderId="57" xfId="2677" applyNumberFormat="1" applyFont="1" applyBorder="1" applyAlignment="1">
      <alignment horizontal="center" vertical="center"/>
    </xf>
    <xf numFmtId="49" fontId="94" fillId="0" borderId="40" xfId="2677" applyNumberFormat="1" applyFont="1" applyBorder="1" applyAlignment="1">
      <alignment horizontal="center" vertical="center"/>
    </xf>
    <xf numFmtId="0" fontId="122" fillId="0" borderId="70" xfId="2677" applyFont="1" applyBorder="1" applyAlignment="1">
      <alignment horizontal="center" vertical="center"/>
    </xf>
    <xf numFmtId="0" fontId="122" fillId="0" borderId="145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21" fillId="0" borderId="70" xfId="2677" applyFont="1" applyBorder="1" applyAlignment="1">
      <alignment horizontal="center" vertical="center"/>
    </xf>
    <xf numFmtId="0" fontId="121" fillId="0" borderId="71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94" fillId="0" borderId="142" xfId="2677" applyFont="1" applyBorder="1" applyAlignment="1">
      <alignment horizontal="center" vertical="center"/>
    </xf>
    <xf numFmtId="0" fontId="94" fillId="0" borderId="143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center"/>
    </xf>
    <xf numFmtId="0" fontId="117" fillId="0" borderId="7" xfId="2677" applyFont="1" applyBorder="1" applyAlignment="1">
      <alignment horizontal="center"/>
    </xf>
    <xf numFmtId="0" fontId="117" fillId="0" borderId="41" xfId="2677" applyFont="1" applyBorder="1" applyAlignment="1">
      <alignment horizontal="center"/>
    </xf>
    <xf numFmtId="15" fontId="117" fillId="0" borderId="3" xfId="2677" applyNumberFormat="1" applyFont="1" applyBorder="1" applyAlignment="1">
      <alignment horizontal="center"/>
    </xf>
    <xf numFmtId="0" fontId="117" fillId="0" borderId="139" xfId="2677" applyFont="1" applyBorder="1" applyAlignment="1">
      <alignment horizontal="center" vertical="center"/>
    </xf>
    <xf numFmtId="0" fontId="117" fillId="0" borderId="140" xfId="2677" applyFont="1" applyBorder="1" applyAlignment="1">
      <alignment horizontal="center" vertical="center"/>
    </xf>
    <xf numFmtId="0" fontId="117" fillId="0" borderId="0" xfId="2677" applyFont="1" applyAlignment="1">
      <alignment horizontal="center" vertical="center" wrapText="1"/>
    </xf>
    <xf numFmtId="0" fontId="117" fillId="0" borderId="37" xfId="2677" applyFont="1" applyBorder="1" applyAlignment="1">
      <alignment horizontal="center" vertical="center" wrapText="1"/>
    </xf>
    <xf numFmtId="0" fontId="117" fillId="0" borderId="44" xfId="2677" applyFont="1" applyBorder="1" applyAlignment="1">
      <alignment horizontal="center" vertical="center" wrapText="1"/>
    </xf>
    <xf numFmtId="0" fontId="117" fillId="0" borderId="45" xfId="2677" applyFont="1" applyBorder="1" applyAlignment="1">
      <alignment horizontal="center" vertical="center" wrapText="1"/>
    </xf>
    <xf numFmtId="0" fontId="122" fillId="0" borderId="72" xfId="2677" applyFont="1" applyBorder="1" applyAlignment="1">
      <alignment horizontal="center" vertical="center" wrapText="1"/>
    </xf>
    <xf numFmtId="0" fontId="122" fillId="0" borderId="73" xfId="2677" applyFont="1" applyBorder="1" applyAlignment="1">
      <alignment horizontal="center" vertical="center" wrapText="1"/>
    </xf>
    <xf numFmtId="0" fontId="118" fillId="0" borderId="18" xfId="2677" applyFont="1" applyBorder="1" applyAlignment="1">
      <alignment horizontal="left" vertical="top" wrapText="1"/>
    </xf>
    <xf numFmtId="0" fontId="118" fillId="0" borderId="0" xfId="2677" applyFont="1" applyAlignment="1">
      <alignment horizontal="left" vertical="top" wrapText="1"/>
    </xf>
    <xf numFmtId="0" fontId="117" fillId="0" borderId="60" xfId="2677" applyFont="1" applyBorder="1" applyAlignment="1">
      <alignment horizontal="center"/>
    </xf>
    <xf numFmtId="0" fontId="117" fillId="0" borderId="61" xfId="2677" applyFont="1" applyBorder="1" applyAlignment="1">
      <alignment horizontal="center"/>
    </xf>
    <xf numFmtId="0" fontId="117" fillId="0" borderId="62" xfId="2677" applyFont="1" applyBorder="1" applyAlignment="1">
      <alignment horizontal="center"/>
    </xf>
    <xf numFmtId="0" fontId="117" fillId="0" borderId="63" xfId="2677" applyFont="1" applyBorder="1" applyAlignment="1">
      <alignment horizont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51" fillId="48" borderId="21" xfId="1614" applyFont="1" applyFill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97</xdr:row>
      <xdr:rowOff>81642</xdr:rowOff>
    </xdr:from>
    <xdr:to>
      <xdr:col>10</xdr:col>
      <xdr:colOff>1391926</xdr:colOff>
      <xdr:row>100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44720</xdr:colOff>
      <xdr:row>19</xdr:row>
      <xdr:rowOff>120767</xdr:rowOff>
    </xdr:from>
    <xdr:to>
      <xdr:col>11</xdr:col>
      <xdr:colOff>51288</xdr:colOff>
      <xdr:row>39</xdr:row>
      <xdr:rowOff>152096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V="1">
          <a:off x="3949970" y="3073517"/>
          <a:ext cx="6568" cy="3123291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322158</xdr:colOff>
      <xdr:row>29</xdr:row>
      <xdr:rowOff>79216</xdr:rowOff>
    </xdr:from>
    <xdr:to>
      <xdr:col>12</xdr:col>
      <xdr:colOff>92713</xdr:colOff>
      <xdr:row>30</xdr:row>
      <xdr:rowOff>62572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227408" y="4570620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353989</xdr:colOff>
      <xdr:row>25</xdr:row>
      <xdr:rowOff>65943</xdr:rowOff>
    </xdr:from>
    <xdr:to>
      <xdr:col>16</xdr:col>
      <xdr:colOff>373673</xdr:colOff>
      <xdr:row>30</xdr:row>
      <xdr:rowOff>34435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4640239" y="3941885"/>
          <a:ext cx="1543684" cy="73781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CHARLIE HOSPITAL</a:t>
          </a:r>
        </a:p>
      </xdr:txBody>
    </xdr:sp>
    <xdr:clientData/>
  </xdr:twoCellAnchor>
  <xdr:twoCellAnchor>
    <xdr:from>
      <xdr:col>11</xdr:col>
      <xdr:colOff>327363</xdr:colOff>
      <xdr:row>22</xdr:row>
      <xdr:rowOff>130227</xdr:rowOff>
    </xdr:from>
    <xdr:to>
      <xdr:col>12</xdr:col>
      <xdr:colOff>97918</xdr:colOff>
      <xdr:row>23</xdr:row>
      <xdr:rowOff>113582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232613" y="3544573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316896</xdr:colOff>
      <xdr:row>36</xdr:row>
      <xdr:rowOff>123137</xdr:rowOff>
    </xdr:from>
    <xdr:to>
      <xdr:col>12</xdr:col>
      <xdr:colOff>87451</xdr:colOff>
      <xdr:row>37</xdr:row>
      <xdr:rowOff>93354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4222146" y="5691599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76894</xdr:colOff>
      <xdr:row>28</xdr:row>
      <xdr:rowOff>93390</xdr:rowOff>
    </xdr:from>
    <xdr:to>
      <xdr:col>12</xdr:col>
      <xdr:colOff>259774</xdr:colOff>
      <xdr:row>29</xdr:row>
      <xdr:rowOff>29117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4363144" y="4430928"/>
          <a:ext cx="182880" cy="89593"/>
          <a:chOff x="5810250" y="2026920"/>
          <a:chExt cx="182880" cy="91440"/>
        </a:xfrm>
        <a:solidFill>
          <a:srgbClr val="FF0000"/>
        </a:solidFill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13391</xdr:colOff>
      <xdr:row>30</xdr:row>
      <xdr:rowOff>65943</xdr:rowOff>
    </xdr:from>
    <xdr:to>
      <xdr:col>12</xdr:col>
      <xdr:colOff>183173</xdr:colOff>
      <xdr:row>31</xdr:row>
      <xdr:rowOff>43963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4299641" y="4711212"/>
          <a:ext cx="169782" cy="131886"/>
        </a:xfrm>
        <a:prstGeom prst="rect">
          <a:avLst/>
        </a:prstGeom>
        <a:solidFill>
          <a:srgbClr val="FF0000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8</xdr:col>
      <xdr:colOff>139052</xdr:colOff>
      <xdr:row>26</xdr:row>
      <xdr:rowOff>97796</xdr:rowOff>
    </xdr:from>
    <xdr:to>
      <xdr:col>11</xdr:col>
      <xdr:colOff>29307</xdr:colOff>
      <xdr:row>33</xdr:row>
      <xdr:rowOff>87924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2901302" y="4127604"/>
          <a:ext cx="1033255" cy="106718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C12-350</a:t>
          </a:r>
          <a:br>
            <a:rPr lang="en-US" sz="800" baseline="0">
              <a:solidFill>
                <a:schemeClr val="tx1"/>
              </a:solidFill>
            </a:rPr>
          </a:br>
          <a:r>
            <a:rPr lang="en-US" sz="800" baseline="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TRF 3P 100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TRF 160 KVA</a:t>
          </a:r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14654</xdr:colOff>
      <xdr:row>39</xdr:row>
      <xdr:rowOff>80596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36C282E-43E5-4E62-A809-A1878236CF4F}"/>
            </a:ext>
          </a:extLst>
        </xdr:cNvPr>
        <xdr:cNvCxnSpPr/>
      </xdr:nvCxnSpPr>
      <xdr:spPr>
        <a:xfrm flipH="1">
          <a:off x="4286250" y="3260481"/>
          <a:ext cx="14654" cy="28648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29</xdr:row>
      <xdr:rowOff>80597</xdr:rowOff>
    </xdr:from>
    <xdr:to>
      <xdr:col>12</xdr:col>
      <xdr:colOff>246805</xdr:colOff>
      <xdr:row>30</xdr:row>
      <xdr:rowOff>58141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6F015AC-126F-4944-A7C1-A031B48B6A96}"/>
            </a:ext>
          </a:extLst>
        </xdr:cNvPr>
        <xdr:cNvGrpSpPr/>
      </xdr:nvGrpSpPr>
      <xdr:grpSpPr>
        <a:xfrm rot="21333083">
          <a:off x="4381500" y="4572001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5885E9FE-A2F4-8830-6C8F-760F8D60AF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C775E911-9964-1CE7-722C-3B50B5845D4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CF718BE9-43BC-F34F-A943-027C2165843A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0</xdr:colOff>
      <xdr:row>5</xdr:row>
      <xdr:rowOff>36635</xdr:rowOff>
    </xdr:from>
    <xdr:to>
      <xdr:col>28</xdr:col>
      <xdr:colOff>344373</xdr:colOff>
      <xdr:row>16</xdr:row>
      <xdr:rowOff>126763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18676824-2028-4F06-A721-9724541EE77F}"/>
            </a:ext>
          </a:extLst>
        </xdr:cNvPr>
        <xdr:cNvGrpSpPr/>
      </xdr:nvGrpSpPr>
      <xdr:grpSpPr>
        <a:xfrm>
          <a:off x="9275885" y="827943"/>
          <a:ext cx="1487373" cy="1789974"/>
          <a:chOff x="9713886" y="808452"/>
          <a:chExt cx="1342558" cy="1766630"/>
        </a:xfrm>
      </xdr:grpSpPr>
      <xdr:grpSp>
        <xdr:nvGrpSpPr>
          <xdr:cNvPr id="49" name="Group 13">
            <a:extLst>
              <a:ext uri="{FF2B5EF4-FFF2-40B4-BE49-F238E27FC236}">
                <a16:creationId xmlns:a16="http://schemas.microsoft.com/office/drawing/2014/main" id="{0DD96057-E3F2-76A6-2DC4-AB49FB34D79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08" name="Oval 1">
              <a:extLst>
                <a:ext uri="{FF2B5EF4-FFF2-40B4-BE49-F238E27FC236}">
                  <a16:creationId xmlns:a16="http://schemas.microsoft.com/office/drawing/2014/main" id="{2291B6B9-6161-C877-D4AD-6E0D572F082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9" name="Straight Connector 3">
              <a:extLst>
                <a:ext uri="{FF2B5EF4-FFF2-40B4-BE49-F238E27FC236}">
                  <a16:creationId xmlns:a16="http://schemas.microsoft.com/office/drawing/2014/main" id="{CFBF4320-9FA1-D4C7-D764-E9B77FEF9FC7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" name="Straight Connector 7">
              <a:extLst>
                <a:ext uri="{FF2B5EF4-FFF2-40B4-BE49-F238E27FC236}">
                  <a16:creationId xmlns:a16="http://schemas.microsoft.com/office/drawing/2014/main" id="{8DB705E1-CE32-7ECD-CCC1-6806D5A19D3B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787FFBF9-1947-BABE-B8CA-24EC6152026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17DC3B29-E72D-5C7E-69EF-6C0F3B56E8B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05" name="Oval 104">
              <a:extLst>
                <a:ext uri="{FF2B5EF4-FFF2-40B4-BE49-F238E27FC236}">
                  <a16:creationId xmlns:a16="http://schemas.microsoft.com/office/drawing/2014/main" id="{96FA88B6-84D9-32C4-4EBA-FDFDBD1985B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6" name="Straight Connector 105">
              <a:extLst>
                <a:ext uri="{FF2B5EF4-FFF2-40B4-BE49-F238E27FC236}">
                  <a16:creationId xmlns:a16="http://schemas.microsoft.com/office/drawing/2014/main" id="{766D7C62-9080-786B-72D1-C8EB08CDF218}"/>
                </a:ext>
              </a:extLst>
            </xdr:cNvPr>
            <xdr:cNvCxnSpPr>
              <a:stCxn id="105" idx="1"/>
              <a:endCxn id="10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Connector 106">
              <a:extLst>
                <a:ext uri="{FF2B5EF4-FFF2-40B4-BE49-F238E27FC236}">
                  <a16:creationId xmlns:a16="http://schemas.microsoft.com/office/drawing/2014/main" id="{554B56B5-99B7-3A0F-2784-A9F3205361E5}"/>
                </a:ext>
              </a:extLst>
            </xdr:cNvPr>
            <xdr:cNvCxnSpPr>
              <a:stCxn id="105" idx="3"/>
              <a:endCxn id="10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EECD387A-138B-A6E9-E6D6-FA7F0EE195D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3EDD4B3-9FDB-9674-E9A6-F45025C785F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2B9513E-419D-25A9-CA40-76C77E9CC05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D3575D6-50E0-8ACE-5E5A-3474320AF33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D238D959-8CA4-A5AA-7ABC-D5178F9111E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53EB230-B55F-6191-C7EE-553346AA589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3946015E-7AB3-AD4B-F7B1-08140F8D31D6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A603AB33-3563-AE3A-BDDC-D44A00643C3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92FB8817-39FE-6056-161F-E6A07EBDE8F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ABC41868-69EE-5C33-1640-63F25F43A49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8DA8E4B6-68D0-56F2-FDEC-47BE76B900A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789289D2-F69B-ADEB-AAB3-45995090B973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9CF150DE-CBB2-1CD5-33E6-28BDDE01C35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50">
            <a:extLst>
              <a:ext uri="{FF2B5EF4-FFF2-40B4-BE49-F238E27FC236}">
                <a16:creationId xmlns:a16="http://schemas.microsoft.com/office/drawing/2014/main" id="{73050A76-CC6A-04D2-F552-18B891A41FB2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352F64C9-E68B-69A7-BFBE-BC5C7AB6AFF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52">
            <a:extLst>
              <a:ext uri="{FF2B5EF4-FFF2-40B4-BE49-F238E27FC236}">
                <a16:creationId xmlns:a16="http://schemas.microsoft.com/office/drawing/2014/main" id="{8F086238-D807-8F54-4328-6E5BE664AC4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AB047F25-3BCA-CB0C-0D10-D326B59529C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09088A26-D876-7F4B-3200-B6334E9F1F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B8EA511-0044-0CD9-65B4-995D429CFAB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6180AF13-3B09-B24E-CE05-34B31CBF57A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745867E9-4930-11FC-1705-B31EF5D497D3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DBB5EDB9-4D59-5C9B-3AE1-12717F89375E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82F48C7-FDEA-779F-43B8-D5BE056D4E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Isosceles Triangle 74">
            <a:extLst>
              <a:ext uri="{FF2B5EF4-FFF2-40B4-BE49-F238E27FC236}">
                <a16:creationId xmlns:a16="http://schemas.microsoft.com/office/drawing/2014/main" id="{78B1D864-A634-45E4-91EB-F42588D4A6D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9860F64A-EFE5-49F6-5E49-D66EBF75F6F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7" name="Group 73">
            <a:extLst>
              <a:ext uri="{FF2B5EF4-FFF2-40B4-BE49-F238E27FC236}">
                <a16:creationId xmlns:a16="http://schemas.microsoft.com/office/drawing/2014/main" id="{579DA2B0-1313-EF4C-5CD5-E6C6B5D4085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7F9BF294-7145-9682-221A-020B061B2DB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04" name="Straight Connector 103">
              <a:extLst>
                <a:ext uri="{FF2B5EF4-FFF2-40B4-BE49-F238E27FC236}">
                  <a16:creationId xmlns:a16="http://schemas.microsoft.com/office/drawing/2014/main" id="{FE2BBCF0-F46F-BDE1-0455-4BD8F9FE87F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8" name="Group 74">
            <a:extLst>
              <a:ext uri="{FF2B5EF4-FFF2-40B4-BE49-F238E27FC236}">
                <a16:creationId xmlns:a16="http://schemas.microsoft.com/office/drawing/2014/main" id="{EEE2D371-7FA0-1637-BDC7-A46126227B1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01" name="TextBox 100">
              <a:extLst>
                <a:ext uri="{FF2B5EF4-FFF2-40B4-BE49-F238E27FC236}">
                  <a16:creationId xmlns:a16="http://schemas.microsoft.com/office/drawing/2014/main" id="{A0C7DA67-2C05-1F16-EBC2-1569410D344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02" name="Straight Connector 101">
              <a:extLst>
                <a:ext uri="{FF2B5EF4-FFF2-40B4-BE49-F238E27FC236}">
                  <a16:creationId xmlns:a16="http://schemas.microsoft.com/office/drawing/2014/main" id="{31DE4410-866B-430C-65D3-11B9595CD92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Group 89">
            <a:extLst>
              <a:ext uri="{FF2B5EF4-FFF2-40B4-BE49-F238E27FC236}">
                <a16:creationId xmlns:a16="http://schemas.microsoft.com/office/drawing/2014/main" id="{ED0A960A-07C9-5186-A057-AE1A2627812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412C1E39-EF30-E50F-E60A-45308F0C120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79">
              <a:extLst>
                <a:ext uri="{FF2B5EF4-FFF2-40B4-BE49-F238E27FC236}">
                  <a16:creationId xmlns:a16="http://schemas.microsoft.com/office/drawing/2014/main" id="{C548A81A-519B-1F82-BE4C-0F1548BA202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80">
              <a:extLst>
                <a:ext uri="{FF2B5EF4-FFF2-40B4-BE49-F238E27FC236}">
                  <a16:creationId xmlns:a16="http://schemas.microsoft.com/office/drawing/2014/main" id="{846821EC-CF88-7E2B-8427-561DDEBFB3D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Connector 88">
              <a:extLst>
                <a:ext uri="{FF2B5EF4-FFF2-40B4-BE49-F238E27FC236}">
                  <a16:creationId xmlns:a16="http://schemas.microsoft.com/office/drawing/2014/main" id="{11EB2398-8D3F-2A31-DADC-33FB76E40AF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0" name="Group 90">
            <a:extLst>
              <a:ext uri="{FF2B5EF4-FFF2-40B4-BE49-F238E27FC236}">
                <a16:creationId xmlns:a16="http://schemas.microsoft.com/office/drawing/2014/main" id="{4CE09CA2-25F6-ACA5-BAAF-360EB975F7F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FFF28F33-6256-81A9-C3E0-96C247057EF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F334180F-21B3-4451-3092-EE6C947A598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EA619D2E-E141-4DEC-ED79-6C8EE2906C7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68310C22-42AF-B84D-CA70-C54E3465FE2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933131B-FFDD-DF6C-69D2-71AD91A0B22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34A40EB3-BCD6-B840-3366-406F005C552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Arrow Connector 82">
            <a:extLst>
              <a:ext uri="{FF2B5EF4-FFF2-40B4-BE49-F238E27FC236}">
                <a16:creationId xmlns:a16="http://schemas.microsoft.com/office/drawing/2014/main" id="{3C252867-8562-C4AC-85C1-B00BCBE0B26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Arrow Connector 83">
            <a:extLst>
              <a:ext uri="{FF2B5EF4-FFF2-40B4-BE49-F238E27FC236}">
                <a16:creationId xmlns:a16="http://schemas.microsoft.com/office/drawing/2014/main" id="{90A9C837-C6CF-21F4-2AA7-F3E805CA4FE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155">
            <a:extLst>
              <a:ext uri="{FF2B5EF4-FFF2-40B4-BE49-F238E27FC236}">
                <a16:creationId xmlns:a16="http://schemas.microsoft.com/office/drawing/2014/main" id="{2107F80C-8130-42B2-6FE1-6FD0200B0C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90" name="Isosceles Triangle 89">
              <a:extLst>
                <a:ext uri="{FF2B5EF4-FFF2-40B4-BE49-F238E27FC236}">
                  <a16:creationId xmlns:a16="http://schemas.microsoft.com/office/drawing/2014/main" id="{8894FB57-B3A6-4E56-57B9-D68D6352C59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" name="Isosceles Triangle 90">
              <a:extLst>
                <a:ext uri="{FF2B5EF4-FFF2-40B4-BE49-F238E27FC236}">
                  <a16:creationId xmlns:a16="http://schemas.microsoft.com/office/drawing/2014/main" id="{BD3C46F3-D6EB-9EF1-C11E-104539E5FF8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2" name="Isosceles Triangle 91">
              <a:extLst>
                <a:ext uri="{FF2B5EF4-FFF2-40B4-BE49-F238E27FC236}">
                  <a16:creationId xmlns:a16="http://schemas.microsoft.com/office/drawing/2014/main" id="{8B9833A5-D6B8-B8B5-29B7-5CE2937BCBD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86" name="Group 134">
            <a:extLst>
              <a:ext uri="{FF2B5EF4-FFF2-40B4-BE49-F238E27FC236}">
                <a16:creationId xmlns:a16="http://schemas.microsoft.com/office/drawing/2014/main" id="{F3C21006-F0F7-66F3-C1DF-3DDEA4BC5D9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87" name="Isosceles Triangle 86">
              <a:extLst>
                <a:ext uri="{FF2B5EF4-FFF2-40B4-BE49-F238E27FC236}">
                  <a16:creationId xmlns:a16="http://schemas.microsoft.com/office/drawing/2014/main" id="{F08439A2-DE86-7AF4-D5E6-062EA606E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8" name="Isosceles Triangle 87">
              <a:extLst>
                <a:ext uri="{FF2B5EF4-FFF2-40B4-BE49-F238E27FC236}">
                  <a16:creationId xmlns:a16="http://schemas.microsoft.com/office/drawing/2014/main" id="{F2F114B1-E608-5C5C-EC2E-0484B21C6124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9" name="Isosceles Triangle 88">
              <a:extLst>
                <a:ext uri="{FF2B5EF4-FFF2-40B4-BE49-F238E27FC236}">
                  <a16:creationId xmlns:a16="http://schemas.microsoft.com/office/drawing/2014/main" id="{9FFC30D8-B5BD-9160-BACB-5FF6FC6A13B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249115</xdr:colOff>
      <xdr:row>29</xdr:row>
      <xdr:rowOff>7327</xdr:rowOff>
    </xdr:from>
    <xdr:to>
      <xdr:col>11</xdr:col>
      <xdr:colOff>263769</xdr:colOff>
      <xdr:row>38</xdr:row>
      <xdr:rowOff>7327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18EAB6AB-3C4B-407E-9E68-D1A3D756D45A}"/>
            </a:ext>
          </a:extLst>
        </xdr:cNvPr>
        <xdr:cNvSpPr/>
      </xdr:nvSpPr>
      <xdr:spPr>
        <a:xfrm rot="5400000">
          <a:off x="3271471" y="5000625"/>
          <a:ext cx="1399442" cy="39565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JL.</a:t>
          </a:r>
          <a:r>
            <a:rPr lang="en-ID" sz="800" b="1" baseline="0">
              <a:solidFill>
                <a:schemeClr val="tx1"/>
              </a:solidFill>
            </a:rPr>
            <a:t> </a:t>
          </a:r>
          <a:r>
            <a:rPr lang="en-ID" sz="800" b="1">
              <a:solidFill>
                <a:schemeClr val="tx1"/>
              </a:solidFill>
            </a:rPr>
            <a:t>BUYARAN-GUNTUR</a:t>
          </a:r>
        </a:p>
      </xdr:txBody>
    </xdr:sp>
    <xdr:clientData/>
  </xdr:twoCellAnchor>
  <xdr:twoCellAnchor>
    <xdr:from>
      <xdr:col>11</xdr:col>
      <xdr:colOff>243948</xdr:colOff>
      <xdr:row>28</xdr:row>
      <xdr:rowOff>84597</xdr:rowOff>
    </xdr:from>
    <xdr:to>
      <xdr:col>12</xdr:col>
      <xdr:colOff>45828</xdr:colOff>
      <xdr:row>29</xdr:row>
      <xdr:rowOff>20324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DA6B696-B1DA-4016-94AA-7365814B823E}"/>
            </a:ext>
          </a:extLst>
        </xdr:cNvPr>
        <xdr:cNvGrpSpPr/>
      </xdr:nvGrpSpPr>
      <xdr:grpSpPr>
        <a:xfrm>
          <a:off x="4149198" y="4422135"/>
          <a:ext cx="182880" cy="89593"/>
          <a:chOff x="5810250" y="2026920"/>
          <a:chExt cx="182880" cy="91440"/>
        </a:xfrm>
        <a:solidFill>
          <a:srgbClr val="FF0000"/>
        </a:solidFill>
      </xdr:grpSpPr>
      <xdr:sp macro="" textlink="">
        <xdr:nvSpPr>
          <xdr:cNvPr id="12" name="Isosceles Triangle 11">
            <a:extLst>
              <a:ext uri="{FF2B5EF4-FFF2-40B4-BE49-F238E27FC236}">
                <a16:creationId xmlns:a16="http://schemas.microsoft.com/office/drawing/2014/main" id="{E95BF133-AE4B-937F-FD58-CDB1DD95B9E5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" name="Isosceles Triangle 12">
            <a:extLst>
              <a:ext uri="{FF2B5EF4-FFF2-40B4-BE49-F238E27FC236}">
                <a16:creationId xmlns:a16="http://schemas.microsoft.com/office/drawing/2014/main" id="{A158714A-9645-498C-A503-C5F59AC0F908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" name="Isosceles Triangle 17">
            <a:extLst>
              <a:ext uri="{FF2B5EF4-FFF2-40B4-BE49-F238E27FC236}">
                <a16:creationId xmlns:a16="http://schemas.microsoft.com/office/drawing/2014/main" id="{6BB8C57D-FA17-ACB5-9E05-96A8D1F0571D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270550</xdr:colOff>
      <xdr:row>29</xdr:row>
      <xdr:rowOff>80596</xdr:rowOff>
    </xdr:from>
    <xdr:to>
      <xdr:col>12</xdr:col>
      <xdr:colOff>73270</xdr:colOff>
      <xdr:row>30</xdr:row>
      <xdr:rowOff>87923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5C326A6A-6C40-9CD4-DB9A-562C6DA34BBD}"/>
            </a:ext>
          </a:extLst>
        </xdr:cNvPr>
        <xdr:cNvGrpSpPr/>
      </xdr:nvGrpSpPr>
      <xdr:grpSpPr>
        <a:xfrm>
          <a:off x="4175800" y="4572000"/>
          <a:ext cx="183720" cy="161192"/>
          <a:chOff x="2959530" y="4396154"/>
          <a:chExt cx="337585" cy="296904"/>
        </a:xfrm>
      </xdr:grpSpPr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45021E8D-B83D-49EA-8F60-E91191F2A5B0}"/>
              </a:ext>
            </a:extLst>
          </xdr:cNvPr>
          <xdr:cNvCxnSpPr/>
        </xdr:nvCxnSpPr>
        <xdr:spPr>
          <a:xfrm flipH="1" flipV="1">
            <a:off x="2975650" y="4401446"/>
            <a:ext cx="314138" cy="27313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18417068-F154-44D9-AA6E-DACB4F4962D8}"/>
              </a:ext>
            </a:extLst>
          </xdr:cNvPr>
          <xdr:cNvCxnSpPr/>
        </xdr:nvCxnSpPr>
        <xdr:spPr>
          <a:xfrm flipH="1">
            <a:off x="2959530" y="4396154"/>
            <a:ext cx="337585" cy="29690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37467</xdr:colOff>
      <xdr:row>31</xdr:row>
      <xdr:rowOff>93784</xdr:rowOff>
    </xdr:from>
    <xdr:to>
      <xdr:col>17</xdr:col>
      <xdr:colOff>7327</xdr:colOff>
      <xdr:row>36</xdr:row>
      <xdr:rowOff>139211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9126D77-280B-4FEB-AF84-43DEAB09D590}"/>
            </a:ext>
          </a:extLst>
        </xdr:cNvPr>
        <xdr:cNvSpPr/>
      </xdr:nvSpPr>
      <xdr:spPr>
        <a:xfrm>
          <a:off x="4323717" y="4892919"/>
          <a:ext cx="1874860" cy="814754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MTS N 3 DEMAK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108858</xdr:rowOff>
    </xdr:from>
    <xdr:to>
      <xdr:col>18</xdr:col>
      <xdr:colOff>13607</xdr:colOff>
      <xdr:row>50</xdr:row>
      <xdr:rowOff>148927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25F32D-0F19-4467-A3E5-286AEC34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1571" y="1728108"/>
          <a:ext cx="7973786" cy="6734783"/>
        </a:xfrm>
        <a:prstGeom prst="rect">
          <a:avLst/>
        </a:prstGeom>
      </xdr:spPr>
    </xdr:pic>
    <xdr:clientData/>
  </xdr:twoCellAnchor>
  <xdr:twoCellAnchor>
    <xdr:from>
      <xdr:col>8</xdr:col>
      <xdr:colOff>319004</xdr:colOff>
      <xdr:row>24</xdr:row>
      <xdr:rowOff>15571</xdr:rowOff>
    </xdr:from>
    <xdr:to>
      <xdr:col>10</xdr:col>
      <xdr:colOff>526823</xdr:colOff>
      <xdr:row>26</xdr:row>
      <xdr:rowOff>15570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4387540" y="4084107"/>
          <a:ext cx="1432462" cy="326570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99" t="s">
        <v>1133</v>
      </c>
      <c r="C4" s="499"/>
      <c r="D4" s="499"/>
      <c r="E4" s="499"/>
      <c r="F4" s="499"/>
      <c r="G4" s="499"/>
      <c r="H4" s="49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0" t="s">
        <v>0</v>
      </c>
      <c r="C7" s="500" t="s">
        <v>1</v>
      </c>
      <c r="D7" s="501" t="s">
        <v>42</v>
      </c>
      <c r="E7" s="501" t="s">
        <v>43</v>
      </c>
      <c r="F7" s="501" t="s">
        <v>1134</v>
      </c>
      <c r="G7" s="502" t="s">
        <v>41</v>
      </c>
      <c r="H7" s="498" t="s">
        <v>1041</v>
      </c>
      <c r="I7" s="498" t="s">
        <v>1136</v>
      </c>
      <c r="J7" s="498" t="s">
        <v>1025</v>
      </c>
      <c r="K7" s="492" t="s">
        <v>1023</v>
      </c>
      <c r="L7" s="493"/>
    </row>
    <row r="8" spans="1:12" ht="15" customHeight="1">
      <c r="B8" s="500"/>
      <c r="C8" s="500"/>
      <c r="D8" s="501"/>
      <c r="E8" s="501"/>
      <c r="F8" s="501"/>
      <c r="G8" s="502"/>
      <c r="H8" s="498"/>
      <c r="I8" s="498"/>
      <c r="J8" s="498"/>
      <c r="K8" s="494"/>
      <c r="L8" s="495"/>
    </row>
    <row r="9" spans="1:12" ht="15" customHeight="1">
      <c r="B9" s="500"/>
      <c r="C9" s="500"/>
      <c r="D9" s="501"/>
      <c r="E9" s="501"/>
      <c r="F9" s="501"/>
      <c r="G9" s="502"/>
      <c r="H9" s="498"/>
      <c r="I9" s="498"/>
      <c r="J9" s="498"/>
      <c r="K9" s="496"/>
      <c r="L9" s="49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147 kVA MCCB 225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Kabel NYY 1 x 95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44</v>
      </c>
      <c r="G19" s="41">
        <f ca="1">IF(ISERROR(OFFSET('HARGA SATUAN'!$I$6,MATCH(C19,'HARGA SATUAN'!$C$7:$C$1492,0),0)),"",OFFSET('HARGA SATUAN'!$I$6,MATCH(C19,'HARGA SATUAN'!$C$7:$C$1492,0),0))</f>
        <v>140200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SUMIFS(RAB!$F$15:$F$81,RAB!$C$15:$C$81,C714)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SUMIFS(RAB!$F$15:$F$81,RAB!$C$15:$C$81,C715)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SUMIFS(RAB!$F$15:$F$81,RAB!$C$15:$C$81,C716)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SUMIFS(RAB!$F$15:$F$81,RAB!$C$15:$C$81,C717)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SUMIFS(RAB!$F$15:$F$81,RAB!$C$15:$C$81,C718)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SUMIFS(RAB!$F$15:$F$81,RAB!$C$15:$C$81,C719)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SUMIFS(RAB!$F$15:$F$81,RAB!$C$15:$C$81,C720)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SUMIFS(RAB!$F$15:$F$81,RAB!$C$15:$C$81,C721)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SUMIFS(RAB!$F$15:$F$81,RAB!$C$15:$C$81,C722)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SUMIFS(RAB!$F$15:$F$81,RAB!$C$15:$C$81,C723)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SUMIFS(RAB!$F$15:$F$81,RAB!$C$15:$C$81,C724)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SUMIFS(RAB!$F$15:$F$81,RAB!$C$15:$C$81,C725)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SUMIFS(RAB!$F$15:$F$81,RAB!$C$15:$C$81,C726)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SUMIFS(RAB!$F$15:$F$81,RAB!$C$15:$C$81,C727)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SUMIFS(RAB!$F$15:$F$81,RAB!$C$15:$C$81,C728)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SUMIFS(RAB!$F$15:$F$81,RAB!$C$15:$C$81,C729)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SUMIFS(RAB!$F$15:$F$81,RAB!$C$15:$C$81,C730)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SUMIFS(RAB!$F$15:$F$81,RAB!$C$15:$C$81,C731)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SUMIFS(RAB!$F$15:$F$81,RAB!$C$15:$C$81,C732)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SUMIFS(RAB!$F$15:$F$81,RAB!$C$15:$C$81,C733)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SUMIFS(RAB!$F$15:$F$81,RAB!$C$15:$C$81,C734)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SUMIFS(RAB!$F$15:$F$81,RAB!$C$15:$C$81,C735)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SUMIFS(RAB!$F$15:$F$81,RAB!$C$15:$C$81,C736)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SUMIFS(RAB!$F$15:$F$81,RAB!$C$15:$C$81,C737)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SUMIFS(RAB!$F$15:$F$81,RAB!$C$15:$C$81,C738)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SUMIFS(RAB!$F$15:$F$81,RAB!$C$15:$C$81,C739)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SUMIFS(RAB!$F$15:$F$81,RAB!$C$15:$C$81,C740)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SUMIFS(RAB!$F$15:$F$81,RAB!$C$15:$C$81,C741)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SUMIFS(RAB!$F$15:$F$81,RAB!$C$15:$C$81,C742)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SUMIFS(RAB!$F$15:$F$81,RAB!$C$15:$C$81,C743)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SUMIFS(RAB!$F$15:$F$81,RAB!$C$15:$C$81,C744)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SUMIFS(RAB!$F$15:$F$81,RAB!$C$15:$C$81,C745)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SUMIFS(RAB!$F$15:$F$81,RAB!$C$15:$C$81,C746)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SUMIFS(RAB!$F$15:$F$81,RAB!$C$15:$C$81,C747)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SUMIFS(RAB!$F$15:$F$81,RAB!$C$15:$C$81,C748)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SUMIFS(RAB!$F$15:$F$81,RAB!$C$15:$C$81,C749)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SUMIFS(RAB!$F$15:$F$81,RAB!$C$15:$C$81,C750)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SUMIFS(RAB!$F$15:$F$81,RAB!$C$15:$C$81,C751)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SUMIFS(RAB!$F$15:$F$81,RAB!$C$15:$C$81,C752)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SUMIFS(RAB!$F$15:$F$81,RAB!$C$15:$C$81,C753)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SUMIFS(RAB!$F$15:$F$81,RAB!$C$15:$C$81,C754)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SUMIFS(RAB!$F$15:$F$81,RAB!$C$15:$C$81,C755)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SUMIFS(RAB!$F$15:$F$81,RAB!$C$15:$C$81,C756)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SUMIFS(RAB!$F$15:$F$81,RAB!$C$15:$C$81,C757)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SUMIFS(RAB!$F$15:$F$81,RAB!$C$15:$C$81,C758)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SUMIFS(RAB!$F$15:$F$81,RAB!$C$15:$C$81,C759)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SUMIFS(RAB!$F$15:$F$81,RAB!$C$15:$C$81,C760)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SUMIFS(RAB!$F$15:$F$81,RAB!$C$15:$C$81,C761)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SUMIFS(RAB!$F$15:$F$81,RAB!$C$15:$C$81,C762)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SUMIFS(RAB!$F$15:$F$81,RAB!$C$15:$C$81,C763)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SUMIFS(RAB!$F$15:$F$81,RAB!$C$15:$C$81,C764)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SUMIFS(RAB!$F$15:$F$81,RAB!$C$15:$C$81,C765)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SUMIFS(RAB!$F$15:$F$81,RAB!$C$15:$C$81,C766)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SUMIFS(RAB!$F$15:$F$81,RAB!$C$15:$C$81,C767)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SUMIFS(RAB!$F$15:$F$81,RAB!$C$15:$C$81,C768)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SUMIFS(RAB!$F$15:$F$81,RAB!$C$15:$C$81,C769)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SUMIFS(RAB!$F$15:$F$81,RAB!$C$15:$C$81,C770)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SUMIFS(RAB!$F$15:$F$81,RAB!$C$15:$C$81,C771)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SUMIFS(RAB!$F$15:$F$81,RAB!$C$15:$C$81,C772)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SUMIFS(RAB!$F$15:$F$81,RAB!$C$15:$C$81,C773)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SUMIFS(RAB!$F$15:$F$81,RAB!$C$15:$C$81,C774)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SUMIFS(RAB!$F$15:$F$81,RAB!$C$15:$C$81,C775)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SUMIFS(RAB!$F$15:$F$81,RAB!$C$15:$C$81,C776)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SUMIFS(RAB!$F$15:$F$81,RAB!$C$15:$C$81,C777)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SUMIFS(RAB!$F$15:$F$81,RAB!$C$15:$C$81,C778)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SUMIFS(RAB!$F$15:$F$81,RAB!$C$15:$C$81,C779)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SUMIFS(RAB!$F$15:$F$81,RAB!$C$15:$C$81,C780)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SUMIFS(RAB!$F$15:$F$81,RAB!$C$15:$C$81,C781)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SUMIFS(RAB!$F$15:$F$81,RAB!$C$15:$C$81,C782)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SUMIFS(RAB!$F$15:$F$81,RAB!$C$15:$C$81,C783)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SUMIFS(RAB!$F$15:$F$81,RAB!$C$15:$C$81,C784)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SUMIFS(RAB!$F$15:$F$81,RAB!$C$15:$C$81,C785)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SUMIFS(RAB!$F$15:$F$81,RAB!$C$15:$C$81,C786)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SUMIFS(RAB!$F$15:$F$81,RAB!$C$15:$C$81,C787)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SUMIFS(RAB!$F$15:$F$81,RAB!$C$15:$C$81,C788)</f>
        <v>1</v>
      </c>
      <c r="E788" s="26">
        <f t="shared" ca="1" si="34"/>
        <v>1</v>
      </c>
      <c r="F788" s="26">
        <f ca="1">IF(D788=0,0,SUM($E$713:E788))</f>
        <v>2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SUMIFS(RAB!$F$15:$F$81,RAB!$C$15:$C$81,C789)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SUMIFS(RAB!$F$15:$F$81,RAB!$C$15:$C$81,C790)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SUMIFS(RAB!$F$15:$F$81,RAB!$C$15:$C$81,C791)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SUMIFS(RAB!$F$15:$F$81,RAB!$C$15:$C$81,C792)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SUMIFS(RAB!$F$15:$F$81,RAB!$C$15:$C$81,C793)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SUMIFS(RAB!$F$15:$F$81,RAB!$C$15:$C$81,C794)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SUMIFS(RAB!$F$15:$F$81,RAB!$C$15:$C$81,C795)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SUMIFS(RAB!$F$15:$F$81,RAB!$C$15:$C$81,C796)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SUMIFS(RAB!$F$15:$F$81,RAB!$C$15:$C$81,C797)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SUMIFS(RAB!$F$15:$F$81,RAB!$C$15:$C$81,C798)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SUMIFS(RAB!$F$15:$F$81,RAB!$C$15:$C$81,C799)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SUMIFS(RAB!$F$15:$F$81,RAB!$C$15:$C$81,C800)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SUMIFS(RAB!$F$15:$F$81,RAB!$C$15:$C$81,C801)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SUMIFS(RAB!$F$15:$F$81,RAB!$C$15:$C$81,C802)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SUMIFS(RAB!$F$15:$F$81,RAB!$C$15:$C$81,C803)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SUMIFS(RAB!$F$15:$F$81,RAB!$C$15:$C$81,C804)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SUMIFS(RAB!$F$15:$F$81,RAB!$C$15:$C$81,C805)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SUMIFS(RAB!$F$15:$F$81,RAB!$C$15:$C$81,C806)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SUMIFS(RAB!$F$15:$F$81,RAB!$C$15:$C$81,C807)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SUMIFS(RAB!$F$15:$F$81,RAB!$C$15:$C$81,C808)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SUMIFS(RAB!$F$15:$F$81,RAB!$C$15:$C$81,C809)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SUMIFS(RAB!$F$15:$F$81,RAB!$C$15:$C$81,C810)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SUMIFS(RAB!$F$15:$F$81,RAB!$C$15:$C$81,C811)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SUMIFS(RAB!$F$15:$F$81,RAB!$C$15:$C$81,C812)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SUMIFS(RAB!$F$15:$F$81,RAB!$C$15:$C$81,C813)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SUMIFS(RAB!$F$15:$F$81,RAB!$C$15:$C$81,C814)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SUMIFS(RAB!$F$15:$F$81,RAB!$C$15:$C$81,C815)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SUMIFS(RAB!$F$15:$F$81,RAB!$C$15:$C$81,C816)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SUMIFS(RAB!$F$15:$F$81,RAB!$C$15:$C$81,C817)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SUMIFS(RAB!$F$15:$F$81,RAB!$C$15:$C$81,C818)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SUMIFS(RAB!$F$15:$F$81,RAB!$C$15:$C$81,C819)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SUMIFS(RAB!$F$15:$F$81,RAB!$C$15:$C$81,C820)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SUMIFS(RAB!$F$15:$F$81,RAB!$C$15:$C$81,C821)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SUMIFS(RAB!$F$15:$F$81,RAB!$C$15:$C$81,C822)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SUMIFS(RAB!$F$15:$F$81,RAB!$C$15:$C$81,C823)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SUMIFS(RAB!$F$15:$F$81,RAB!$C$15:$C$81,C824)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SUMIFS(RAB!$F$15:$F$81,RAB!$C$15:$C$81,C825)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SUMIFS(RAB!$F$15:$F$81,RAB!$C$15:$C$81,C826)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SUMIFS(RAB!$F$15:$F$81,RAB!$C$15:$C$81,C827)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SUMIFS(RAB!$F$15:$F$81,RAB!$C$15:$C$81,C828)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SUMIFS(RAB!$F$15:$F$81,RAB!$C$15:$C$81,C829)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SUMIFS(RAB!$F$15:$F$81,RAB!$C$15:$C$81,C830)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SUMIFS(RAB!$F$15:$F$81,RAB!$C$15:$C$81,C831)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SUMIFS(RAB!$F$15:$F$81,RAB!$C$15:$C$81,C832)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SUMIFS(RAB!$F$15:$F$81,RAB!$C$15:$C$81,C833)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SUMIFS(RAB!$F$15:$F$81,RAB!$C$15:$C$81,C834)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SUMIFS(RAB!$F$15:$F$81,RAB!$C$15:$C$81,C835)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SUMIFS(RAB!$F$15:$F$81,RAB!$C$15:$C$81,C836)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SUMIFS(RAB!$F$15:$F$81,RAB!$C$15:$C$81,C837)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SUMIFS(RAB!$F$15:$F$81,RAB!$C$15:$C$81,C838)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SUMIFS(RAB!$F$15:$F$81,RAB!$C$15:$C$81,C839)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SUMIFS(RAB!$F$15:$F$81,RAB!$C$15:$C$81,C840)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SUMIFS(RAB!$F$15:$F$81,RAB!$C$15:$C$81,C841)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SUMIFS(RAB!$F$15:$F$81,RAB!$C$15:$C$81,C842)</f>
        <v>44</v>
      </c>
      <c r="E842" s="26">
        <f t="shared" ca="1" si="34"/>
        <v>1</v>
      </c>
      <c r="F842" s="26">
        <f ca="1">IF(D842=0,0,SUM($E$713:E842))</f>
        <v>8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SUMIFS(RAB!$F$15:$F$81,RAB!$C$15:$C$81,C843)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SUMIFS(RAB!$F$15:$F$81,RAB!$C$15:$C$81,C844)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SUMIFS(RAB!$F$15:$F$81,RAB!$C$15:$C$81,C845)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SUMIFS(RAB!$F$15:$F$81,RAB!$C$15:$C$81,C846)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SUMIFS(RAB!$F$15:$F$81,RAB!$C$15:$C$81,C847)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SUMIFS(RAB!$F$15:$F$81,RAB!$C$15:$C$81,C848)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SUMIFS(RAB!$F$15:$F$81,RAB!$C$15:$C$81,C849)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SUMIFS(RAB!$F$15:$F$81,RAB!$C$15:$C$81,C850)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SUMIFS(RAB!$F$15:$F$81,RAB!$C$15:$C$81,C851)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SUMIFS(RAB!$F$15:$F$81,RAB!$C$15:$C$81,C852)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SUMIFS(RAB!$F$15:$F$81,RAB!$C$15:$C$81,C853)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SUMIFS(RAB!$F$15:$F$81,RAB!$C$15:$C$81,C854)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SUMIFS(RAB!$F$15:$F$81,RAB!$C$15:$C$81,C855)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SUMIFS(RAB!$F$15:$F$81,RAB!$C$15:$C$81,C856)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SUMIFS(RAB!$F$15:$F$81,RAB!$C$15:$C$81,C857)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SUMIFS(RAB!$F$15:$F$81,RAB!$C$15:$C$81,C858)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SUMIFS(RAB!$F$15:$F$81,RAB!$C$15:$C$81,C859)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SUMIFS(RAB!$F$15:$F$81,RAB!$C$15:$C$81,C860)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SUMIFS(RAB!$F$15:$F$81,RAB!$C$15:$C$81,C861)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SUMIFS(RAB!$F$15:$F$81,RAB!$C$15:$C$81,C862)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SUMIFS(RAB!$F$15:$F$81,RAB!$C$15:$C$81,C863)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SUMIFS(RAB!$F$15:$F$81,RAB!$C$15:$C$81,C864)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SUMIFS(RAB!$F$15:$F$81,RAB!$C$15:$C$81,C865)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SUMIFS(RAB!$F$15:$F$81,RAB!$C$15:$C$81,C866)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SUMIFS(RAB!$F$15:$F$81,RAB!$C$15:$C$81,C867)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SUMIFS(RAB!$F$15:$F$81,RAB!$C$15:$C$81,C868)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SUMIFS(RAB!$F$15:$F$81,RAB!$C$15:$C$81,C869)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SUMIFS(RAB!$F$15:$F$81,RAB!$C$15:$C$81,C870)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SUMIFS(RAB!$F$15:$F$81,RAB!$C$15:$C$81,C871)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SUMIFS(RAB!$F$15:$F$81,RAB!$C$15:$C$81,C872)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SUMIFS(RAB!$F$15:$F$81,RAB!$C$15:$C$81,C873)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SUMIFS(RAB!$F$15:$F$81,RAB!$C$15:$C$81,C874)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SUMIFS(RAB!$F$15:$F$81,RAB!$C$15:$C$81,C875)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SUMIFS(RAB!$F$15:$F$81,RAB!$C$15:$C$81,C876)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SUMIFS(RAB!$F$15:$F$81,RAB!$C$15:$C$81,C877)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SUMIFS(RAB!$F$15:$F$81,RAB!$C$15:$C$81,C878)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SUMIFS(RAB!$F$15:$F$81,RAB!$C$15:$C$81,C879)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SUMIFS(RAB!$F$15:$F$81,RAB!$C$15:$C$81,C880)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SUMIFS(RAB!$F$15:$F$81,RAB!$C$15:$C$81,C881)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SUMIFS(RAB!$F$15:$F$81,RAB!$C$15:$C$81,C882)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SUMIFS(RAB!$F$15:$F$81,RAB!$C$15:$C$81,C883)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SUMIFS(RAB!$F$15:$F$81,RAB!$C$15:$C$81,C884)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SUMIFS(RAB!$F$15:$F$81,RAB!$C$15:$C$81,C885)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SUMIFS(RAB!$F$15:$F$81,RAB!$C$15:$C$81,C886)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SUMIFS(RAB!$F$15:$F$81,RAB!$C$15:$C$81,C887)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SUMIFS(RAB!$F$15:$F$81,RAB!$C$15:$C$81,C888)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SUMIFS(RAB!$F$15:$F$81,RAB!$C$15:$C$81,C889)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SUMIFS(RAB!$F$15:$F$81,RAB!$C$15:$C$81,C890)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SUMIFS(RAB!$F$15:$F$81,RAB!$C$15:$C$81,C891)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SUMIFS(RAB!$F$15:$F$81,RAB!$C$15:$C$81,C892)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SUMIFS(RAB!$F$15:$F$81,RAB!$C$15:$C$81,C893)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SUMIFS(RAB!$F$15:$F$81,RAB!$C$15:$C$81,C894)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SUMIFS(RAB!$F$15:$F$81,RAB!$C$15:$C$81,C895)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SUMIFS(RAB!$F$15:$F$81,RAB!$C$15:$C$81,C896)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SUMIFS(RAB!$F$15:$F$81,RAB!$C$15:$C$81,C897)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SUMIFS(RAB!$F$15:$F$81,RAB!$C$15:$C$81,C898)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SUMIFS(RAB!$F$15:$F$81,RAB!$C$15:$C$81,C899)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SUMIFS(RAB!$F$15:$F$81,RAB!$C$15:$C$81,C900)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SUMIFS(RAB!$F$15:$F$81,RAB!$C$15:$C$81,C901)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SUMIFS(RAB!$F$15:$F$81,RAB!$C$15:$C$81,C902)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SUMIFS(RAB!$F$15:$F$81,RAB!$C$15:$C$81,C903)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SUMIFS(RAB!$F$15:$F$81,RAB!$C$15:$C$81,C904)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SUMIFS(RAB!$F$15:$F$81,RAB!$C$15:$C$81,C905)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SUMIFS(RAB!$F$15:$F$81,RAB!$C$15:$C$81,C906)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SUMIFS(RAB!$F$15:$F$81,RAB!$C$15:$C$81,C907)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SUMIFS(RAB!$F$15:$F$81,RAB!$C$15:$C$81,C908)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SUMIFS(RAB!$F$15:$F$81,RAB!$C$15:$C$81,C909)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SUMIFS(RAB!$F$15:$F$81,RAB!$C$15:$C$81,C910)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SUMIFS(RAB!$F$15:$F$81,RAB!$C$15:$C$81,C911)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SUMIFS(RAB!$F$15:$F$81,RAB!$C$15:$C$81,C912)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SUMIFS(RAB!$F$15:$F$81,RAB!$C$15:$C$81,C913)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SUMIFS(RAB!$F$15:$F$81,RAB!$C$15:$C$81,C914)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SUMIFS(RAB!$F$15:$F$81,RAB!$C$15:$C$81,C915)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SUMIFS(RAB!$F$15:$F$81,RAB!$C$15:$C$81,C916)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SUMIFS(RAB!$F$15:$F$81,RAB!$C$15:$C$81,C917)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SUMIFS(RAB!$F$15:$F$81,RAB!$C$15:$C$81,C918)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SUMIFS(RAB!$F$15:$F$81,RAB!$C$15:$C$81,C919)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SUMIFS(RAB!$F$15:$F$81,RAB!$C$15:$C$81,C920)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SUMIFS(RAB!$F$15:$F$81,RAB!$C$15:$C$81,C921)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SUMIFS(RAB!$F$15:$F$81,RAB!$C$15:$C$81,C922)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SUMIFS(RAB!$F$15:$F$81,RAB!$C$15:$C$81,C923)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SUMIFS(RAB!$F$15:$F$81,RAB!$C$15:$C$81,C924)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SUMIFS(RAB!$F$15:$F$81,RAB!$C$15:$C$81,C925)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SUMIFS(RAB!$F$15:$F$81,RAB!$C$15:$C$81,C926)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SUMIFS(RAB!$F$15:$F$81,RAB!$C$15:$C$81,C927)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SUMIFS(RAB!$F$15:$F$81,RAB!$C$15:$C$81,C928)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SUMIFS(RAB!$F$15:$F$81,RAB!$C$15:$C$81,C929)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SUMIFS(RAB!$F$15:$F$81,RAB!$C$15:$C$81,C930)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SUMIFS(RAB!$F$15:$F$81,RAB!$C$15:$C$81,C931)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SUMIFS(RAB!$F$15:$F$81,RAB!$C$15:$C$81,C932)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SUMIFS(RAB!$F$15:$F$81,RAB!$C$15:$C$81,C933)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SUMIFS(RAB!$F$15:$F$81,RAB!$C$15:$C$81,C934)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SUMIFS(RAB!$F$15:$F$81,RAB!$C$15:$C$81,C935)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SUMIFS(RAB!$F$15:$F$81,RAB!$C$15:$C$81,C936)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SUMIFS(RAB!$F$15:$F$81,RAB!$C$15:$C$81,C937)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SUMIFS(RAB!$F$15:$F$81,RAB!$C$15:$C$81,C938)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SUMIFS(RAB!$F$15:$F$81,RAB!$C$15:$C$81,C939)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SUMIFS(RAB!$F$15:$F$81,RAB!$C$15:$C$81,C940)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SUMIFS(RAB!$F$15:$F$81,RAB!$C$15:$C$81,C941)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SUMIFS(RAB!$F$15:$F$81,RAB!$C$15:$C$81,C942)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SUMIFS(RAB!$F$15:$F$81,RAB!$C$15:$C$81,C943)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SUMIFS(RAB!$F$15:$F$81,RAB!$C$15:$C$81,C944)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SUMIFS(RAB!$F$15:$F$81,RAB!$C$15:$C$81,C945)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SUMIFS(RAB!$F$15:$F$81,RAB!$C$15:$C$81,C946)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SUMIFS(RAB!$F$15:$F$81,RAB!$C$15:$C$81,C947)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SUMIFS(RAB!$F$15:$F$81,RAB!$C$15:$C$81,C948)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SUMIFS(RAB!$F$15:$F$81,RAB!$C$15:$C$81,C949)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SUMIFS(RAB!$F$15:$F$81,RAB!$C$15:$C$81,C950)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SUMIFS(RAB!$F$15:$F$81,RAB!$C$15:$C$81,C951)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SUMIFS(RAB!$F$15:$F$81,RAB!$C$15:$C$81,C952)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SUMIFS(RAB!$F$15:$F$81,RAB!$C$15:$C$81,C953)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SUMIFS(RAB!$F$15:$F$81,RAB!$C$15:$C$81,C954)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SUMIFS(RAB!$F$15:$F$81,RAB!$C$15:$C$81,C955)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SUMIFS(RAB!$F$15:$F$81,RAB!$C$15:$C$81,C956)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SUMIFS(RAB!$F$15:$F$81,RAB!$C$15:$C$81,C957)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SUMIFS(RAB!$F$15:$F$81,RAB!$C$15:$C$81,C958)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SUMIFS(RAB!$F$15:$F$81,RAB!$C$15:$C$81,C959)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SUMIFS(RAB!$F$15:$F$81,RAB!$C$15:$C$81,C960)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SUMIFS(RAB!$F$15:$F$81,RAB!$C$15:$C$81,C961)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SUMIFS(RAB!$F$15:$F$81,RAB!$C$15:$C$81,C962)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SUMIFS(RAB!$F$15:$F$81,RAB!$C$15:$C$81,C963)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SUMIFS(RAB!$F$15:$F$81,RAB!$C$15:$C$81,C964)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SUMIFS(RAB!$F$15:$F$81,RAB!$C$15:$C$81,C965)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SUMIFS(RAB!$F$15:$F$81,RAB!$C$15:$C$81,C966)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SUMIFS(RAB!$F$15:$F$81,RAB!$C$15:$C$81,C967)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SUMIFS(RAB!$F$15:$F$81,RAB!$C$15:$C$81,C968)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SUMIFS(RAB!$F$15:$F$81,RAB!$C$15:$C$81,C969)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SUMIFS(RAB!$F$15:$F$81,RAB!$C$15:$C$81,C970)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SUMIFS(RAB!$F$15:$F$81,RAB!$C$15:$C$81,C971)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SUMIFS(RAB!$F$15:$F$81,RAB!$C$15:$C$81,C972)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SUMIFS(RAB!$F$15:$F$81,RAB!$C$15:$C$81,C973)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SUMIFS(RAB!$F$15:$F$81,RAB!$C$15:$C$81,C974)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SUMIFS(RAB!$F$15:$F$81,RAB!$C$15:$C$81,C975)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SUMIFS(RAB!$F$15:$F$81,RAB!$C$15:$C$81,C976)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SUMIFS(RAB!$F$15:$F$81,RAB!$C$15:$C$81,C977)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SUMIFS(RAB!$F$15:$F$81,RAB!$C$15:$C$81,C978)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SUMIFS(RAB!$F$15:$F$81,RAB!$C$15:$C$81,C979)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SUMIFS(RAB!$F$15:$F$81,RAB!$C$15:$C$81,C980)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SUMIFS(RAB!$F$15:$F$81,RAB!$C$15:$C$81,C981)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SUMIFS(RAB!$F$15:$F$81,RAB!$C$15:$C$81,C982)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SUMIFS(RAB!$F$15:$F$81,RAB!$C$15:$C$81,C983)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SUMIFS(RAB!$F$15:$F$81,RAB!$C$15:$C$81,C984)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SUMIFS(RAB!$F$15:$F$81,RAB!$C$15:$C$81,C985)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SUMIFS(RAB!$F$15:$F$81,RAB!$C$15:$C$81,C986)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SUMIFS(RAB!$F$15:$F$81,RAB!$C$15:$C$81,C987)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SUMIFS(RAB!$F$15:$F$81,RAB!$C$15:$C$81,C988)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SUMIFS(RAB!$F$15:$F$81,RAB!$C$15:$C$81,C989)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SUMIFS(RAB!$F$15:$F$81,RAB!$C$15:$C$81,C990)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SUMIFS(RAB!$F$15:$F$81,RAB!$C$15:$C$81,C991)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SUMIFS(RAB!$F$15:$F$81,RAB!$C$15:$C$81,C992)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SUMIFS(RAB!$F$15:$F$81,RAB!$C$15:$C$81,C993)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SUMIFS(RAB!$F$15:$F$81,RAB!$C$15:$C$81,C994)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SUMIFS(RAB!$F$15:$F$81,RAB!$C$15:$C$81,C995)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SUMIFS(RAB!$F$15:$F$81,RAB!$C$15:$C$81,C996)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SUMIFS(RAB!$F$15:$F$81,RAB!$C$15:$C$81,C997)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SUMIFS(RAB!$F$15:$F$81,RAB!$C$15:$C$81,C998)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SUMIFS(RAB!$F$15:$F$81,RAB!$C$15:$C$81,C999)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SUMIFS(RAB!$F$15:$F$81,RAB!$C$15:$C$81,C1000)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SUMIFS(RAB!$F$15:$F$81,RAB!$C$15:$C$81,C1001)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SUMIFS(RAB!$F$15:$F$81,RAB!$C$15:$C$81,C1002)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SUMIFS(RAB!$F$15:$F$81,RAB!$C$15:$C$81,C1003)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SUMIFS(RAB!$F$15:$F$81,RAB!$C$15:$C$81,C1004)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SUMIFS(RAB!$F$15:$F$81,RAB!$C$15:$C$81,C1005)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SUMIFS(RAB!$F$15:$F$81,RAB!$C$15:$C$81,C1006)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SUMIFS(RAB!$F$15:$F$81,RAB!$C$15:$C$81,C1007)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SUMIFS(RAB!$F$15:$F$81,RAB!$C$15:$C$81,C1008)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SUMIFS(RAB!$F$15:$F$81,RAB!$C$15:$C$81,C1009)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SUMIFS(RAB!$F$15:$F$81,RAB!$C$15:$C$81,C1010)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SUMIFS(RAB!$F$15:$F$81,RAB!$C$15:$C$81,C1011)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SUMIFS(RAB!$F$15:$F$81,RAB!$C$15:$C$81,C1012)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SUMIFS(RAB!$F$15:$F$81,RAB!$C$15:$C$81,C1013)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SUMIFS(RAB!$F$15:$F$81,RAB!$C$15:$C$81,C1014)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SUMIFS(RAB!$F$15:$F$81,RAB!$C$15:$C$81,C1015)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SUMIFS(RAB!$F$15:$F$81,RAB!$C$15:$C$81,C1016)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SUMIFS(RAB!$F$15:$F$81,RAB!$C$15:$C$81,C1017)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SUMIFS(RAB!$F$15:$F$81,RAB!$C$15:$C$81,C1018)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SUMIFS(RAB!$F$15:$F$81,RAB!$C$15:$C$81,C1019)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SUMIFS(RAB!$F$15:$F$81,RAB!$C$15:$C$81,C1020)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SUMIFS(RAB!$F$15:$F$81,RAB!$C$15:$C$81,C1021)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SUMIFS(RAB!$F$15:$F$81,RAB!$C$15:$C$81,C1022)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SUMIFS(RAB!$F$15:$F$81,RAB!$C$15:$C$81,C1023)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SUMIFS(RAB!$F$15:$F$81,RAB!$C$15:$C$81,C1024)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SUMIFS(RAB!$F$15:$F$81,RAB!$C$15:$C$81,C1025)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SUMIFS(RAB!$F$15:$F$81,RAB!$C$15:$C$81,C1026)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SUMIFS(RAB!$F$15:$F$81,RAB!$C$15:$C$81,C1027)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SUMIFS(RAB!$F$15:$F$81,RAB!$C$15:$C$81,C1028)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SUMIFS(RAB!$F$15:$F$81,RAB!$C$15:$C$81,C1029)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SUMIFS(RAB!$F$15:$F$81,RAB!$C$15:$C$81,C1030)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SUMIFS(RAB!$F$15:$F$81,RAB!$C$15:$C$81,C1031)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SUMIFS(RAB!$F$15:$F$81,RAB!$C$15:$C$81,C1032)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SUMIFS(RAB!$F$15:$F$81,RAB!$C$15:$C$81,C1033)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SUMIFS(RAB!$F$15:$F$81,RAB!$C$15:$C$81,C1034)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SUMIFS(RAB!$F$15:$F$81,RAB!$C$15:$C$81,C1035)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SUMIFS(RAB!$F$15:$F$81,RAB!$C$15:$C$81,C1036)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SUMIFS(RAB!$F$15:$F$81,RAB!$C$15:$C$81,C1037)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SUMIFS(RAB!$F$15:$F$81,RAB!$C$15:$C$81,C1038)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SUMIFS(RAB!$F$15:$F$81,RAB!$C$15:$C$81,C1039)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SUMIFS(RAB!$F$15:$F$81,RAB!$C$15:$C$81,C1040)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SUMIFS(RAB!$F$15:$F$81,RAB!$C$15:$C$81,C1041)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SUMIFS(RAB!$F$15:$F$81,RAB!$C$15:$C$81,C1042)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SUMIFS(RAB!$F$15:$F$81,RAB!$C$15:$C$81,C1043)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SUMIFS(RAB!$F$15:$F$81,RAB!$C$15:$C$81,C1044)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SUMIFS(RAB!$F$15:$F$81,RAB!$C$15:$C$81,C1045)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SUMIFS(RAB!$F$15:$F$81,RAB!$C$15:$C$81,C1046)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SUMIFS(RAB!$F$15:$F$81,RAB!$C$15:$C$81,C1047)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SUMIFS(RAB!$F$15:$F$81,RAB!$C$15:$C$81,C1048)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SUMIFS(RAB!$F$15:$F$81,RAB!$C$15:$C$81,C1049)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SUMIFS(RAB!$F$15:$F$81,RAB!$C$15:$C$81,C1050)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SUMIFS(RAB!$F$15:$F$81,RAB!$C$15:$C$81,C1051)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SUMIFS(RAB!$F$15:$F$81,RAB!$C$15:$C$81,C1052)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SUMIFS(RAB!$F$15:$F$81,RAB!$C$15:$C$81,C1053)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SUMIFS(RAB!$F$15:$F$81,RAB!$C$15:$C$81,C1054)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SUMIFS(RAB!$F$15:$F$81,RAB!$C$15:$C$81,C1055)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SUMIFS(RAB!$F$15:$F$81,RAB!$C$15:$C$81,C1056)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SUMIFS(RAB!$F$15:$F$81,RAB!$C$15:$C$81,C1057)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SUMIFS(RAB!$F$15:$F$81,RAB!$C$15:$C$81,C1058)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SUMIFS(RAB!$F$15:$F$81,RAB!$C$15:$C$81,C1059)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SUMIFS(RAB!$F$15:$F$81,RAB!$C$15:$C$81,C1060)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SUMIFS(RAB!$F$15:$F$81,RAB!$C$15:$C$81,C1061)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SUMIFS(RAB!$F$15:$F$81,RAB!$C$15:$C$81,C1062)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SUMIFS(RAB!$F$15:$F$81,RAB!$C$15:$C$81,C1063)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SUMIFS(RAB!$F$15:$F$81,RAB!$C$15:$C$81,C1064)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SUMIFS(RAB!$F$15:$F$81,RAB!$C$15:$C$81,C1065)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SUMIFS(RAB!$F$15:$F$81,RAB!$C$15:$C$81,C1066)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SUMIFS(RAB!$F$15:$F$81,RAB!$C$15:$C$81,C1067)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SUMIFS(RAB!$F$15:$F$81,RAB!$C$15:$C$81,C1068)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SUMIFS(RAB!$F$15:$F$81,RAB!$C$15:$C$81,C1069)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SUMIFS(RAB!$F$15:$F$81,RAB!$C$15:$C$81,C1070)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SUMIFS(RAB!$F$15:$F$81,RAB!$C$15:$C$81,C1071)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SUMIFS(RAB!$F$15:$F$81,RAB!$C$15:$C$81,C1072)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SUMIFS(RAB!$F$15:$F$81,RAB!$C$15:$C$81,C1073)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SUMIFS(RAB!$F$15:$F$81,RAB!$C$15:$C$81,C1074)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SUMIFS(RAB!$F$15:$F$81,RAB!$C$15:$C$81,C1075)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SUMIFS(RAB!$F$15:$F$81,RAB!$C$15:$C$81,C1076)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SUMIFS(RAB!$F$15:$F$81,RAB!$C$15:$C$81,C1077)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SUMIFS(RAB!$F$15:$F$81,RAB!$C$15:$C$81,C1078)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SUMIFS(RAB!$F$15:$F$81,RAB!$C$15:$C$81,C1079)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SUMIFS(RAB!$F$15:$F$81,RAB!$C$15:$C$81,C1080)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SUMIFS(RAB!$F$15:$F$81,RAB!$C$15:$C$81,C1081)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SUMIFS(RAB!$F$15:$F$81,RAB!$C$15:$C$81,C1082)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SUMIFS(RAB!$F$15:$F$81,RAB!$C$15:$C$81,C1083)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SUMIFS(RAB!$F$15:$F$81,RAB!$C$15:$C$81,C1084)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SUMIFS(RAB!$F$15:$F$81,RAB!$C$15:$C$81,C1085)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SUMIFS(RAB!$F$15:$F$81,RAB!$C$15:$C$81,C1086)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SUMIFS(RAB!$F$15:$F$81,RAB!$C$15:$C$81,C1087)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SUMIFS(RAB!$F$15:$F$81,RAB!$C$15:$C$81,C1088)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SUMIFS(RAB!$F$15:$F$81,RAB!$C$15:$C$81,C1089)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SUMIFS(RAB!$F$15:$F$81,RAB!$C$15:$C$81,C1090)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SUMIFS(RAB!$F$15:$F$81,RAB!$C$15:$C$81,C1091)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SUMIFS(RAB!$F$15:$F$81,RAB!$C$15:$C$81,C1092)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SUMIFS(RAB!$F$15:$F$81,RAB!$C$15:$C$81,C1093)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SUMIFS(RAB!$F$15:$F$81,RAB!$C$15:$C$81,C1094)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SUMIFS(RAB!$F$15:$F$81,RAB!$C$15:$C$81,C1095)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SUMIFS(RAB!$F$15:$F$81,RAB!$C$15:$C$81,C1096)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SUMIFS(RAB!$F$15:$F$81,RAB!$C$15:$C$81,C1097)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SUMIFS(RAB!$F$15:$F$81,RAB!$C$15:$C$81,C1098)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SUMIFS(RAB!$F$15:$F$81,RAB!$C$15:$C$81,C1099)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SUMIFS(RAB!$F$15:$F$81,RAB!$C$15:$C$81,C1100)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SUMIFS(RAB!$F$15:$F$81,RAB!$C$15:$C$81,C1101)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SUMIFS(RAB!$F$15:$F$81,RAB!$C$15:$C$81,C1102)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SUMIFS(RAB!$F$15:$F$81,RAB!$C$15:$C$81,C1103)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SUMIFS(RAB!$F$15:$F$81,RAB!$C$15:$C$81,C1104)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SUMIFS(RAB!$F$15:$F$81,RAB!$C$15:$C$81,C1105)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SUMIFS(RAB!$F$15:$F$81,RAB!$C$15:$C$81,C1106)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SUMIFS(RAB!$F$15:$F$81,RAB!$C$15:$C$81,C1107)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SUMIFS(RAB!$F$15:$F$81,RAB!$C$15:$C$81,C1108)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SUMIFS(RAB!$F$15:$F$81,RAB!$C$15:$C$81,C1109)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SUMIFS(RAB!$F$15:$F$81,RAB!$C$15:$C$81,C1110)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SUMIFS(RAB!$F$15:$F$81,RAB!$C$15:$C$81,C1111)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SUMIFS(RAB!$F$15:$F$81,RAB!$C$15:$C$81,C1112)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SUMIFS(RAB!$F$15:$F$81,RAB!$C$15:$C$81,C1113)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SUMIFS(RAB!$F$15:$F$81,RAB!$C$15:$C$81,C1114)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SUMIFS(RAB!$F$15:$F$81,RAB!$C$15:$C$81,C1115)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SUMIFS(RAB!$F$15:$F$81,RAB!$C$15:$C$81,C1116)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SUMIFS(RAB!$F$15:$F$81,RAB!$C$15:$C$81,C1117)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SUMIFS(RAB!$F$15:$F$81,RAB!$C$15:$C$81,C1118)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SUMIFS(RAB!$F$15:$F$81,RAB!$C$15:$C$81,C1119)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SUMIFS(RAB!$F$15:$F$81,RAB!$C$15:$C$81,C1120)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SUMIFS(RAB!$F$15:$F$81,RAB!$C$15:$C$81,C1121)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SUMIFS(RAB!$F$15:$F$81,RAB!$C$15:$C$81,C1122)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SUMIFS(RAB!$F$15:$F$81,RAB!$C$15:$C$81,C1123)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SUMIFS(RAB!$F$15:$F$81,RAB!$C$15:$C$81,C1124)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SUMIFS(RAB!$F$15:$F$81,RAB!$C$15:$C$81,C1125)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SUMIFS(RAB!$F$15:$F$81,RAB!$C$15:$C$81,C1126)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SUMIFS(RAB!$F$15:$F$81,RAB!$C$15:$C$81,C1127)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SUMIFS(RAB!$F$15:$F$81,RAB!$C$15:$C$81,C1128)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SUMIFS(RAB!$F$15:$F$81,RAB!$C$15:$C$81,C1129)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SUMIFS(RAB!$F$15:$F$81,RAB!$C$15:$C$81,C1130)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SUMIFS(RAB!$F$15:$F$81,RAB!$C$15:$C$81,C1131)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SUMIFS(RAB!$F$15:$F$81,RAB!$C$15:$C$81,C1132)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SUMIFS(RAB!$F$15:$F$81,RAB!$C$15:$C$81,C1133)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SUMIFS(RAB!$F$15:$F$81,RAB!$C$15:$C$81,C1134)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SUMIFS(RAB!$F$15:$F$81,RAB!$C$15:$C$81,C1135)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SUMIFS(RAB!$F$15:$F$81,RAB!$C$15:$C$81,C1136)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SUMIFS(RAB!$F$15:$F$81,RAB!$C$15:$C$81,C1137)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SUMIFS(RAB!$F$15:$F$81,RAB!$C$15:$C$81,C1138)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SUMIFS(RAB!$F$15:$F$81,RAB!$C$15:$C$81,C1139)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SUMIFS(RAB!$F$15:$F$81,RAB!$C$15:$C$81,C1140)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SUMIFS(RAB!$F$15:$F$81,RAB!$C$15:$C$81,C1141)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SUMIFS(RAB!$F$15:$F$81,RAB!$C$15:$C$81,C1142)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SUMIFS(RAB!$F$15:$F$81,RAB!$C$15:$C$81,C1143)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SUMIFS(RAB!$F$15:$F$81,RAB!$C$15:$C$81,C1144)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SUMIFS(RAB!$F$15:$F$81,RAB!$C$15:$C$81,C1145)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SUMIFS(RAB!$F$15:$F$81,RAB!$C$15:$C$81,C1146)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SUMIFS(RAB!$F$15:$F$81,RAB!$C$15:$C$81,C1147)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SUMIFS(RAB!$F$15:$F$81,RAB!$C$15:$C$81,C1148)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SUMIFS(RAB!$F$15:$F$81,RAB!$C$15:$C$81,C1149)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SUMIFS(RAB!$F$15:$F$81,RAB!$C$15:$C$81,C1150)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SUMIFS(RAB!$F$15:$F$81,RAB!$C$15:$C$81,C1151)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SUMIFS(RAB!$F$15:$F$81,RAB!$C$15:$C$81,C1152)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SUMIFS(RAB!$F$15:$F$81,RAB!$C$15:$C$81,C1153)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SUMIFS(RAB!$F$15:$F$81,RAB!$C$15:$C$81,C1154)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SUMIFS(RAB!$F$15:$F$81,RAB!$C$15:$C$81,C1155)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SUMIFS(RAB!$F$15:$F$81,RAB!$C$15:$C$81,C1156)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SUMIFS(RAB!$F$15:$F$81,RAB!$C$15:$C$81,C1157)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SUMIFS(RAB!$F$15:$F$81,RAB!$C$15:$C$81,C1158)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SUMIFS(RAB!$F$15:$F$81,RAB!$C$15:$C$81,C1159)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SUMIFS(RAB!$F$15:$F$81,RAB!$C$15:$C$81,C1160)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SUMIFS(RAB!$F$15:$F$81,RAB!$C$15:$C$81,C1161)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SUMIFS(RAB!$F$15:$F$81,RAB!$C$15:$C$81,C1162)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SUMIFS(RAB!$F$15:$F$81,RAB!$C$15:$C$81,C1163)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SUMIFS(RAB!$F$15:$F$81,RAB!$C$15:$C$81,C1164)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SUMIFS(RAB!$F$15:$F$81,RAB!$C$15:$C$81,C1165)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SUMIFS(RAB!$F$15:$F$81,RAB!$C$15:$C$81,C1166)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SUMIFS(RAB!$F$15:$F$81,RAB!$C$15:$C$81,C1167)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SUMIFS(RAB!$F$15:$F$81,RAB!$C$15:$C$81,C1168)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SUMIFS(RAB!$F$15:$F$81,RAB!$C$15:$C$81,C1169)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SUMIFS(RAB!$F$15:$F$81,RAB!$C$15:$C$81,C1170)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SUMIFS(RAB!$F$15:$F$81,RAB!$C$15:$C$81,C1171)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SUMIFS(RAB!$F$15:$F$81,RAB!$C$15:$C$81,C1172)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SUMIFS(RAB!$F$15:$F$81,RAB!$C$15:$C$81,C1173)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SUMIFS(RAB!$F$15:$F$81,RAB!$C$15:$C$81,C1174)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SUMIFS(RAB!$F$15:$F$81,RAB!$C$15:$C$81,C1175)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SUMIFS(RAB!$F$15:$F$81,RAB!$C$15:$C$81,C1176)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SUMIFS(RAB!$F$15:$F$81,RAB!$C$15:$C$81,C1177)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SUMIFS(RAB!$F$15:$F$81,RAB!$C$15:$C$81,C1178)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SUMIFS(RAB!$F$15:$F$81,RAB!$C$15:$C$81,C1179)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SUMIFS(RAB!$F$15:$F$81,RAB!$C$15:$C$81,C1180)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SUMIFS(RAB!$F$15:$F$81,RAB!$C$15:$C$81,C1181)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SUMIFS(RAB!$F$15:$F$81,RAB!$C$15:$C$81,C1182)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SUMIFS(RAB!$F$15:$F$81,RAB!$C$15:$C$81,C1183)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SUMIFS(RAB!$F$15:$F$81,RAB!$C$15:$C$81,C1184)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SUMIFS(RAB!$F$15:$F$81,RAB!$C$15:$C$81,C1185)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SUMIFS(RAB!$F$15:$F$81,RAB!$C$15:$C$81,C1186)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SUMIFS(RAB!$F$15:$F$81,RAB!$C$15:$C$81,C1187)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SUMIFS(RAB!$F$15:$F$81,RAB!$C$15:$C$81,C1188)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SUMIFS(RAB!$F$15:$F$81,RAB!$C$15:$C$81,C1189)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SUMIFS(RAB!$F$15:$F$81,RAB!$C$15:$C$81,C1190)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SUMIFS(RAB!$F$15:$F$81,RAB!$C$15:$C$81,C1191)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SUMIFS(RAB!$F$15:$F$81,RAB!$C$15:$C$81,C1192)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SUMIFS(RAB!$F$15:$F$81,RAB!$C$15:$C$81,C1193)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SUMIFS(RAB!$F$15:$F$81,RAB!$C$15:$C$81,C1194)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SUMIFS(RAB!$F$15:$F$81,RAB!$C$15:$C$81,C1195)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SUMIFS(RAB!$F$15:$F$81,RAB!$C$15:$C$81,C1196)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SUMIFS(RAB!$F$15:$F$81,RAB!$C$15:$C$81,C1197)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SUMIFS(RAB!$F$15:$F$81,RAB!$C$15:$C$81,C1198)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SUMIFS(RAB!$F$15:$F$81,RAB!$C$15:$C$81,C1199)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SUMIFS(RAB!$F$15:$F$81,RAB!$C$15:$C$81,C1200)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SUMIFS(RAB!$F$15:$F$81,RAB!$C$15:$C$81,C1201)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SUMIFS(RAB!$F$15:$F$81,RAB!$C$15:$C$81,C1202)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SUMIFS(RAB!$F$15:$F$81,RAB!$C$15:$C$81,C1203)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SUMIFS(RAB!$F$15:$F$81,RAB!$C$15:$C$81,C1204)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SUMIFS(RAB!$F$15:$F$81,RAB!$C$15:$C$81,C1205)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SUMIFS(RAB!$F$15:$F$81,RAB!$C$15:$C$81,C1206)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SUMIFS(RAB!$F$15:$F$81,RAB!$C$15:$C$81,C1207)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SUMIFS(RAB!$F$15:$F$81,RAB!$C$15:$C$81,C1208)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SUMIFS(RAB!$F$15:$F$81,RAB!$C$15:$C$81,C1209)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SUMIFS(RAB!$F$15:$F$81,RAB!$C$15:$C$81,C1210)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SUMIFS(RAB!$F$15:$F$81,RAB!$C$15:$C$81,C1211)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SUMIFS(RAB!$F$15:$F$81,RAB!$C$15:$C$81,C1212)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SUMIFS(RAB!$F$15:$F$81,RAB!$C$15:$C$81,C1213)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SUMIFS(RAB!$F$15:$F$81,RAB!$C$15:$C$81,C1214)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SUMIFS(RAB!$F$15:$F$81,RAB!$C$15:$C$81,C1215)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SUMIFS(RAB!$F$15:$F$81,RAB!$C$15:$C$81,C1216)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SUMIFS(RAB!$F$15:$F$81,RAB!$C$15:$C$81,C1217)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SUMIFS(RAB!$F$15:$F$81,RAB!$C$15:$C$81,C1218)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SUMIFS(RAB!$F$15:$F$81,RAB!$C$15:$C$81,C1219)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SUMIFS(RAB!$F$15:$F$81,RAB!$C$15:$C$81,C1220)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SUMIFS(RAB!$F$15:$F$81,RAB!$C$15:$C$81,C1221)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SUMIFS(RAB!$F$15:$F$81,RAB!$C$15:$C$81,C1222)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SUMIFS(RAB!$F$15:$F$81,RAB!$C$15:$C$81,C1223)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SUMIFS(RAB!$F$15:$F$81,RAB!$C$15:$C$81,C1224)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SUMIFS(RAB!$F$15:$F$81,RAB!$C$15:$C$81,C1225)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SUMIFS(RAB!$F$15:$F$81,RAB!$C$15:$C$81,C1226)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SUMIFS(RAB!$F$15:$F$81,RAB!$C$15:$C$81,C1227)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SUMIFS(RAB!$F$15:$F$81,RAB!$C$15:$C$81,C1228)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SUMIFS(RAB!$F$15:$F$81,RAB!$C$15:$C$81,C1229)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SUMIFS(RAB!$F$15:$F$81,RAB!$C$15:$C$81,C1230)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SUMIFS(RAB!$F$15:$F$81,RAB!$C$15:$C$81,C1231)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SUMIFS(RAB!$F$15:$F$81,RAB!$C$15:$C$81,C1232)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SUMIFS(RAB!$F$15:$F$81,RAB!$C$15:$C$81,C1233)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SUMIFS(RAB!$F$15:$F$81,RAB!$C$15:$C$81,C1234)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SUMIFS(RAB!$F$15:$F$81,RAB!$C$15:$C$81,C1235)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SUMIFS(RAB!$F$15:$F$81,RAB!$C$15:$C$81,C1236)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SUMIFS(RAB!$F$15:$F$81,RAB!$C$15:$C$81,C1237)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SUMIFS(RAB!$F$15:$F$81,RAB!$C$15:$C$81,C1238)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SUMIFS(RAB!$F$15:$F$81,RAB!$C$15:$C$81,C1239)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SUMIFS(RAB!$F$15:$F$81,RAB!$C$15:$C$81,C1240)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SUMIFS(RAB!$F$15:$F$81,RAB!$C$15:$C$81,C1241)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SUMIFS(RAB!$F$15:$F$81,RAB!$C$15:$C$81,C1242)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SUMIFS(RAB!$F$15:$F$81,RAB!$C$15:$C$81,C1243)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SUMIFS(RAB!$F$15:$F$81,RAB!$C$15:$C$81,C1244)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SUMIFS(RAB!$F$15:$F$81,RAB!$C$15:$C$81,C1245)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SUMIFS(RAB!$F$15:$F$81,RAB!$C$15:$C$81,C1246)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SUMIFS(RAB!$F$15:$F$81,RAB!$C$15:$C$81,C1247)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SUMIFS(RAB!$F$15:$F$81,RAB!$C$15:$C$81,C1248)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SUMIFS(RAB!$F$15:$F$81,RAB!$C$15:$C$81,C1249)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SUMIFS(RAB!$F$15:$F$81,RAB!$C$15:$C$81,C1250)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SUMIFS(RAB!$F$15:$F$81,RAB!$C$15:$C$81,C1251)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SUMIFS(RAB!$F$15:$F$81,RAB!$C$15:$C$81,C1252)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SUMIFS(RAB!$F$15:$F$81,RAB!$C$15:$C$81,C1253)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SUMIFS(RAB!$F$15:$F$81,RAB!$C$15:$C$81,C1254)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SUMIFS(RAB!$F$15:$F$81,RAB!$C$15:$C$81,C1255)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SUMIFS(RAB!$F$15:$F$81,RAB!$C$15:$C$81,C1256)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SUMIFS(RAB!$F$15:$F$81,RAB!$C$15:$C$81,C1257)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SUMIFS(RAB!$F$15:$F$81,RAB!$C$15:$C$81,C1258)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SUMIFS(RAB!$F$15:$F$81,RAB!$C$15:$C$81,C1259)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SUMIFS(RAB!$F$15:$F$81,RAB!$C$15:$C$81,C1260)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SUMIFS(RAB!$F$15:$F$81,RAB!$C$15:$C$81,C1261)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SUMIFS(RAB!$F$15:$F$81,RAB!$C$15:$C$81,C1262)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SUMIFS(RAB!$F$15:$F$81,RAB!$C$15:$C$81,C1263)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SUMIFS(RAB!$F$15:$F$81,RAB!$C$15:$C$81,C1264)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SUMIFS(RAB!$F$15:$F$81,RAB!$C$15:$C$81,C1265)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SUMIFS(RAB!$F$15:$F$81,RAB!$C$15:$C$81,C1266)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SUMIFS(RAB!$F$15:$F$81,RAB!$C$15:$C$81,C1267)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SUMIFS(RAB!$F$15:$F$81,RAB!$C$15:$C$81,C1268)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SUMIFS(RAB!$F$15:$F$81,RAB!$C$15:$C$81,C1269)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SUMIFS(RAB!$F$15:$F$81,RAB!$C$15:$C$81,C1270)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SUMIFS(RAB!$F$15:$F$81,RAB!$C$15:$C$81,C1271)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SUMIFS(RAB!$F$15:$F$81,RAB!$C$15:$C$81,C1272)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SUMIFS(RAB!$F$15:$F$81,RAB!$C$15:$C$81,C1273)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SUMIFS(RAB!$F$15:$F$81,RAB!$C$15:$C$81,C1274)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SUMIFS(RAB!$F$15:$F$81,RAB!$C$15:$C$81,C1275)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SUMIFS(RAB!$F$15:$F$81,RAB!$C$15:$C$81,C1276)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SUMIFS(RAB!$F$15:$F$81,RAB!$C$15:$C$81,C1277)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SUMIFS(RAB!$F$15:$F$81,RAB!$C$15:$C$81,C1278)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SUMIFS(RAB!$F$15:$F$81,RAB!$C$15:$C$81,C1279)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SUMIFS(RAB!$F$15:$F$81,RAB!$C$15:$C$81,C1280)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SUMIFS(RAB!$F$15:$F$81,RAB!$C$15:$C$81,C1281)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SUMIFS(RAB!$F$15:$F$81,RAB!$C$15:$C$81,C1282)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SUMIFS(RAB!$F$15:$F$81,RAB!$C$15:$C$81,C1283)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SUMIFS(RAB!$F$15:$F$81,RAB!$C$15:$C$81,C1284)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SUMIFS(RAB!$F$15:$F$81,RAB!$C$15:$C$81,C1285)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SUMIFS(RAB!$F$15:$F$81,RAB!$C$15:$C$81,C1286)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SUMIFS(RAB!$F$15:$F$81,RAB!$C$15:$C$81,C1287)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SUMIFS(RAB!$F$15:$F$81,RAB!$C$15:$C$81,C1288)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SUMIFS(RAB!$F$15:$F$81,RAB!$C$15:$C$81,C1289)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SUMIFS(RAB!$F$15:$F$81,RAB!$C$15:$C$81,C1290)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SUMIFS(RAB!$F$15:$F$81,RAB!$C$15:$C$81,C1291)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SUMIFS(RAB!$F$15:$F$81,RAB!$C$15:$C$81,C1292)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SUMIFS(RAB!$F$15:$F$81,RAB!$C$15:$C$81,C1293)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SUMIFS(RAB!$F$15:$F$81,RAB!$C$15:$C$81,C1294)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SUMIFS(RAB!$F$15:$F$81,RAB!$C$15:$C$81,C1295)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SUMIFS(RAB!$F$15:$F$81,RAB!$C$15:$C$81,C1296)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SUMIFS(RAB!$F$15:$F$81,RAB!$C$15:$C$81,C1297)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SUMIFS(RAB!$F$15:$F$81,RAB!$C$15:$C$81,C1298)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SUMIFS(RAB!$F$15:$F$81,RAB!$C$15:$C$81,C1299)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SUMIFS(RAB!$F$15:$F$81,RAB!$C$15:$C$81,C1300)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SUMIFS(RAB!$F$15:$F$81,RAB!$C$15:$C$81,C1301)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SUMIFS(RAB!$F$15:$F$81,RAB!$C$15:$C$81,C1302)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SUMIFS(RAB!$F$15:$F$81,RAB!$C$15:$C$81,C1303)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SUMIFS(RAB!$F$15:$F$81,RAB!$C$15:$C$81,C1304)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SUMIFS(RAB!$F$15:$F$81,RAB!$C$15:$C$81,C1305)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SUMIFS(RAB!$F$15:$F$81,RAB!$C$15:$C$81,C1306)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SUMIFS(RAB!$F$15:$F$81,RAB!$C$15:$C$81,C1307)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SUMIFS(RAB!$F$15:$F$81,RAB!$C$15:$C$81,C1308)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SUMIFS(RAB!$F$15:$F$81,RAB!$C$15:$C$81,C1309)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SUMIFS(RAB!$F$15:$F$81,RAB!$C$15:$C$81,C1310)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SUMIFS(RAB!$F$15:$F$81,RAB!$C$15:$C$81,C1311)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SUMIFS(RAB!$F$15:$F$81,RAB!$C$15:$C$81,C1312)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SUMIFS(RAB!$F$15:$F$81,RAB!$C$15:$C$81,C1313)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SUMIFS(RAB!$F$15:$F$81,RAB!$C$15:$C$81,C1314)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SUMIFS(RAB!$F$15:$F$81,RAB!$C$15:$C$81,C1315)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SUMIFS(RAB!$F$15:$F$81,RAB!$C$15:$C$81,C1316)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SUMIFS(RAB!$F$15:$F$81,RAB!$C$15:$C$81,C1317)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SUMIFS(RAB!$F$15:$F$81,RAB!$C$15:$C$81,C1318)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SUMIFS(RAB!$F$15:$F$81,RAB!$C$15:$C$81,C1319)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SUMIFS(RAB!$F$15:$F$81,RAB!$C$15:$C$81,C1320)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3" t="s">
        <v>1126</v>
      </c>
      <c r="C4" s="503"/>
      <c r="D4" s="503"/>
      <c r="E4" s="503"/>
      <c r="F4" s="503"/>
      <c r="G4" s="503"/>
      <c r="H4" s="503"/>
      <c r="I4" s="503"/>
      <c r="J4" s="503"/>
      <c r="K4" s="50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7" t="str">
        <f>RAB!G6</f>
        <v>CHARLIE HOSPITAL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BUYARAN-GUNTUR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4" t="s">
        <v>0</v>
      </c>
      <c r="C11" s="506" t="s">
        <v>1</v>
      </c>
      <c r="D11" s="509" t="s">
        <v>42</v>
      </c>
      <c r="E11" s="509" t="s">
        <v>43</v>
      </c>
      <c r="F11" s="509" t="s">
        <v>2</v>
      </c>
      <c r="G11" s="511" t="s">
        <v>41</v>
      </c>
      <c r="H11" s="509" t="s">
        <v>3</v>
      </c>
      <c r="I11" s="509"/>
      <c r="J11" s="509"/>
      <c r="K11" s="514"/>
      <c r="M11" s="33"/>
      <c r="N11" s="33"/>
      <c r="O11" s="33"/>
      <c r="P11" s="33"/>
      <c r="R11" s="34"/>
      <c r="S11" s="74"/>
      <c r="T11" s="74"/>
    </row>
    <row r="12" spans="1:21" ht="15" customHeight="1">
      <c r="B12" s="505"/>
      <c r="C12" s="507"/>
      <c r="D12" s="510"/>
      <c r="E12" s="510"/>
      <c r="F12" s="510"/>
      <c r="G12" s="512"/>
      <c r="H12" s="518" t="s">
        <v>46</v>
      </c>
      <c r="I12" s="518" t="s">
        <v>5</v>
      </c>
      <c r="J12" s="510" t="s">
        <v>47</v>
      </c>
      <c r="K12" s="51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5"/>
      <c r="C13" s="508"/>
      <c r="D13" s="510"/>
      <c r="E13" s="510"/>
      <c r="F13" s="510"/>
      <c r="G13" s="513"/>
      <c r="H13" s="519"/>
      <c r="I13" s="519"/>
      <c r="J13" s="510"/>
      <c r="K13" s="51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8" t="s">
        <v>1007</v>
      </c>
      <c r="D38" s="528"/>
      <c r="E38" s="528"/>
      <c r="F38" s="528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29" t="s">
        <v>462</v>
      </c>
      <c r="D39" s="529"/>
      <c r="E39" s="529"/>
      <c r="F39" s="529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0" t="s">
        <v>463</v>
      </c>
      <c r="D40" s="520"/>
      <c r="E40" s="520"/>
      <c r="F40" s="520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21" t="e">
        <f ca="1">"Terbilang : ( "&amp;L42&amp;" Rupiah )"</f>
        <v>#NAME?</v>
      </c>
      <c r="C41" s="522"/>
      <c r="D41" s="522"/>
      <c r="E41" s="522"/>
      <c r="F41" s="522"/>
      <c r="G41" s="522"/>
      <c r="H41" s="522"/>
      <c r="I41" s="522"/>
      <c r="J41" s="522"/>
      <c r="K41" s="523"/>
      <c r="L41" s="44"/>
      <c r="R41" s="58"/>
      <c r="S41" s="58"/>
      <c r="T41" s="58"/>
    </row>
    <row r="42" spans="1:20" s="36" customFormat="1">
      <c r="A42" s="30"/>
      <c r="B42" s="524"/>
      <c r="C42" s="525"/>
      <c r="D42" s="525"/>
      <c r="E42" s="525"/>
      <c r="F42" s="525"/>
      <c r="G42" s="525"/>
      <c r="H42" s="525"/>
      <c r="I42" s="525"/>
      <c r="J42" s="525"/>
      <c r="K42" s="526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5"/>
      <c r="I45" s="515"/>
      <c r="J45" s="516"/>
      <c r="K45" s="51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5"/>
      <c r="I46" s="515"/>
      <c r="J46" s="516"/>
      <c r="K46" s="51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5"/>
      <c r="I47" s="515"/>
      <c r="J47" s="516"/>
      <c r="K47" s="51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5"/>
      <c r="I52" s="515"/>
      <c r="J52" s="516"/>
      <c r="K52" s="51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SUMIFS(RAB!$F$15:$F$81,RAB!$C$15:$C$81,'REKAP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SUMIFS(RAB!$F$15:$F$81,RAB!$C$15:$C$81,'REKAP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SUMIFS(RAB!$F$15:$F$81,RAB!$C$15:$C$81,'REKAP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SUMIFS(RAB!$F$15:$F$81,RAB!$C$15:$C$81,'REKAP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SUMIFS(RAB!$F$15:$F$81,RAB!$C$15:$C$81,'REKAP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SUMIFS(RAB!$F$15:$F$81,RAB!$C$15:$C$81,'REKAP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SUMIFS(RAB!$F$15:$F$81,RAB!$C$15:$C$81,'REKAP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SUMIFS(RAB!$F$15:$F$81,RAB!$C$15:$C$81,'REKAP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SUMIFS(RAB!$F$15:$F$81,RAB!$C$15:$C$81,'REKAP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SUMIFS(RAB!$F$15:$F$81,RAB!$C$15:$C$81,'REKAP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SUMIFS(RAB!$F$15:$F$81,RAB!$C$15:$C$81,'REKAP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SUMIFS(RAB!$F$15:$F$81,RAB!$C$15:$C$81,'REKAP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SUMIFS(RAB!$F$15:$F$81,RAB!$C$15:$C$81,'REKAP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SUMIFS(RAB!$F$15:$F$81,RAB!$C$15:$C$81,'REKAP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SUMIFS(RAB!$F$15:$F$81,RAB!$C$15:$C$81,'REKAP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SUMIFS(RAB!$F$15:$F$81,RAB!$C$15:$C$81,'REKAP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SUMIFS(RAB!$F$15:$F$81,RAB!$C$15:$C$81,'REKAP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SUMIFS(RAB!$F$15:$F$81,RAB!$C$15:$C$81,'REKAP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SUMIFS(RAB!$F$15:$F$81,RAB!$C$15:$C$81,'REKAP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SUMIFS(RAB!$F$15:$F$81,RAB!$C$15:$C$81,'REKAP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3" t="s">
        <v>1033</v>
      </c>
      <c r="C4" s="503"/>
      <c r="D4" s="503"/>
      <c r="E4" s="503"/>
      <c r="F4" s="503"/>
      <c r="G4" s="503"/>
      <c r="H4" s="503"/>
      <c r="I4" s="503"/>
      <c r="J4" s="503"/>
      <c r="K4" s="50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7" t="str">
        <f>RAB!G6</f>
        <v>CHARLIE HOSPITAL</v>
      </c>
      <c r="H6" s="527"/>
      <c r="I6" s="527"/>
      <c r="J6" s="527"/>
      <c r="K6" s="527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BUYARAN-GUNTUR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4" t="s">
        <v>0</v>
      </c>
      <c r="C11" s="506" t="s">
        <v>1</v>
      </c>
      <c r="D11" s="509" t="s">
        <v>42</v>
      </c>
      <c r="E11" s="509" t="s">
        <v>43</v>
      </c>
      <c r="F11" s="509" t="s">
        <v>2</v>
      </c>
      <c r="G11" s="511" t="s">
        <v>41</v>
      </c>
      <c r="H11" s="509" t="s">
        <v>3</v>
      </c>
      <c r="I11" s="509"/>
      <c r="J11" s="509"/>
      <c r="K11" s="514"/>
      <c r="M11" s="33"/>
      <c r="N11" s="33"/>
      <c r="O11" s="33"/>
      <c r="P11" s="33"/>
      <c r="R11" s="34"/>
      <c r="S11" s="74"/>
      <c r="T11" s="74"/>
    </row>
    <row r="12" spans="1:21" ht="15" customHeight="1">
      <c r="B12" s="505"/>
      <c r="C12" s="507"/>
      <c r="D12" s="510"/>
      <c r="E12" s="510"/>
      <c r="F12" s="510"/>
      <c r="G12" s="512"/>
      <c r="H12" s="518" t="s">
        <v>46</v>
      </c>
      <c r="I12" s="518" t="s">
        <v>5</v>
      </c>
      <c r="J12" s="510" t="s">
        <v>47</v>
      </c>
      <c r="K12" s="51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5"/>
      <c r="C13" s="508"/>
      <c r="D13" s="510"/>
      <c r="E13" s="510"/>
      <c r="F13" s="510"/>
      <c r="G13" s="513"/>
      <c r="H13" s="519"/>
      <c r="I13" s="519"/>
      <c r="J13" s="510"/>
      <c r="K13" s="51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147 kVA MCCB 225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Kabel NYY 1 x 95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44</v>
      </c>
      <c r="G23" s="41">
        <f ca="1">IF(ISERROR(OFFSET('HARGA SATUAN'!$I$6,MATCH(C23,'HARGA SATUAN'!$C$7:$C$1492,0),0)),"",OFFSET('HARGA SATUAN'!$I$6,MATCH(C23,'HARGA SATUAN'!$C$7:$C$1492,0),0))</f>
        <v>140200</v>
      </c>
      <c r="H23" s="42">
        <f t="shared" ca="1" si="1"/>
        <v>6168800</v>
      </c>
      <c r="I23" s="42">
        <f t="shared" ca="1" si="2"/>
        <v>0</v>
      </c>
      <c r="J23" s="42">
        <f t="shared" ca="1" si="3"/>
        <v>0</v>
      </c>
      <c r="K23" s="43">
        <f t="shared" ca="1" si="0"/>
        <v>6168800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8" t="s">
        <v>1007</v>
      </c>
      <c r="D168" s="528"/>
      <c r="E168" s="528"/>
      <c r="F168" s="528"/>
      <c r="G168" s="77" t="s">
        <v>9</v>
      </c>
      <c r="H168" s="55">
        <f ca="1">SUM(H14:H167)</f>
        <v>105337050</v>
      </c>
      <c r="I168" s="55">
        <f ca="1">SUM(I14:I167)</f>
        <v>0</v>
      </c>
      <c r="J168" s="55">
        <f ca="1">SUM(J14:J167)</f>
        <v>0</v>
      </c>
      <c r="K168" s="55">
        <f ca="1">SUM(K14:K167)</f>
        <v>105337050</v>
      </c>
      <c r="L168" s="44"/>
      <c r="R168" s="99"/>
      <c r="S168" s="99"/>
      <c r="T168" s="99"/>
    </row>
    <row r="169" spans="1:20" s="36" customFormat="1">
      <c r="A169" s="30"/>
      <c r="B169" s="56"/>
      <c r="C169" s="529" t="s">
        <v>462</v>
      </c>
      <c r="D169" s="529"/>
      <c r="E169" s="529"/>
      <c r="F169" s="529"/>
      <c r="G169" s="59" t="s">
        <v>9</v>
      </c>
      <c r="H169" s="60">
        <f ca="1">H168*0.1</f>
        <v>10533705</v>
      </c>
      <c r="I169" s="60">
        <f ca="1">I168*0.1</f>
        <v>0</v>
      </c>
      <c r="J169" s="60">
        <f ca="1">J168*0.1</f>
        <v>0</v>
      </c>
      <c r="K169" s="60">
        <f ca="1">K168*0.1</f>
        <v>10533705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0" t="s">
        <v>463</v>
      </c>
      <c r="D170" s="520"/>
      <c r="E170" s="520"/>
      <c r="F170" s="520"/>
      <c r="G170" s="61" t="s">
        <v>9</v>
      </c>
      <c r="H170" s="78">
        <f ca="1">SUM(H168:H169)</f>
        <v>115870755</v>
      </c>
      <c r="I170" s="78">
        <f ca="1">SUM(I168:I169)</f>
        <v>0</v>
      </c>
      <c r="J170" s="61">
        <f ca="1">SUM(J168:J169)</f>
        <v>0</v>
      </c>
      <c r="K170" s="61">
        <f ca="1">SUM(K168:K169)</f>
        <v>115870755</v>
      </c>
      <c r="L170" s="44"/>
      <c r="R170" s="99"/>
      <c r="S170" s="99"/>
      <c r="T170" s="99"/>
    </row>
    <row r="171" spans="1:20" s="36" customFormat="1">
      <c r="A171" s="30"/>
      <c r="B171" s="521" t="e">
        <f ca="1">"Terbilang : ( "&amp;L172&amp;" Rupiah )"</f>
        <v>#NAME?</v>
      </c>
      <c r="C171" s="522"/>
      <c r="D171" s="522"/>
      <c r="E171" s="522"/>
      <c r="F171" s="522"/>
      <c r="G171" s="522"/>
      <c r="H171" s="522"/>
      <c r="I171" s="522"/>
      <c r="J171" s="522"/>
      <c r="K171" s="523"/>
      <c r="L171" s="44"/>
      <c r="R171" s="58"/>
      <c r="S171" s="58"/>
      <c r="T171" s="58"/>
    </row>
    <row r="172" spans="1:20" s="36" customFormat="1">
      <c r="A172" s="30"/>
      <c r="B172" s="524"/>
      <c r="C172" s="525"/>
      <c r="D172" s="525"/>
      <c r="E172" s="525"/>
      <c r="F172" s="525"/>
      <c r="G172" s="525"/>
      <c r="H172" s="525"/>
      <c r="I172" s="525"/>
      <c r="J172" s="525"/>
      <c r="K172" s="526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5"/>
      <c r="I175" s="515"/>
      <c r="J175" s="516"/>
      <c r="K175" s="51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5"/>
      <c r="I176" s="515"/>
      <c r="J176" s="516"/>
      <c r="K176" s="51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5"/>
      <c r="I177" s="515"/>
      <c r="J177" s="516"/>
      <c r="K177" s="51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5"/>
      <c r="I182" s="515"/>
      <c r="J182" s="516"/>
      <c r="K182" s="51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SUMIFS(RAB!$F$15:$F$81,RAB!$C$15:$C$81,C224)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SUMIFS(RAB!$F$15:$F$81,RAB!$C$15:$C$81,C225)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SUMIFS(RAB!$F$15:$F$81,RAB!$C$15:$C$81,C226)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SUMIFS(RAB!$F$15:$F$81,RAB!$C$15:$C$81,C227)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SUMIFS(RAB!$F$15:$F$81,RAB!$C$15:$C$81,C228)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SUMIFS(RAB!$F$15:$F$81,RAB!$C$15:$C$81,C229)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SUMIFS(RAB!$F$15:$F$81,RAB!$C$15:$C$81,C230)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SUMIFS(RAB!$F$15:$F$81,RAB!$C$15:$C$81,C231)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SUMIFS(RAB!$F$15:$F$81,RAB!$C$15:$C$81,C232)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SUMIFS(RAB!$F$15:$F$81,RAB!$C$15:$C$81,C233)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SUMIFS(RAB!$F$15:$F$81,RAB!$C$15:$C$81,C234)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SUMIFS(RAB!$F$15:$F$81,RAB!$C$15:$C$81,C235)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SUMIFS(RAB!$F$15:$F$81,RAB!$C$15:$C$81,C236)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SUMIFS(RAB!$F$15:$F$81,RAB!$C$15:$C$81,C237)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SUMIFS(RAB!$F$15:$F$81,RAB!$C$15:$C$81,C238)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SUMIFS(RAB!$F$15:$F$81,RAB!$C$15:$C$81,C239)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SUMIFS(RAB!$F$15:$F$81,RAB!$C$15:$C$81,C240)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SUMIFS(RAB!$F$15:$F$81,RAB!$C$15:$C$81,C241)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SUMIFS(RAB!$F$15:$F$81,RAB!$C$15:$C$81,C242)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SUMIFS(RAB!$F$15:$F$81,RAB!$C$15:$C$81,C243)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SUMIFS(RAB!$F$15:$F$81,RAB!$C$15:$C$81,C244)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SUMIFS(RAB!$F$15:$F$81,RAB!$C$15:$C$81,C245)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SUMIFS(RAB!$F$15:$F$81,RAB!$C$15:$C$81,C246)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SUMIFS(RAB!$F$15:$F$81,RAB!$C$15:$C$81,C247)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SUMIFS(RAB!$F$15:$F$81,RAB!$C$15:$C$81,C248)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SUMIFS(RAB!$F$15:$F$81,RAB!$C$15:$C$81,C249)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SUMIFS(RAB!$F$15:$F$81,RAB!$C$15:$C$81,C250)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SUMIFS(RAB!$F$15:$F$81,RAB!$C$15:$C$81,C251)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SUMIFS(RAB!$F$15:$F$81,RAB!$C$15:$C$81,C252)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SUMIFS(RAB!$F$15:$F$81,RAB!$C$15:$C$81,C253)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SUMIFS(RAB!$F$15:$F$81,RAB!$C$15:$C$81,C254)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SUMIFS(RAB!$F$15:$F$81,RAB!$C$15:$C$81,C255)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SUMIFS(RAB!$F$15:$F$81,RAB!$C$15:$C$81,C256)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SUMIFS(RAB!$F$15:$F$81,RAB!$C$15:$C$81,C257)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SUMIFS(RAB!$F$15:$F$81,RAB!$C$15:$C$81,C258)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SUMIFS(RAB!$F$15:$F$81,RAB!$C$15:$C$81,C259)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SUMIFS(RAB!$F$15:$F$81,RAB!$C$15:$C$81,C260)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SUMIFS(RAB!$F$15:$F$81,RAB!$C$15:$C$81,C261)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SUMIFS(RAB!$F$15:$F$81,RAB!$C$15:$C$81,C262)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SUMIFS(RAB!$F$15:$F$81,RAB!$C$15:$C$81,C263)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SUMIFS(RAB!$F$15:$F$81,RAB!$C$15:$C$81,C264)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SUMIFS(RAB!$F$15:$F$81,RAB!$C$15:$C$81,C265)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SUMIFS(RAB!$F$15:$F$81,RAB!$C$15:$C$81,C266)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SUMIFS(RAB!$F$15:$F$81,RAB!$C$15:$C$81,C267)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SUMIFS(RAB!$F$15:$F$81,RAB!$C$15:$C$81,C268)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SUMIFS(RAB!$F$15:$F$81,RAB!$C$15:$C$81,C269)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SUMIFS(RAB!$F$15:$F$81,RAB!$C$15:$C$81,C270)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SUMIFS(RAB!$F$15:$F$81,RAB!$C$15:$C$81,C271)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SUMIFS(RAB!$F$15:$F$81,RAB!$C$15:$C$81,C272)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SUMIFS(RAB!$F$15:$F$81,RAB!$C$15:$C$81,C273)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SUMIFS(RAB!$F$15:$F$81,RAB!$C$15:$C$81,C274)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SUMIFS(RAB!$F$15:$F$81,RAB!$C$15:$C$81,C275)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SUMIFS(RAB!$F$15:$F$81,RAB!$C$15:$C$81,C276)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SUMIFS(RAB!$F$15:$F$81,RAB!$C$15:$C$81,C277)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SUMIFS(RAB!$F$15:$F$81,RAB!$C$15:$C$81,C278)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SUMIFS(RAB!$F$15:$F$81,RAB!$C$15:$C$81,C279)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SUMIFS(RAB!$F$15:$F$81,RAB!$C$15:$C$81,C280)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SUMIFS(RAB!$F$15:$F$81,RAB!$C$15:$C$81,C281)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SUMIFS(RAB!$F$15:$F$81,RAB!$C$15:$C$81,C282)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SUMIFS(RAB!$F$15:$F$81,RAB!$C$15:$C$81,C283)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SUMIFS(RAB!$F$15:$F$81,RAB!$C$15:$C$81,C284)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SUMIFS(RAB!$F$15:$F$81,RAB!$C$15:$C$81,C285)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SUMIFS(RAB!$F$15:$F$81,RAB!$C$15:$C$81,C286)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SUMIFS(RAB!$F$15:$F$81,RAB!$C$15:$C$81,C287)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SUMIFS(RAB!$F$15:$F$81,RAB!$C$15:$C$81,C288)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SUMIFS(RAB!$F$15:$F$81,RAB!$C$15:$C$81,C289)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SUMIFS(RAB!$F$15:$F$81,RAB!$C$15:$C$81,C290)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SUMIFS(RAB!$F$15:$F$81,RAB!$C$15:$C$81,C291)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SUMIFS(RAB!$F$15:$F$81,RAB!$C$15:$C$81,C292)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SUMIFS(RAB!$F$15:$F$81,RAB!$C$15:$C$81,C293)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SUMIFS(RAB!$F$15:$F$81,RAB!$C$15:$C$81,C294)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SUMIFS(RAB!$F$15:$F$81,RAB!$C$15:$C$81,C295)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SUMIFS(RAB!$F$15:$F$81,RAB!$C$15:$C$81,C296)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SUMIFS(RAB!$F$15:$F$81,RAB!$C$15:$C$81,C297)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SUMIFS(RAB!$F$15:$F$81,RAB!$C$15:$C$81,C298)</f>
        <v>1</v>
      </c>
      <c r="E298" s="24">
        <f t="shared" ca="1" si="22"/>
        <v>1</v>
      </c>
      <c r="F298" s="24">
        <f ca="1">IF(D298=0,0,SUM($E$223:E298))</f>
        <v>2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SUMIFS(RAB!$F$15:$F$81,RAB!$C$15:$C$81,C299)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SUMIFS(RAB!$F$15:$F$81,RAB!$C$15:$C$81,C300)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SUMIFS(RAB!$F$15:$F$81,RAB!$C$15:$C$81,C301)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SUMIFS(RAB!$F$15:$F$81,RAB!$C$15:$C$81,C302)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SUMIFS(RAB!$F$15:$F$81,RAB!$C$15:$C$81,C303)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SUMIFS(RAB!$F$15:$F$81,RAB!$C$15:$C$81,C304)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SUMIFS(RAB!$F$15:$F$81,RAB!$C$15:$C$81,C305)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SUMIFS(RAB!$F$15:$F$81,RAB!$C$15:$C$81,C306)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SUMIFS(RAB!$F$15:$F$81,RAB!$C$15:$C$81,C307)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SUMIFS(RAB!$F$15:$F$81,RAB!$C$15:$C$81,C308)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SUMIFS(RAB!$F$15:$F$81,RAB!$C$15:$C$81,C309)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SUMIFS(RAB!$F$15:$F$81,RAB!$C$15:$C$81,C310)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SUMIFS(RAB!$F$15:$F$81,RAB!$C$15:$C$81,C311)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SUMIFS(RAB!$F$15:$F$81,RAB!$C$15:$C$81,C312)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SUMIFS(RAB!$F$15:$F$81,RAB!$C$15:$C$81,C313)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SUMIFS(RAB!$F$15:$F$81,RAB!$C$15:$C$81,C314)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SUMIFS(RAB!$F$15:$F$81,RAB!$C$15:$C$81,C315)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SUMIFS(RAB!$F$15:$F$81,RAB!$C$15:$C$81,C316)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SUMIFS(RAB!$F$15:$F$81,RAB!$C$15:$C$81,C317)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SUMIFS(RAB!$F$15:$F$81,RAB!$C$15:$C$81,C318)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SUMIFS(RAB!$F$15:$F$81,RAB!$C$15:$C$81,C319)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SUMIFS(RAB!$F$15:$F$81,RAB!$C$15:$C$81,C320)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SUMIFS(RAB!$F$15:$F$81,RAB!$C$15:$C$81,C321)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SUMIFS(RAB!$F$15:$F$81,RAB!$C$15:$C$81,C322)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SUMIFS(RAB!$F$15:$F$81,RAB!$C$15:$C$81,C323)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SUMIFS(RAB!$F$15:$F$81,RAB!$C$15:$C$81,C324)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SUMIFS(RAB!$F$15:$F$81,RAB!$C$15:$C$81,C325)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SUMIFS(RAB!$F$15:$F$81,RAB!$C$15:$C$81,C326)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SUMIFS(RAB!$F$15:$F$81,RAB!$C$15:$C$81,C327)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SUMIFS(RAB!$F$15:$F$81,RAB!$C$15:$C$81,C328)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SUMIFS(RAB!$F$15:$F$81,RAB!$C$15:$C$81,C329)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SUMIFS(RAB!$F$15:$F$81,RAB!$C$15:$C$81,C330)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SUMIFS(RAB!$F$15:$F$81,RAB!$C$15:$C$81,C331)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SUMIFS(RAB!$F$15:$F$81,RAB!$C$15:$C$81,C332)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SUMIFS(RAB!$F$15:$F$81,RAB!$C$15:$C$81,C333)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SUMIFS(RAB!$F$15:$F$81,RAB!$C$15:$C$81,C334)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SUMIFS(RAB!$F$15:$F$81,RAB!$C$15:$C$81,C335)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SUMIFS(RAB!$F$15:$F$81,RAB!$C$15:$C$81,C336)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SUMIFS(RAB!$F$15:$F$81,RAB!$C$15:$C$81,C337)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SUMIFS(RAB!$F$15:$F$81,RAB!$C$15:$C$81,C338)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SUMIFS(RAB!$F$15:$F$81,RAB!$C$15:$C$81,C339)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SUMIFS(RAB!$F$15:$F$81,RAB!$C$15:$C$81,C340)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SUMIFS(RAB!$F$15:$F$81,RAB!$C$15:$C$81,C341)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SUMIFS(RAB!$F$15:$F$81,RAB!$C$15:$C$81,C342)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SUMIFS(RAB!$F$15:$F$81,RAB!$C$15:$C$81,C343)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SUMIFS(RAB!$F$15:$F$81,RAB!$C$15:$C$81,C344)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SUMIFS(RAB!$F$15:$F$81,RAB!$C$15:$C$81,C345)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SUMIFS(RAB!$F$15:$F$81,RAB!$C$15:$C$81,C346)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SUMIFS(RAB!$F$15:$F$81,RAB!$C$15:$C$81,C347)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SUMIFS(RAB!$F$15:$F$81,RAB!$C$15:$C$81,C348)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SUMIFS(RAB!$F$15:$F$81,RAB!$C$15:$C$81,C349)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SUMIFS(RAB!$F$15:$F$81,RAB!$C$15:$C$81,C350)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SUMIFS(RAB!$F$15:$F$81,RAB!$C$15:$C$81,C351)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SUMIFS(RAB!$F$15:$F$81,RAB!$C$15:$C$81,C352)</f>
        <v>44</v>
      </c>
      <c r="E352" s="24">
        <f t="shared" ca="1" si="22"/>
        <v>1</v>
      </c>
      <c r="F352" s="24">
        <f ca="1">IF(D352=0,0,SUM($E$223:E352))</f>
        <v>8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SUMIFS(RAB!$F$15:$F$81,RAB!$C$15:$C$81,C353)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SUMIFS(RAB!$F$15:$F$81,RAB!$C$15:$C$81,C354)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SUMIFS(RAB!$F$15:$F$81,RAB!$C$15:$C$81,C355)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SUMIFS(RAB!$F$15:$F$81,RAB!$C$15:$C$81,C356)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SUMIFS(RAB!$F$15:$F$81,RAB!$C$15:$C$81,C357)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SUMIFS(RAB!$F$15:$F$81,RAB!$C$15:$C$81,C358)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SUMIFS(RAB!$F$15:$F$81,RAB!$C$15:$C$81,C359)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SUMIFS(RAB!$F$15:$F$81,RAB!$C$15:$C$81,C360)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SUMIFS(RAB!$F$15:$F$81,RAB!$C$15:$C$81,C361)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SUMIFS(RAB!$F$15:$F$81,RAB!$C$15:$C$81,C362)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SUMIFS(RAB!$F$15:$F$81,RAB!$C$15:$C$81,C363)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SUMIFS(RAB!$F$15:$F$81,RAB!$C$15:$C$81,C364)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SUMIFS(RAB!$F$15:$F$81,RAB!$C$15:$C$81,C365)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SUMIFS(RAB!$F$15:$F$81,RAB!$C$15:$C$81,C366)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SUMIFS(RAB!$F$15:$F$81,RAB!$C$15:$C$81,C367)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SUMIFS(RAB!$F$15:$F$81,RAB!$C$15:$C$81,C368)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SUMIFS(RAB!$F$15:$F$81,RAB!$C$15:$C$81,C369)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SUMIFS(RAB!$F$15:$F$81,RAB!$C$15:$C$81,C370)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SUMIFS(RAB!$F$15:$F$81,RAB!$C$15:$C$81,C371)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SUMIFS(RAB!$F$15:$F$81,RAB!$C$15:$C$81,C372)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SUMIFS(RAB!$F$15:$F$81,RAB!$C$15:$C$81,C373)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43" activePane="bottomRight" state="frozen"/>
      <selection activeCell="C28" sqref="C28"/>
      <selection pane="topRight" activeCell="C28" sqref="C28"/>
      <selection pane="bottomLeft" activeCell="C28" sqref="C28"/>
      <selection pane="bottomRight" activeCell="C244" sqref="C2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1" t="s">
        <v>41</v>
      </c>
      <c r="C2" s="53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2" t="s">
        <v>23</v>
      </c>
      <c r="C4" s="533" t="s">
        <v>1011</v>
      </c>
      <c r="D4" s="533" t="s">
        <v>42</v>
      </c>
      <c r="E4" s="532" t="s">
        <v>43</v>
      </c>
      <c r="F4" s="108" t="s">
        <v>1604</v>
      </c>
      <c r="G4" s="108" t="s">
        <v>1603</v>
      </c>
      <c r="H4" s="530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2"/>
      <c r="C5" s="533"/>
      <c r="D5" s="533"/>
      <c r="E5" s="532"/>
      <c r="F5" s="93"/>
      <c r="G5" s="93"/>
      <c r="H5" s="530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5" t="s">
        <v>1452</v>
      </c>
      <c r="C2" s="565"/>
      <c r="D2" s="565"/>
      <c r="E2" s="565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70" t="s">
        <v>1530</v>
      </c>
      <c r="C4" s="571"/>
      <c r="D4" s="571"/>
      <c r="E4" s="572"/>
      <c r="F4" s="388"/>
      <c r="G4" s="388"/>
      <c r="H4" s="389"/>
      <c r="I4" s="534" t="s">
        <v>1531</v>
      </c>
      <c r="J4" s="535"/>
      <c r="K4" s="535"/>
      <c r="L4" s="536"/>
    </row>
    <row r="5" spans="1:12" ht="34.5" customHeight="1">
      <c r="A5" s="204"/>
      <c r="B5" s="391" t="s">
        <v>1378</v>
      </c>
      <c r="C5" s="235" t="s">
        <v>9</v>
      </c>
      <c r="D5" s="566" t="str">
        <f>DATA!D14</f>
        <v>CHARLIE HOSPITAL</v>
      </c>
      <c r="E5" s="567"/>
      <c r="F5" s="208"/>
      <c r="G5" s="208"/>
      <c r="I5" s="392" t="s">
        <v>1378</v>
      </c>
      <c r="J5" s="235" t="s">
        <v>9</v>
      </c>
      <c r="K5" s="537" t="str">
        <f>D5</f>
        <v>CHARLIE HOSPITAL</v>
      </c>
      <c r="L5" s="538"/>
    </row>
    <row r="6" spans="1:12" ht="31.5" customHeight="1">
      <c r="A6" s="204"/>
      <c r="B6" s="391" t="s">
        <v>1527</v>
      </c>
      <c r="C6" s="235" t="s">
        <v>9</v>
      </c>
      <c r="D6" s="575">
        <f>DATA!D17*1000</f>
        <v>53000</v>
      </c>
      <c r="E6" s="576"/>
      <c r="F6" s="208"/>
      <c r="G6" s="208"/>
      <c r="I6" s="392" t="s">
        <v>1528</v>
      </c>
      <c r="J6" s="235" t="s">
        <v>9</v>
      </c>
      <c r="K6" s="539">
        <f>DATA!D20*1000</f>
        <v>147000</v>
      </c>
      <c r="L6" s="540"/>
    </row>
    <row r="7" spans="1:12" ht="30.75" customHeight="1">
      <c r="A7" s="204"/>
      <c r="B7" s="391" t="s">
        <v>1439</v>
      </c>
      <c r="C7" s="235" t="s">
        <v>9</v>
      </c>
      <c r="D7" s="573">
        <f>DATA!D18</f>
        <v>3</v>
      </c>
      <c r="E7" s="574"/>
      <c r="F7" s="390" t="s">
        <v>1451</v>
      </c>
      <c r="I7" s="392" t="s">
        <v>1439</v>
      </c>
      <c r="J7" s="235" t="s">
        <v>9</v>
      </c>
      <c r="K7" s="541">
        <f>DATA!D21</f>
        <v>3</v>
      </c>
      <c r="L7" s="542"/>
    </row>
    <row r="8" spans="1:12" ht="51" customHeight="1">
      <c r="A8" s="204"/>
      <c r="B8" s="391" t="s">
        <v>1440</v>
      </c>
      <c r="C8" s="235" t="s">
        <v>9</v>
      </c>
      <c r="D8" s="573">
        <f>DATA!D19</f>
        <v>380</v>
      </c>
      <c r="E8" s="574"/>
      <c r="F8" s="390" t="s">
        <v>1451</v>
      </c>
      <c r="G8" s="385">
        <v>220</v>
      </c>
      <c r="I8" s="392" t="s">
        <v>1440</v>
      </c>
      <c r="J8" s="235" t="s">
        <v>9</v>
      </c>
      <c r="K8" s="541">
        <f>DATA!D22</f>
        <v>380</v>
      </c>
      <c r="L8" s="542"/>
    </row>
    <row r="9" spans="1:12" ht="30" customHeight="1" thickBot="1">
      <c r="A9" s="204"/>
      <c r="B9" s="397" t="s">
        <v>1539</v>
      </c>
      <c r="C9" s="387" t="s">
        <v>9</v>
      </c>
      <c r="D9" s="568">
        <f>IF(D7=1,D6/(380/3^0.5),(D6/(380*3^0.5)))</f>
        <v>80.525169123816227</v>
      </c>
      <c r="E9" s="569"/>
      <c r="F9" s="207"/>
      <c r="G9" s="386">
        <v>380</v>
      </c>
      <c r="I9" s="398" t="s">
        <v>1539</v>
      </c>
      <c r="J9" s="387" t="s">
        <v>9</v>
      </c>
      <c r="K9" s="545">
        <f>IF(K7=1,K6/(380/3^0.5),(K6/(380*3^0.5)))</f>
        <v>223.34339360756579</v>
      </c>
      <c r="L9" s="546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77"/>
      <c r="E12" s="578"/>
      <c r="F12" s="208"/>
      <c r="G12" s="208"/>
      <c r="I12" s="414" t="s">
        <v>1532</v>
      </c>
      <c r="J12" s="415" t="s">
        <v>9</v>
      </c>
      <c r="K12" s="577"/>
      <c r="L12" s="578"/>
    </row>
    <row r="13" spans="1:12" ht="31.5" customHeight="1">
      <c r="A13" s="204"/>
      <c r="B13" s="422" t="s">
        <v>1379</v>
      </c>
      <c r="C13" s="402" t="s">
        <v>9</v>
      </c>
      <c r="D13" s="543"/>
      <c r="E13" s="544"/>
      <c r="F13" s="208"/>
      <c r="G13" s="208"/>
      <c r="I13" s="416" t="s">
        <v>1379</v>
      </c>
      <c r="J13" s="402" t="s">
        <v>9</v>
      </c>
      <c r="K13" s="543"/>
      <c r="L13" s="544"/>
    </row>
    <row r="14" spans="1:12" ht="30.75" customHeight="1">
      <c r="A14" s="204"/>
      <c r="B14" s="422" t="s">
        <v>1533</v>
      </c>
      <c r="C14" s="402" t="s">
        <v>9</v>
      </c>
      <c r="D14" s="547"/>
      <c r="E14" s="548"/>
      <c r="F14" s="390" t="s">
        <v>1451</v>
      </c>
      <c r="G14" s="394">
        <v>50</v>
      </c>
      <c r="I14" s="416" t="s">
        <v>1533</v>
      </c>
      <c r="J14" s="402" t="s">
        <v>9</v>
      </c>
      <c r="K14" s="549">
        <v>100</v>
      </c>
      <c r="L14" s="550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51">
        <v>35</v>
      </c>
      <c r="E16" s="552"/>
      <c r="F16" s="390"/>
      <c r="G16" s="394">
        <v>160</v>
      </c>
      <c r="I16" s="416" t="s">
        <v>1535</v>
      </c>
      <c r="J16" s="402" t="s">
        <v>9</v>
      </c>
      <c r="K16" s="555">
        <f>K9</f>
        <v>223.34339360756579</v>
      </c>
      <c r="L16" s="556"/>
    </row>
    <row r="17" spans="1:12" ht="34.5" customHeight="1">
      <c r="A17" s="204"/>
      <c r="B17" s="422" t="s">
        <v>1536</v>
      </c>
      <c r="C17" s="402" t="s">
        <v>9</v>
      </c>
      <c r="D17" s="553">
        <f>IF(D15=1,D14/(20/3^0.5),(D14/(20*3^0.5)))</f>
        <v>0</v>
      </c>
      <c r="E17" s="554"/>
      <c r="F17" s="390" t="s">
        <v>1451</v>
      </c>
      <c r="G17" s="395">
        <v>200</v>
      </c>
      <c r="I17" s="416" t="s">
        <v>1536</v>
      </c>
      <c r="J17" s="402" t="s">
        <v>9</v>
      </c>
      <c r="K17" s="559">
        <f>IF(K15=1,K14/(20/3^0.5),(K14/(20*3^0.5)))</f>
        <v>2.8867513459481291</v>
      </c>
      <c r="L17" s="560"/>
    </row>
    <row r="18" spans="1:12" ht="34.5" customHeight="1">
      <c r="A18" s="204"/>
      <c r="B18" s="422" t="s">
        <v>1537</v>
      </c>
      <c r="C18" s="402" t="s">
        <v>9</v>
      </c>
      <c r="D18" s="553">
        <f>IF(D15=1,D14/(380/3^0.5),(D14/(380*3^0.5)))*1000</f>
        <v>0</v>
      </c>
      <c r="E18" s="554"/>
      <c r="F18" s="390" t="s">
        <v>1451</v>
      </c>
      <c r="G18" s="395">
        <v>250</v>
      </c>
      <c r="I18" s="416" t="s">
        <v>1537</v>
      </c>
      <c r="J18" s="402" t="s">
        <v>9</v>
      </c>
      <c r="K18" s="559">
        <f>IF(K15=1,K14/(380/3^0.5),(K14/(380*3^0.5)))*1000</f>
        <v>151.93428136569102</v>
      </c>
      <c r="L18" s="560"/>
    </row>
    <row r="19" spans="1:12" ht="30" customHeight="1">
      <c r="A19" s="204"/>
      <c r="B19" s="423" t="s">
        <v>1529</v>
      </c>
      <c r="C19" s="401" t="s">
        <v>9</v>
      </c>
      <c r="D19" s="553">
        <f>IF(D15=1,D14/(380/3^0.5),(D14/(380*3^0.5)))</f>
        <v>0</v>
      </c>
      <c r="E19" s="554"/>
      <c r="F19" s="207"/>
      <c r="G19" s="386"/>
      <c r="I19" s="418" t="s">
        <v>1529</v>
      </c>
      <c r="J19" s="401" t="s">
        <v>9</v>
      </c>
      <c r="K19" s="559">
        <f>IF(K15=1,K14/(380/3^0.5),(K14/(380*3^0.5)))</f>
        <v>0.15193428136569101</v>
      </c>
      <c r="L19" s="560"/>
    </row>
    <row r="20" spans="1:12" ht="30" customHeight="1" thickBot="1">
      <c r="A20" s="204"/>
      <c r="B20" s="424" t="s">
        <v>1538</v>
      </c>
      <c r="C20" s="420" t="s">
        <v>9</v>
      </c>
      <c r="D20" s="579" t="e">
        <f>D16/D18</f>
        <v>#DIV/0!</v>
      </c>
      <c r="E20" s="580"/>
      <c r="F20" s="207"/>
      <c r="G20" s="386"/>
      <c r="I20" s="419" t="s">
        <v>1529</v>
      </c>
      <c r="J20" s="420" t="s">
        <v>9</v>
      </c>
      <c r="K20" s="557">
        <f>K16/K18</f>
        <v>1.47</v>
      </c>
      <c r="L20" s="558"/>
    </row>
    <row r="21" spans="1:12" ht="9.75" customHeight="1">
      <c r="A21" s="204"/>
      <c r="B21" s="409" t="s">
        <v>1538</v>
      </c>
      <c r="C21" s="410" t="s">
        <v>9</v>
      </c>
      <c r="D21" s="564">
        <v>1</v>
      </c>
      <c r="E21" s="564"/>
      <c r="F21" s="411"/>
      <c r="G21" s="412"/>
      <c r="H21" s="413"/>
      <c r="I21" s="409" t="s">
        <v>1529</v>
      </c>
      <c r="J21" s="410" t="s">
        <v>9</v>
      </c>
      <c r="K21" s="564">
        <v>1</v>
      </c>
      <c r="L21" s="564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404"/>
    </row>
    <row r="27" spans="1:12">
      <c r="D27" s="40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4" zoomScale="85" zoomScaleNormal="85" workbookViewId="0">
      <selection activeCell="D16" sqref="D16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81"/>
      <c r="C1" s="581"/>
      <c r="D1" s="581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94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72850000</v>
      </c>
    </row>
    <row r="10" spans="2:11" ht="20.100000000000001" customHeight="1">
      <c r="B10" s="249" t="s">
        <v>1444</v>
      </c>
      <c r="C10" s="250" t="s">
        <v>9</v>
      </c>
      <c r="D10" s="256">
        <f ca="1">RAB!K87</f>
        <v>140715885.40600002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2814317.7081200005</v>
      </c>
    </row>
    <row r="12" spans="2:11" ht="9" customHeight="1">
      <c r="B12" s="582"/>
      <c r="C12" s="582"/>
      <c r="D12" s="582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1628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1629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53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3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380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147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1458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972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775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I36" sqref="I36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9" t="s">
        <v>1356</v>
      </c>
      <c r="C3" s="589"/>
      <c r="D3" s="589"/>
      <c r="E3" s="589"/>
      <c r="F3" s="263" t="str">
        <f>DATA!D14</f>
        <v>CHARLIE HOSPITAL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3" t="s">
        <v>1348</v>
      </c>
      <c r="C5" s="583" t="s">
        <v>1357</v>
      </c>
      <c r="D5" s="588" t="s">
        <v>1358</v>
      </c>
      <c r="E5" s="588" t="s">
        <v>1359</v>
      </c>
      <c r="F5" s="583" t="s">
        <v>1360</v>
      </c>
      <c r="G5" s="583"/>
      <c r="H5" s="583"/>
      <c r="I5" s="583"/>
      <c r="J5" s="583"/>
      <c r="K5" s="583" t="s">
        <v>1361</v>
      </c>
      <c r="L5" s="583"/>
      <c r="M5" s="265"/>
      <c r="N5" s="586" t="s">
        <v>1362</v>
      </c>
      <c r="O5" s="588" t="s">
        <v>1363</v>
      </c>
      <c r="P5" s="588" t="s">
        <v>1364</v>
      </c>
      <c r="Q5" s="588" t="s">
        <v>1365</v>
      </c>
      <c r="R5" s="266"/>
      <c r="S5" s="267"/>
      <c r="T5" s="584" t="s">
        <v>1366</v>
      </c>
      <c r="U5" s="268"/>
    </row>
    <row r="6" spans="1:21" ht="20.100000000000001" customHeight="1">
      <c r="B6" s="583"/>
      <c r="C6" s="583"/>
      <c r="D6" s="583"/>
      <c r="E6" s="583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87"/>
      <c r="O6" s="583"/>
      <c r="P6" s="583"/>
      <c r="Q6" s="583"/>
      <c r="R6" s="266"/>
      <c r="S6" s="267"/>
      <c r="T6" s="583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30080</v>
      </c>
      <c r="D7" s="274">
        <f>C7*4/24</f>
        <v>5013.333333333333</v>
      </c>
      <c r="E7" s="274">
        <f>C7-D7</f>
        <v>25066.666666666668</v>
      </c>
      <c r="F7" s="275">
        <f ca="1">DATA!D10/1000000</f>
        <v>140.71588540600001</v>
      </c>
      <c r="G7" s="276">
        <f ca="1">DATA!$D$11/1000000</f>
        <v>2.8143177081200004</v>
      </c>
      <c r="H7" s="276">
        <f>C7*DATA!$D$5/1000000</f>
        <v>32.610481380268453</v>
      </c>
      <c r="I7" s="276">
        <f>(C7*DATA!$D$5*DATA!$D$7)/1000000</f>
        <v>0.73373583105604012</v>
      </c>
      <c r="J7" s="274">
        <f ca="1">SUM(F7:I7)</f>
        <v>176.8744203254445</v>
      </c>
      <c r="K7" s="277">
        <f>DATA!D9/1000000</f>
        <v>72.849999999999994</v>
      </c>
      <c r="L7" s="274">
        <f>((D7*DATA!$D$23)/1000000)+((E7*DATA!$D$24)/1000000)</f>
        <v>31.674239999999998</v>
      </c>
      <c r="M7" s="274">
        <f>K7+L7</f>
        <v>104.52423999999999</v>
      </c>
      <c r="N7" s="274">
        <f ca="1">M7-J7</f>
        <v>-72.350180325444512</v>
      </c>
      <c r="O7" s="272">
        <v>1</v>
      </c>
      <c r="P7" s="274">
        <f ca="1">O7*N7</f>
        <v>-72.350180325444512</v>
      </c>
      <c r="Q7" s="274">
        <f ca="1">P7</f>
        <v>-72.350180325444512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45120</v>
      </c>
      <c r="D8" s="274">
        <f>C8*4/24</f>
        <v>7520</v>
      </c>
      <c r="E8" s="274">
        <f t="shared" ref="E8:E32" si="0">C8-D8</f>
        <v>37600</v>
      </c>
      <c r="F8" s="272"/>
      <c r="G8" s="276">
        <f ca="1">DATA!$D$11/1000000</f>
        <v>2.8143177081200004</v>
      </c>
      <c r="H8" s="276">
        <f>C8*DATA!$D$5/1000000</f>
        <v>48.915722070402673</v>
      </c>
      <c r="I8" s="276">
        <f>(C8*DATA!$D$5*DATA!$D$7)/1000000</f>
        <v>1.1006037465840601</v>
      </c>
      <c r="J8" s="274">
        <f t="shared" ref="J8:J32" ca="1" si="1">SUM(F8:I8)</f>
        <v>52.830643525106737</v>
      </c>
      <c r="K8" s="279"/>
      <c r="L8" s="274">
        <f>((D8*DATA!$D$23)/1000000)+((E8*DATA!$D$24)/1000000)</f>
        <v>47.511359999999996</v>
      </c>
      <c r="M8" s="274">
        <f t="shared" ref="M8:M32" si="2">K8+L8</f>
        <v>47.511359999999996</v>
      </c>
      <c r="N8" s="274">
        <f ca="1">M8-J8</f>
        <v>-5.3192835251067407</v>
      </c>
      <c r="O8" s="273">
        <f>1/(1+'[87]Asumsi I'!$C$3)^(KKF!A8)</f>
        <v>0.89285714285714279</v>
      </c>
      <c r="P8" s="274">
        <f ca="1">O8*N8</f>
        <v>-4.7493602902738754</v>
      </c>
      <c r="Q8" s="274">
        <f ca="1">Q7+P8</f>
        <v>-77.099540615718382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45120</v>
      </c>
      <c r="D9" s="274">
        <f t="shared" ref="D9:D32" si="5">C9*4/24</f>
        <v>7520</v>
      </c>
      <c r="E9" s="274">
        <f t="shared" si="0"/>
        <v>37600</v>
      </c>
      <c r="F9" s="272"/>
      <c r="G9" s="276">
        <f ca="1">DATA!$D$11/1000000</f>
        <v>2.8143177081200004</v>
      </c>
      <c r="H9" s="276">
        <f>C9*DATA!$D$5/1000000</f>
        <v>48.915722070402673</v>
      </c>
      <c r="I9" s="276">
        <f>(C9*DATA!$D$5*DATA!$D$7)/1000000</f>
        <v>1.1006037465840601</v>
      </c>
      <c r="J9" s="274">
        <f t="shared" ca="1" si="1"/>
        <v>52.830643525106737</v>
      </c>
      <c r="K9" s="274"/>
      <c r="L9" s="274">
        <f>((D9*DATA!$D$23)/1000000)+((E9*DATA!$D$24)/1000000)</f>
        <v>47.511359999999996</v>
      </c>
      <c r="M9" s="274">
        <f t="shared" si="2"/>
        <v>47.511359999999996</v>
      </c>
      <c r="N9" s="274">
        <f t="shared" ref="N9:N32" ca="1" si="6">M9-J9</f>
        <v>-5.3192835251067407</v>
      </c>
      <c r="O9" s="280">
        <f>1/(1+'[87]Asumsi I'!$C$3)^(KKF!A9)</f>
        <v>0.79719387755102034</v>
      </c>
      <c r="P9" s="274">
        <f t="shared" ref="P9:P32" ca="1" si="7">O9*N9</f>
        <v>-4.2405002591731025</v>
      </c>
      <c r="Q9" s="274">
        <f ca="1">Q8+P9</f>
        <v>-81.340040874891486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45120</v>
      </c>
      <c r="D10" s="274">
        <f t="shared" si="5"/>
        <v>7520</v>
      </c>
      <c r="E10" s="274">
        <f t="shared" si="0"/>
        <v>37600</v>
      </c>
      <c r="F10" s="272"/>
      <c r="G10" s="276">
        <f ca="1">DATA!$D$11/1000000</f>
        <v>2.8143177081200004</v>
      </c>
      <c r="H10" s="276">
        <f>C10*DATA!$D$5/1000000</f>
        <v>48.915722070402673</v>
      </c>
      <c r="I10" s="276">
        <f>(C10*DATA!$D$5*DATA!$D$7)/1000000</f>
        <v>1.1006037465840601</v>
      </c>
      <c r="J10" s="274">
        <f t="shared" ca="1" si="1"/>
        <v>52.830643525106737</v>
      </c>
      <c r="K10" s="272"/>
      <c r="L10" s="274">
        <f>((D10*DATA!$D$23)/1000000)+((E10*DATA!$D$24)/1000000)</f>
        <v>47.511359999999996</v>
      </c>
      <c r="M10" s="274">
        <f t="shared" si="2"/>
        <v>47.511359999999996</v>
      </c>
      <c r="N10" s="274">
        <f t="shared" ca="1" si="6"/>
        <v>-5.3192835251067407</v>
      </c>
      <c r="O10" s="273">
        <f>1/(1+'[87]Asumsi I'!$C$3)^(KKF!A10)</f>
        <v>0.71178024781341087</v>
      </c>
      <c r="P10" s="274">
        <f t="shared" ca="1" si="7"/>
        <v>-3.7861609456902698</v>
      </c>
      <c r="Q10" s="274">
        <f t="shared" ref="Q10:Q30" ca="1" si="9">Q9+P10</f>
        <v>-85.126201820581755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45120</v>
      </c>
      <c r="D11" s="274">
        <f t="shared" si="5"/>
        <v>7520</v>
      </c>
      <c r="E11" s="274">
        <f t="shared" si="0"/>
        <v>37600</v>
      </c>
      <c r="F11" s="272"/>
      <c r="G11" s="276">
        <f ca="1">DATA!$D$11/1000000</f>
        <v>2.8143177081200004</v>
      </c>
      <c r="H11" s="276">
        <f>C11*DATA!$D$5/1000000</f>
        <v>48.915722070402673</v>
      </c>
      <c r="I11" s="276">
        <f>(C11*DATA!$D$5*DATA!$D$7)/1000000</f>
        <v>1.1006037465840601</v>
      </c>
      <c r="J11" s="274">
        <f t="shared" ca="1" si="1"/>
        <v>52.830643525106737</v>
      </c>
      <c r="K11" s="272"/>
      <c r="L11" s="274">
        <f>((D11*DATA!$D$23)/1000000)+((E11*DATA!$D$24)/1000000)</f>
        <v>47.511359999999996</v>
      </c>
      <c r="M11" s="274">
        <f t="shared" si="2"/>
        <v>47.511359999999996</v>
      </c>
      <c r="N11" s="274">
        <f t="shared" ca="1" si="6"/>
        <v>-5.3192835251067407</v>
      </c>
      <c r="O11" s="273">
        <f>1/(1+'[87]Asumsi I'!$C$3)^(KKF!A11)</f>
        <v>0.63551807840483121</v>
      </c>
      <c r="P11" s="274">
        <f t="shared" ca="1" si="7"/>
        <v>-3.3805008443663125</v>
      </c>
      <c r="Q11" s="274">
        <f t="shared" ca="1" si="9"/>
        <v>-88.506702664948065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45120</v>
      </c>
      <c r="D12" s="274">
        <f t="shared" si="5"/>
        <v>7520</v>
      </c>
      <c r="E12" s="274">
        <f t="shared" si="0"/>
        <v>37600</v>
      </c>
      <c r="F12" s="272"/>
      <c r="G12" s="276">
        <f ca="1">DATA!$D$11/1000000</f>
        <v>2.8143177081200004</v>
      </c>
      <c r="H12" s="276">
        <f>C12*DATA!$D$5/1000000</f>
        <v>48.915722070402673</v>
      </c>
      <c r="I12" s="276">
        <f>(C12*DATA!$D$5*DATA!$D$7)/1000000</f>
        <v>1.1006037465840601</v>
      </c>
      <c r="J12" s="274">
        <f t="shared" ca="1" si="1"/>
        <v>52.830643525106737</v>
      </c>
      <c r="K12" s="272"/>
      <c r="L12" s="274">
        <f>((D12*DATA!$D$23)/1000000)+((E12*DATA!$D$24)/1000000)</f>
        <v>47.511359999999996</v>
      </c>
      <c r="M12" s="274">
        <f t="shared" si="2"/>
        <v>47.511359999999996</v>
      </c>
      <c r="N12" s="274">
        <f t="shared" ca="1" si="6"/>
        <v>-5.3192835251067407</v>
      </c>
      <c r="O12" s="273">
        <f>1/(1+'[87]Asumsi I'!$C$3)^(KKF!A12)</f>
        <v>0.56742685571859919</v>
      </c>
      <c r="P12" s="274">
        <f t="shared" ca="1" si="7"/>
        <v>-3.0183043253270641</v>
      </c>
      <c r="Q12" s="274">
        <f t="shared" ca="1" si="9"/>
        <v>-91.525006990275131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45120</v>
      </c>
      <c r="D13" s="274">
        <f t="shared" si="5"/>
        <v>7520</v>
      </c>
      <c r="E13" s="274">
        <f t="shared" si="0"/>
        <v>37600</v>
      </c>
      <c r="F13" s="272"/>
      <c r="G13" s="276">
        <f ca="1">DATA!$D$11/1000000</f>
        <v>2.8143177081200004</v>
      </c>
      <c r="H13" s="276">
        <f>C13*DATA!$D$5/1000000</f>
        <v>48.915722070402673</v>
      </c>
      <c r="I13" s="276">
        <f>(C13*DATA!$D$5*DATA!$D$7)/1000000</f>
        <v>1.1006037465840601</v>
      </c>
      <c r="J13" s="274">
        <f t="shared" ca="1" si="1"/>
        <v>52.830643525106737</v>
      </c>
      <c r="K13" s="272"/>
      <c r="L13" s="274">
        <f>((D13*DATA!$D$23)/1000000)+((E13*DATA!$D$24)/1000000)</f>
        <v>47.511359999999996</v>
      </c>
      <c r="M13" s="274">
        <f t="shared" si="2"/>
        <v>47.511359999999996</v>
      </c>
      <c r="N13" s="274">
        <f t="shared" ca="1" si="6"/>
        <v>-5.3192835251067407</v>
      </c>
      <c r="O13" s="273">
        <f>1/(1+'[87]Asumsi I'!$C$3)^(KKF!A13)</f>
        <v>0.50663112117732068</v>
      </c>
      <c r="P13" s="274">
        <f t="shared" ca="1" si="7"/>
        <v>-2.6949145761848787</v>
      </c>
      <c r="Q13" s="274">
        <f t="shared" ca="1" si="9"/>
        <v>-94.219921566460016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45120</v>
      </c>
      <c r="D14" s="274">
        <f t="shared" si="5"/>
        <v>7520</v>
      </c>
      <c r="E14" s="274">
        <f t="shared" si="0"/>
        <v>37600</v>
      </c>
      <c r="F14" s="272"/>
      <c r="G14" s="276">
        <f ca="1">DATA!$D$11/1000000</f>
        <v>2.8143177081200004</v>
      </c>
      <c r="H14" s="276">
        <f>C14*DATA!$D$5/1000000</f>
        <v>48.915722070402673</v>
      </c>
      <c r="I14" s="276">
        <f>(C14*DATA!$D$5*DATA!$D$7)/1000000</f>
        <v>1.1006037465840601</v>
      </c>
      <c r="J14" s="274">
        <f t="shared" ca="1" si="1"/>
        <v>52.830643525106737</v>
      </c>
      <c r="K14" s="272"/>
      <c r="L14" s="274">
        <f>((D14*DATA!$D$23)/1000000)+((E14*DATA!$D$24)/1000000)</f>
        <v>47.511359999999996</v>
      </c>
      <c r="M14" s="274">
        <f t="shared" si="2"/>
        <v>47.511359999999996</v>
      </c>
      <c r="N14" s="274">
        <f t="shared" ca="1" si="6"/>
        <v>-5.3192835251067407</v>
      </c>
      <c r="O14" s="273">
        <f>1/(1+'[87]Asumsi I'!$C$3)^(KKF!A14)</f>
        <v>0.45234921533689343</v>
      </c>
      <c r="P14" s="274">
        <f t="shared" ca="1" si="7"/>
        <v>-2.4061737287364986</v>
      </c>
      <c r="Q14" s="274">
        <f t="shared" ca="1" si="9"/>
        <v>-96.626095295196521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45120</v>
      </c>
      <c r="D15" s="274">
        <f t="shared" si="5"/>
        <v>7520</v>
      </c>
      <c r="E15" s="274">
        <f t="shared" si="0"/>
        <v>37600</v>
      </c>
      <c r="F15" s="272"/>
      <c r="G15" s="276">
        <f ca="1">DATA!$D$11/1000000</f>
        <v>2.8143177081200004</v>
      </c>
      <c r="H15" s="276">
        <f>C15*DATA!$D$5/1000000</f>
        <v>48.915722070402673</v>
      </c>
      <c r="I15" s="276">
        <f>(C15*DATA!$D$5*DATA!$D$7)/1000000</f>
        <v>1.1006037465840601</v>
      </c>
      <c r="J15" s="274">
        <f t="shared" ca="1" si="1"/>
        <v>52.830643525106737</v>
      </c>
      <c r="K15" s="272"/>
      <c r="L15" s="274">
        <f>((D15*DATA!$D$23)/1000000)+((E15*DATA!$D$24)/1000000)</f>
        <v>47.511359999999996</v>
      </c>
      <c r="M15" s="274">
        <f t="shared" si="2"/>
        <v>47.511359999999996</v>
      </c>
      <c r="N15" s="274">
        <f t="shared" ca="1" si="6"/>
        <v>-5.3192835251067407</v>
      </c>
      <c r="O15" s="273">
        <f>1/(1+'[87]Asumsi I'!$C$3)^(KKF!A15)</f>
        <v>0.4038832279793691</v>
      </c>
      <c r="P15" s="274">
        <f t="shared" ca="1" si="7"/>
        <v>-2.1483694006575877</v>
      </c>
      <c r="Q15" s="274">
        <f t="shared" ca="1" si="9"/>
        <v>-98.774464695854107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45120</v>
      </c>
      <c r="D16" s="274">
        <f t="shared" si="5"/>
        <v>7520</v>
      </c>
      <c r="E16" s="274">
        <f t="shared" si="0"/>
        <v>37600</v>
      </c>
      <c r="F16" s="272"/>
      <c r="G16" s="276">
        <f ca="1">DATA!$D$11/1000000</f>
        <v>2.8143177081200004</v>
      </c>
      <c r="H16" s="276">
        <f>C16*DATA!$D$5/1000000</f>
        <v>48.915722070402673</v>
      </c>
      <c r="I16" s="276">
        <f>(C16*DATA!$D$5*DATA!$D$7)/1000000</f>
        <v>1.1006037465840601</v>
      </c>
      <c r="J16" s="274">
        <f t="shared" ca="1" si="1"/>
        <v>52.830643525106737</v>
      </c>
      <c r="K16" s="272"/>
      <c r="L16" s="274">
        <f>((D16*DATA!$D$23)/1000000)+((E16*DATA!$D$24)/1000000)</f>
        <v>47.511359999999996</v>
      </c>
      <c r="M16" s="274">
        <f t="shared" si="2"/>
        <v>47.511359999999996</v>
      </c>
      <c r="N16" s="274">
        <f t="shared" ca="1" si="6"/>
        <v>-5.3192835251067407</v>
      </c>
      <c r="O16" s="273">
        <f>1/(1+'[87]Asumsi I'!$C$3)^(KKF!A16)</f>
        <v>0.36061002498157957</v>
      </c>
      <c r="P16" s="274">
        <f t="shared" ca="1" si="7"/>
        <v>-1.9181869648728465</v>
      </c>
      <c r="Q16" s="274">
        <f t="shared" ca="1" si="9"/>
        <v>-100.69265166072695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45120</v>
      </c>
      <c r="D17" s="274">
        <f t="shared" si="5"/>
        <v>7520</v>
      </c>
      <c r="E17" s="274">
        <f t="shared" si="0"/>
        <v>37600</v>
      </c>
      <c r="F17" s="272"/>
      <c r="G17" s="276">
        <f ca="1">DATA!$D$11/1000000</f>
        <v>2.8143177081200004</v>
      </c>
      <c r="H17" s="276">
        <f>C17*DATA!$D$5/1000000</f>
        <v>48.915722070402673</v>
      </c>
      <c r="I17" s="276">
        <f>(C17*DATA!$D$5*DATA!$D$7)/1000000</f>
        <v>1.1006037465840601</v>
      </c>
      <c r="J17" s="274">
        <f t="shared" ca="1" si="1"/>
        <v>52.830643525106737</v>
      </c>
      <c r="K17" s="272"/>
      <c r="L17" s="274">
        <f>((D17*DATA!$D$23)/1000000)+((E17*DATA!$D$24)/1000000)</f>
        <v>47.511359999999996</v>
      </c>
      <c r="M17" s="274">
        <f t="shared" si="2"/>
        <v>47.511359999999996</v>
      </c>
      <c r="N17" s="274">
        <f t="shared" ca="1" si="6"/>
        <v>-5.3192835251067407</v>
      </c>
      <c r="O17" s="273">
        <f>1/(1+'[87]Asumsi I'!$C$3)^(KKF!A17)</f>
        <v>0.32197323659069599</v>
      </c>
      <c r="P17" s="274">
        <f t="shared" ca="1" si="7"/>
        <v>-1.712666932922184</v>
      </c>
      <c r="Q17" s="274">
        <f t="shared" ca="1" si="9"/>
        <v>-102.40531859364914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45120</v>
      </c>
      <c r="D18" s="274">
        <f t="shared" si="5"/>
        <v>7520</v>
      </c>
      <c r="E18" s="274">
        <f t="shared" si="0"/>
        <v>37600</v>
      </c>
      <c r="F18" s="272"/>
      <c r="G18" s="276">
        <f ca="1">DATA!$D$11/1000000</f>
        <v>2.8143177081200004</v>
      </c>
      <c r="H18" s="276">
        <f>C18*DATA!$D$5/1000000</f>
        <v>48.915722070402673</v>
      </c>
      <c r="I18" s="276">
        <f>(C18*DATA!$D$5*DATA!$D$7)/1000000</f>
        <v>1.1006037465840601</v>
      </c>
      <c r="J18" s="274">
        <f t="shared" ca="1" si="1"/>
        <v>52.830643525106737</v>
      </c>
      <c r="K18" s="272"/>
      <c r="L18" s="274">
        <f>((D18*DATA!$D$23)/1000000)+((E18*DATA!$D$24)/1000000)</f>
        <v>47.511359999999996</v>
      </c>
      <c r="M18" s="274">
        <f t="shared" si="2"/>
        <v>47.511359999999996</v>
      </c>
      <c r="N18" s="274">
        <f t="shared" ca="1" si="6"/>
        <v>-5.3192835251067407</v>
      </c>
      <c r="O18" s="273">
        <f>1/(1+'[87]Asumsi I'!$C$3)^(KKF!A18)</f>
        <v>0.28747610409883567</v>
      </c>
      <c r="P18" s="274">
        <f t="shared" ca="1" si="7"/>
        <v>-1.5291669043948071</v>
      </c>
      <c r="Q18" s="274">
        <f t="shared" ca="1" si="9"/>
        <v>-103.93448549804395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45120</v>
      </c>
      <c r="D19" s="274">
        <f t="shared" si="5"/>
        <v>7520</v>
      </c>
      <c r="E19" s="274">
        <f t="shared" si="0"/>
        <v>37600</v>
      </c>
      <c r="F19" s="272"/>
      <c r="G19" s="276">
        <f ca="1">DATA!$D$11/1000000</f>
        <v>2.8143177081200004</v>
      </c>
      <c r="H19" s="276">
        <f>C19*DATA!$D$5/1000000</f>
        <v>48.915722070402673</v>
      </c>
      <c r="I19" s="276">
        <f>(C19*DATA!$D$5*DATA!$D$7)/1000000</f>
        <v>1.1006037465840601</v>
      </c>
      <c r="J19" s="274">
        <f t="shared" ca="1" si="1"/>
        <v>52.830643525106737</v>
      </c>
      <c r="K19" s="272"/>
      <c r="L19" s="274">
        <f>((D19*DATA!$D$23)/1000000)+((E19*DATA!$D$24)/1000000)</f>
        <v>47.511359999999996</v>
      </c>
      <c r="M19" s="274">
        <f t="shared" si="2"/>
        <v>47.511359999999996</v>
      </c>
      <c r="N19" s="274">
        <f t="shared" ca="1" si="6"/>
        <v>-5.3192835251067407</v>
      </c>
      <c r="O19" s="273">
        <f>1/(1+'[87]Asumsi I'!$C$3)^(KKF!A19)</f>
        <v>0.25667509294538904</v>
      </c>
      <c r="P19" s="274">
        <f t="shared" ca="1" si="7"/>
        <v>-1.3653275932096494</v>
      </c>
      <c r="Q19" s="274">
        <f t="shared" ca="1" si="9"/>
        <v>-105.29981309125361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45120</v>
      </c>
      <c r="D20" s="274">
        <f t="shared" si="5"/>
        <v>7520</v>
      </c>
      <c r="E20" s="274">
        <f t="shared" si="0"/>
        <v>37600</v>
      </c>
      <c r="F20" s="272"/>
      <c r="G20" s="276">
        <f ca="1">DATA!$D$11/1000000</f>
        <v>2.8143177081200004</v>
      </c>
      <c r="H20" s="276">
        <f>C20*DATA!$D$5/1000000</f>
        <v>48.915722070402673</v>
      </c>
      <c r="I20" s="276">
        <f>(C20*DATA!$D$5*DATA!$D$7)/1000000</f>
        <v>1.1006037465840601</v>
      </c>
      <c r="J20" s="274">
        <f t="shared" ca="1" si="1"/>
        <v>52.830643525106737</v>
      </c>
      <c r="K20" s="272"/>
      <c r="L20" s="274">
        <f>((D20*DATA!$D$23)/1000000)+((E20*DATA!$D$24)/1000000)</f>
        <v>47.511359999999996</v>
      </c>
      <c r="M20" s="274">
        <f t="shared" si="2"/>
        <v>47.511359999999996</v>
      </c>
      <c r="N20" s="274">
        <f t="shared" ca="1" si="6"/>
        <v>-5.3192835251067407</v>
      </c>
      <c r="O20" s="273">
        <f>1/(1+'[87]Asumsi I'!$C$3)^(KKF!A20)</f>
        <v>0.22917419012981158</v>
      </c>
      <c r="P20" s="274">
        <f t="shared" ca="1" si="7"/>
        <v>-1.2190424939371867</v>
      </c>
      <c r="Q20" s="274">
        <f t="shared" ca="1" si="9"/>
        <v>-106.51885558519079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45120</v>
      </c>
      <c r="D21" s="274">
        <f t="shared" si="5"/>
        <v>7520</v>
      </c>
      <c r="E21" s="274">
        <f t="shared" si="0"/>
        <v>37600</v>
      </c>
      <c r="F21" s="272"/>
      <c r="G21" s="276">
        <f ca="1">DATA!$D$11/1000000</f>
        <v>2.8143177081200004</v>
      </c>
      <c r="H21" s="276">
        <f>C21*DATA!$D$5/1000000</f>
        <v>48.915722070402673</v>
      </c>
      <c r="I21" s="276">
        <f>(C21*DATA!$D$5*DATA!$D$7)/1000000</f>
        <v>1.1006037465840601</v>
      </c>
      <c r="J21" s="274">
        <f t="shared" ca="1" si="1"/>
        <v>52.830643525106737</v>
      </c>
      <c r="K21" s="272"/>
      <c r="L21" s="274">
        <f>((D21*DATA!$D$23)/1000000)+((E21*DATA!$D$24)/1000000)</f>
        <v>47.511359999999996</v>
      </c>
      <c r="M21" s="274">
        <f t="shared" si="2"/>
        <v>47.511359999999996</v>
      </c>
      <c r="N21" s="274">
        <f t="shared" ca="1" si="6"/>
        <v>-5.3192835251067407</v>
      </c>
      <c r="O21" s="273">
        <f>1/(1+'[87]Asumsi I'!$C$3)^(KKF!A21)</f>
        <v>0.20461981261590317</v>
      </c>
      <c r="P21" s="274">
        <f t="shared" ca="1" si="7"/>
        <v>-1.0884307981582022</v>
      </c>
      <c r="Q21" s="274">
        <f t="shared" ca="1" si="9"/>
        <v>-107.60728638334899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45120</v>
      </c>
      <c r="D22" s="274">
        <f t="shared" si="5"/>
        <v>7520</v>
      </c>
      <c r="E22" s="274">
        <f t="shared" si="0"/>
        <v>37600</v>
      </c>
      <c r="F22" s="272"/>
      <c r="G22" s="276">
        <f ca="1">DATA!$D$11/1000000</f>
        <v>2.8143177081200004</v>
      </c>
      <c r="H22" s="276">
        <f>C22*DATA!$D$5/1000000</f>
        <v>48.915722070402673</v>
      </c>
      <c r="I22" s="276">
        <f>(C22*DATA!$D$5*DATA!$D$7)/1000000</f>
        <v>1.1006037465840601</v>
      </c>
      <c r="J22" s="274">
        <f t="shared" ca="1" si="1"/>
        <v>52.830643525106737</v>
      </c>
      <c r="K22" s="272"/>
      <c r="L22" s="274">
        <f>((D22*DATA!$D$23)/1000000)+((E22*DATA!$D$24)/1000000)</f>
        <v>47.511359999999996</v>
      </c>
      <c r="M22" s="274">
        <f t="shared" si="2"/>
        <v>47.511359999999996</v>
      </c>
      <c r="N22" s="274">
        <f t="shared" ca="1" si="6"/>
        <v>-5.3192835251067407</v>
      </c>
      <c r="O22" s="273">
        <f>1/(1+'[87]Asumsi I'!$C$3)^(KKF!A22)</f>
        <v>0.18269626126419927</v>
      </c>
      <c r="P22" s="274">
        <f t="shared" ca="1" si="7"/>
        <v>-0.97181321264125198</v>
      </c>
      <c r="Q22" s="274">
        <f t="shared" ca="1" si="9"/>
        <v>-108.57909959599024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45120</v>
      </c>
      <c r="D23" s="274">
        <f t="shared" si="5"/>
        <v>7520</v>
      </c>
      <c r="E23" s="274">
        <f t="shared" si="0"/>
        <v>37600</v>
      </c>
      <c r="F23" s="272"/>
      <c r="G23" s="276">
        <f ca="1">DATA!$D$11/1000000</f>
        <v>2.8143177081200004</v>
      </c>
      <c r="H23" s="276">
        <f>C23*DATA!$D$5/1000000</f>
        <v>48.915722070402673</v>
      </c>
      <c r="I23" s="276">
        <f>(C23*DATA!$D$5*DATA!$D$7)/1000000</f>
        <v>1.1006037465840601</v>
      </c>
      <c r="J23" s="274">
        <f t="shared" ca="1" si="1"/>
        <v>52.830643525106737</v>
      </c>
      <c r="K23" s="272"/>
      <c r="L23" s="274">
        <f>((D23*DATA!$D$23)/1000000)+((E23*DATA!$D$24)/1000000)</f>
        <v>47.511359999999996</v>
      </c>
      <c r="M23" s="274">
        <f t="shared" si="2"/>
        <v>47.511359999999996</v>
      </c>
      <c r="N23" s="274">
        <f t="shared" ca="1" si="6"/>
        <v>-5.3192835251067407</v>
      </c>
      <c r="O23" s="273">
        <f>1/(1+'[87]Asumsi I'!$C$3)^(KKF!A23)</f>
        <v>0.16312166184303503</v>
      </c>
      <c r="P23" s="274">
        <f t="shared" ca="1" si="7"/>
        <v>-0.86769036842968916</v>
      </c>
      <c r="Q23" s="274">
        <f t="shared" ca="1" si="9"/>
        <v>-109.44678996441993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45120</v>
      </c>
      <c r="D24" s="274">
        <f t="shared" si="5"/>
        <v>7520</v>
      </c>
      <c r="E24" s="274">
        <f t="shared" si="0"/>
        <v>37600</v>
      </c>
      <c r="F24" s="272"/>
      <c r="G24" s="276">
        <f ca="1">DATA!$D$11/1000000</f>
        <v>2.8143177081200004</v>
      </c>
      <c r="H24" s="276">
        <f>C24*DATA!$D$5/1000000</f>
        <v>48.915722070402673</v>
      </c>
      <c r="I24" s="276">
        <f>(C24*DATA!$D$5*DATA!$D$7)/1000000</f>
        <v>1.1006037465840601</v>
      </c>
      <c r="J24" s="274">
        <f t="shared" ca="1" si="1"/>
        <v>52.830643525106737</v>
      </c>
      <c r="K24" s="272"/>
      <c r="L24" s="274">
        <f>((D24*DATA!$D$23)/1000000)+((E24*DATA!$D$24)/1000000)</f>
        <v>47.511359999999996</v>
      </c>
      <c r="M24" s="274">
        <f t="shared" si="2"/>
        <v>47.511359999999996</v>
      </c>
      <c r="N24" s="274">
        <f t="shared" ca="1" si="6"/>
        <v>-5.3192835251067407</v>
      </c>
      <c r="O24" s="273">
        <f>1/(1+'[87]Asumsi I'!$C$3)^(KKF!A24)</f>
        <v>0.14564434093128129</v>
      </c>
      <c r="P24" s="274">
        <f t="shared" ca="1" si="7"/>
        <v>-0.77472354324079384</v>
      </c>
      <c r="Q24" s="274">
        <f t="shared" ca="1" si="9"/>
        <v>-110.22151350766073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45120</v>
      </c>
      <c r="D25" s="274">
        <f t="shared" si="5"/>
        <v>7520</v>
      </c>
      <c r="E25" s="274">
        <f t="shared" si="0"/>
        <v>37600</v>
      </c>
      <c r="F25" s="272"/>
      <c r="G25" s="276">
        <f ca="1">DATA!$D$11/1000000</f>
        <v>2.8143177081200004</v>
      </c>
      <c r="H25" s="276">
        <f>C25*DATA!$D$5/1000000</f>
        <v>48.915722070402673</v>
      </c>
      <c r="I25" s="276">
        <f>(C25*DATA!$D$5*DATA!$D$7)/1000000</f>
        <v>1.1006037465840601</v>
      </c>
      <c r="J25" s="274">
        <f t="shared" ca="1" si="1"/>
        <v>52.830643525106737</v>
      </c>
      <c r="K25" s="272"/>
      <c r="L25" s="274">
        <f>((D25*DATA!$D$23)/1000000)+((E25*DATA!$D$24)/1000000)</f>
        <v>47.511359999999996</v>
      </c>
      <c r="M25" s="274">
        <f t="shared" si="2"/>
        <v>47.511359999999996</v>
      </c>
      <c r="N25" s="274">
        <f t="shared" ca="1" si="6"/>
        <v>-5.3192835251067407</v>
      </c>
      <c r="O25" s="273">
        <f>1/(1+'[87]Asumsi I'!$C$3)^(KKF!A25)</f>
        <v>0.13003959011721541</v>
      </c>
      <c r="P25" s="274">
        <f t="shared" ca="1" si="7"/>
        <v>-0.6917174493221373</v>
      </c>
      <c r="Q25" s="274">
        <f t="shared" ca="1" si="9"/>
        <v>-110.91323095698287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45120</v>
      </c>
      <c r="D26" s="274">
        <f t="shared" si="5"/>
        <v>7520</v>
      </c>
      <c r="E26" s="274">
        <f t="shared" si="0"/>
        <v>37600</v>
      </c>
      <c r="F26" s="272"/>
      <c r="G26" s="276">
        <f ca="1">DATA!$D$11/1000000</f>
        <v>2.8143177081200004</v>
      </c>
      <c r="H26" s="276">
        <f>C26*DATA!$D$5/1000000</f>
        <v>48.915722070402673</v>
      </c>
      <c r="I26" s="276">
        <f>(C26*DATA!$D$5*DATA!$D$7)/1000000</f>
        <v>1.1006037465840601</v>
      </c>
      <c r="J26" s="274">
        <f t="shared" ca="1" si="1"/>
        <v>52.830643525106737</v>
      </c>
      <c r="K26" s="272"/>
      <c r="L26" s="274">
        <f>((D26*DATA!$D$23)/1000000)+((E26*DATA!$D$24)/1000000)</f>
        <v>47.511359999999996</v>
      </c>
      <c r="M26" s="274">
        <f t="shared" si="2"/>
        <v>47.511359999999996</v>
      </c>
      <c r="N26" s="274">
        <f t="shared" ca="1" si="6"/>
        <v>-5.3192835251067407</v>
      </c>
      <c r="O26" s="273">
        <f>1/(1+'[87]Asumsi I'!$C$3)^(KKF!A26)</f>
        <v>0.1161067768903709</v>
      </c>
      <c r="P26" s="274">
        <f t="shared" ca="1" si="7"/>
        <v>-0.61760486546619398</v>
      </c>
      <c r="Q26" s="274">
        <f t="shared" ca="1" si="9"/>
        <v>-111.53083582244906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45120</v>
      </c>
      <c r="D27" s="274">
        <f t="shared" si="5"/>
        <v>7520</v>
      </c>
      <c r="E27" s="274">
        <f t="shared" si="0"/>
        <v>37600</v>
      </c>
      <c r="F27" s="272"/>
      <c r="G27" s="276">
        <f ca="1">DATA!$D$11/1000000</f>
        <v>2.8143177081200004</v>
      </c>
      <c r="H27" s="276">
        <f>C27*DATA!$D$5/1000000</f>
        <v>48.915722070402673</v>
      </c>
      <c r="I27" s="276">
        <f>(C27*DATA!$D$5*DATA!$D$7)/1000000</f>
        <v>1.1006037465840601</v>
      </c>
      <c r="J27" s="274">
        <f t="shared" ca="1" si="1"/>
        <v>52.830643525106737</v>
      </c>
      <c r="K27" s="272"/>
      <c r="L27" s="274">
        <f>((D27*DATA!$D$23)/1000000)+((E27*DATA!$D$24)/1000000)</f>
        <v>47.511359999999996</v>
      </c>
      <c r="M27" s="274">
        <f t="shared" si="2"/>
        <v>47.511359999999996</v>
      </c>
      <c r="N27" s="274">
        <f t="shared" ca="1" si="6"/>
        <v>-5.3192835251067407</v>
      </c>
      <c r="O27" s="273">
        <f>1/(1+'[87]Asumsi I'!$C$3)^(KKF!A27)</f>
        <v>0.1036667650806883</v>
      </c>
      <c r="P27" s="274">
        <f t="shared" ca="1" si="7"/>
        <v>-0.551432915594816</v>
      </c>
      <c r="Q27" s="274">
        <f t="shared" ca="1" si="9"/>
        <v>-112.08226873804388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45120</v>
      </c>
      <c r="D28" s="274">
        <f t="shared" si="5"/>
        <v>7520</v>
      </c>
      <c r="E28" s="274">
        <f t="shared" si="0"/>
        <v>37600</v>
      </c>
      <c r="F28" s="272"/>
      <c r="G28" s="276">
        <f ca="1">DATA!$D$11/1000000</f>
        <v>2.8143177081200004</v>
      </c>
      <c r="H28" s="276">
        <f>C28*DATA!$D$5/1000000</f>
        <v>48.915722070402673</v>
      </c>
      <c r="I28" s="276">
        <f>(C28*DATA!$D$5*DATA!$D$7)/1000000</f>
        <v>1.1006037465840601</v>
      </c>
      <c r="J28" s="274">
        <f t="shared" ca="1" si="1"/>
        <v>52.830643525106737</v>
      </c>
      <c r="K28" s="272"/>
      <c r="L28" s="274">
        <f>((D28*DATA!$D$23)/1000000)+((E28*DATA!$D$24)/1000000)</f>
        <v>47.511359999999996</v>
      </c>
      <c r="M28" s="274">
        <f t="shared" si="2"/>
        <v>47.511359999999996</v>
      </c>
      <c r="N28" s="274">
        <f t="shared" ca="1" si="6"/>
        <v>-5.3192835251067407</v>
      </c>
      <c r="O28" s="273">
        <f>1/(1+'[87]Asumsi I'!$C$3)^(KKF!A28)</f>
        <v>9.2559611679185971E-2</v>
      </c>
      <c r="P28" s="274">
        <f t="shared" ca="1" si="7"/>
        <v>-0.49235081749537141</v>
      </c>
      <c r="Q28" s="274">
        <f t="shared" ca="1" si="9"/>
        <v>-112.57461955553926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45120</v>
      </c>
      <c r="D29" s="274">
        <f t="shared" si="5"/>
        <v>7520</v>
      </c>
      <c r="E29" s="274">
        <f t="shared" si="0"/>
        <v>37600</v>
      </c>
      <c r="F29" s="272"/>
      <c r="G29" s="276">
        <f ca="1">DATA!$D$11/1000000</f>
        <v>2.8143177081200004</v>
      </c>
      <c r="H29" s="276">
        <f>C29*DATA!$D$5/1000000</f>
        <v>48.915722070402673</v>
      </c>
      <c r="I29" s="276">
        <f>(C29*DATA!$D$5*DATA!$D$7)/1000000</f>
        <v>1.1006037465840601</v>
      </c>
      <c r="J29" s="274">
        <f t="shared" ca="1" si="1"/>
        <v>52.830643525106737</v>
      </c>
      <c r="K29" s="272"/>
      <c r="L29" s="274">
        <f>((D29*DATA!$D$23)/1000000)+((E29*DATA!$D$24)/1000000)</f>
        <v>47.511359999999996</v>
      </c>
      <c r="M29" s="274">
        <f t="shared" si="2"/>
        <v>47.511359999999996</v>
      </c>
      <c r="N29" s="274">
        <f t="shared" ca="1" si="6"/>
        <v>-5.3192835251067407</v>
      </c>
      <c r="O29" s="273">
        <f>1/(1+'[87]Asumsi I'!$C$3)^(KKF!A29)</f>
        <v>8.2642510427844609E-2</v>
      </c>
      <c r="P29" s="274">
        <f t="shared" ca="1" si="7"/>
        <v>-0.43959894419229584</v>
      </c>
      <c r="Q29" s="274">
        <f t="shared" ca="1" si="9"/>
        <v>-113.01421849973156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45120</v>
      </c>
      <c r="D30" s="274">
        <f t="shared" si="5"/>
        <v>7520</v>
      </c>
      <c r="E30" s="274">
        <f t="shared" si="0"/>
        <v>37600</v>
      </c>
      <c r="F30" s="272"/>
      <c r="G30" s="276">
        <f ca="1">DATA!$D$11/1000000</f>
        <v>2.8143177081200004</v>
      </c>
      <c r="H30" s="276">
        <f>C30*DATA!$D$5/1000000</f>
        <v>48.915722070402673</v>
      </c>
      <c r="I30" s="276">
        <f>(C30*DATA!$D$5*DATA!$D$7)/1000000</f>
        <v>1.1006037465840601</v>
      </c>
      <c r="J30" s="274">
        <f t="shared" ca="1" si="1"/>
        <v>52.830643525106737</v>
      </c>
      <c r="K30" s="272"/>
      <c r="L30" s="274">
        <f>((D30*DATA!$D$23)/1000000)+((E30*DATA!$D$24)/1000000)</f>
        <v>47.511359999999996</v>
      </c>
      <c r="M30" s="274">
        <f t="shared" si="2"/>
        <v>47.511359999999996</v>
      </c>
      <c r="N30" s="274">
        <f t="shared" ca="1" si="6"/>
        <v>-5.3192835251067407</v>
      </c>
      <c r="O30" s="273">
        <f>1/(1+'[87]Asumsi I'!$C$3)^(KKF!A30)</f>
        <v>7.3787955739146982E-2</v>
      </c>
      <c r="P30" s="274">
        <f t="shared" ca="1" si="7"/>
        <v>-0.39249905731454993</v>
      </c>
      <c r="Q30" s="274">
        <f t="shared" ca="1" si="9"/>
        <v>-113.40671755704611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45120</v>
      </c>
      <c r="D31" s="274">
        <f t="shared" si="5"/>
        <v>7520</v>
      </c>
      <c r="E31" s="274">
        <f t="shared" si="0"/>
        <v>37600</v>
      </c>
      <c r="F31" s="272"/>
      <c r="G31" s="276">
        <f ca="1">DATA!$D$11/1000000</f>
        <v>2.8143177081200004</v>
      </c>
      <c r="H31" s="276">
        <f>C31*DATA!$D$5/1000000</f>
        <v>48.915722070402673</v>
      </c>
      <c r="I31" s="276">
        <f>(C31*DATA!$D$5*DATA!$D$7)/1000000</f>
        <v>1.1006037465840601</v>
      </c>
      <c r="J31" s="274">
        <f t="shared" ca="1" si="1"/>
        <v>52.830643525106737</v>
      </c>
      <c r="K31" s="272"/>
      <c r="L31" s="274">
        <f>((D31*DATA!$D$23)/1000000)+((E31*DATA!$D$24)/1000000)</f>
        <v>47.511359999999996</v>
      </c>
      <c r="M31" s="274">
        <f t="shared" si="2"/>
        <v>47.511359999999996</v>
      </c>
      <c r="N31" s="274">
        <f t="shared" ca="1" si="6"/>
        <v>-5.3192835251067407</v>
      </c>
      <c r="O31" s="273">
        <f>1/(1+'[87]Asumsi I'!$C$3)^(KKF!A31)</f>
        <v>6.5882103338524081E-2</v>
      </c>
      <c r="P31" s="274">
        <f t="shared" ca="1" si="7"/>
        <v>-0.35044558688799093</v>
      </c>
      <c r="Q31" s="274">
        <f ca="1">Q30+P31</f>
        <v>-113.75716314393409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45120</v>
      </c>
      <c r="D32" s="274">
        <f t="shared" si="5"/>
        <v>7520</v>
      </c>
      <c r="E32" s="274">
        <f t="shared" si="0"/>
        <v>37600</v>
      </c>
      <c r="F32" s="272"/>
      <c r="G32" s="276">
        <f ca="1">DATA!$D$11/1000000</f>
        <v>2.8143177081200004</v>
      </c>
      <c r="H32" s="276">
        <f>C32*DATA!$D$5/1000000</f>
        <v>48.915722070402673</v>
      </c>
      <c r="I32" s="276">
        <f>(C32*DATA!$D$5*DATA!$D$7)/1000000</f>
        <v>1.1006037465840601</v>
      </c>
      <c r="J32" s="274">
        <f t="shared" ca="1" si="1"/>
        <v>52.830643525106737</v>
      </c>
      <c r="K32" s="272"/>
      <c r="L32" s="274">
        <f>((D32*DATA!$D$23)/1000000)+((E32*DATA!$D$24)/1000000)</f>
        <v>47.511359999999996</v>
      </c>
      <c r="M32" s="274">
        <f t="shared" si="2"/>
        <v>47.511359999999996</v>
      </c>
      <c r="N32" s="274">
        <f t="shared" ca="1" si="6"/>
        <v>-5.3192835251067407</v>
      </c>
      <c r="O32" s="273">
        <f>1/(1+'[87]Asumsi I'!$C$3)^(KKF!A32)</f>
        <v>5.8823306552253637E-2</v>
      </c>
      <c r="P32" s="274">
        <f t="shared" ca="1" si="7"/>
        <v>-0.31289784543570615</v>
      </c>
      <c r="Q32" s="274">
        <f ca="1">Q31+P32</f>
        <v>-114.07006098936979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5" t="s">
        <v>1373</v>
      </c>
      <c r="G33" s="585"/>
      <c r="H33" s="585"/>
      <c r="I33" s="282"/>
      <c r="J33" s="283">
        <f ca="1">SUM(J7:J32)</f>
        <v>1497.6405084531136</v>
      </c>
      <c r="K33" s="585" t="s">
        <v>1374</v>
      </c>
      <c r="L33" s="585"/>
      <c r="M33" s="283">
        <f>SUM(M7:M32)</f>
        <v>1292.3082399999994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-33.251549666530551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0.86289615745957737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-101.84826874050871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2"/>
  <sheetViews>
    <sheetView showGridLines="0" zoomScale="85" zoomScaleNormal="85" zoomScaleSheetLayoutView="70" workbookViewId="0">
      <pane ySplit="13" topLeftCell="A17" activePane="bottomLeft" state="frozen"/>
      <selection activeCell="H1093" sqref="H1093"/>
      <selection pane="bottomLeft" activeCell="G7" sqref="G7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608" t="s">
        <v>1035</v>
      </c>
      <c r="P3" s="608"/>
      <c r="Q3" s="304"/>
      <c r="T3" s="302"/>
      <c r="U3" s="303" t="s">
        <v>1040</v>
      </c>
      <c r="V3" s="302"/>
    </row>
    <row r="4" spans="1:22" ht="15.75" customHeight="1">
      <c r="B4" s="609" t="s">
        <v>1022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592" t="str">
        <f>DATA!D14</f>
        <v>CHARLIE HOSPITAL</v>
      </c>
      <c r="H6" s="592"/>
      <c r="I6" s="592"/>
      <c r="J6" s="592"/>
      <c r="K6" s="592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JL BUYARAN-GUNTUR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11" t="s">
        <v>0</v>
      </c>
      <c r="C11" s="613" t="s">
        <v>1</v>
      </c>
      <c r="D11" s="602" t="s">
        <v>42</v>
      </c>
      <c r="E11" s="602" t="s">
        <v>43</v>
      </c>
      <c r="F11" s="602" t="s">
        <v>2</v>
      </c>
      <c r="G11" s="616" t="s">
        <v>41</v>
      </c>
      <c r="H11" s="602" t="s">
        <v>3</v>
      </c>
      <c r="I11" s="602"/>
      <c r="J11" s="602"/>
      <c r="K11" s="603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12"/>
      <c r="C12" s="614"/>
      <c r="D12" s="606"/>
      <c r="E12" s="606"/>
      <c r="F12" s="606"/>
      <c r="G12" s="617"/>
      <c r="H12" s="604" t="s">
        <v>46</v>
      </c>
      <c r="I12" s="604" t="s">
        <v>5</v>
      </c>
      <c r="J12" s="606" t="s">
        <v>47</v>
      </c>
      <c r="K12" s="607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12"/>
      <c r="C13" s="615"/>
      <c r="D13" s="606"/>
      <c r="E13" s="606"/>
      <c r="F13" s="606"/>
      <c r="G13" s="618"/>
      <c r="H13" s="605"/>
      <c r="I13" s="605"/>
      <c r="J13" s="606"/>
      <c r="K13" s="607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1611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" ca="1" si="4">IF(OR(D15="MDU",D15="MDU-KD"),(IF($O$3="RAB NON MDU","PLN KD",G15*F15)),0)</f>
        <v>0</v>
      </c>
      <c r="I15" s="317">
        <f t="shared" ref="I15" ca="1" si="5">IF(D15="HDW",G15*F15,0)</f>
        <v>0</v>
      </c>
      <c r="J15" s="317">
        <f t="shared" ref="J15" ca="1" si="6">IF(D15="JASA",G15*F15,0)</f>
        <v>0</v>
      </c>
      <c r="K15" s="318">
        <f t="shared" ref="K15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1" customFormat="1" ht="15.75" customHeight="1">
      <c r="A16" s="294"/>
      <c r="B16" s="433">
        <v>1</v>
      </c>
      <c r="C16" s="109" t="s">
        <v>104</v>
      </c>
      <c r="D16" s="314" t="str">
        <f ca="1">IF(ISERROR(OFFSET('HARGA SATUAN'!$D$6,MATCH(RAB!C16,'HARGA SATUAN'!$C$7:$C$1492,0),0)),"",OFFSET('HARGA SATUAN'!$D$6,MATCH(RAB!C16,'HARGA SATUAN'!$C$7:$C$1492,0),0))</f>
        <v>HDW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v>1</v>
      </c>
      <c r="G16" s="316">
        <f ca="1">IF(ISERROR(OFFSET('HARGA SATUAN'!$I$6,MATCH(RAB!C16,'HARGA SATUAN'!$C$7:$C$1492,0),0)),0,OFFSET('HARGA SATUAN'!$I$6,MATCH(RAB!C16,'HARGA SATUAN'!$C$7:$C$1492,0),0))</f>
        <v>6074400</v>
      </c>
      <c r="H16" s="317">
        <f t="shared" ref="H16:H20" ca="1" si="8">IF(OR(D16="MDU",D16="MDU-KD"),(IF($O$3="RAB NON MDU","PLN KD",G16*F16)),0)</f>
        <v>0</v>
      </c>
      <c r="I16" s="317">
        <f t="shared" ref="I16:I20" ca="1" si="9">IF(D16="HDW",G16*F16,0)</f>
        <v>6074400</v>
      </c>
      <c r="J16" s="317">
        <f t="shared" ref="J16:J20" ca="1" si="10">IF(D16="JASA",G16*F16,0)</f>
        <v>0</v>
      </c>
      <c r="K16" s="318">
        <f t="shared" ref="K16:K20" ca="1" si="11">SUM(H16:J16)</f>
        <v>6074400</v>
      </c>
      <c r="L16" s="300"/>
      <c r="M16" s="300"/>
      <c r="N16" s="300"/>
      <c r="O16" s="319"/>
      <c r="P16" s="319"/>
      <c r="Q16" s="302"/>
      <c r="R16" s="294"/>
      <c r="S16" s="320"/>
      <c r="T16" s="299"/>
      <c r="U16" s="299"/>
      <c r="V16" s="299"/>
    </row>
    <row r="17" spans="1:22" s="321" customFormat="1" ht="15.75" customHeight="1">
      <c r="A17" s="294"/>
      <c r="B17" s="433">
        <v>2</v>
      </c>
      <c r="C17" s="109" t="s">
        <v>6</v>
      </c>
      <c r="D17" s="314" t="str">
        <f ca="1">IF(ISERROR(OFFSET('HARGA SATUAN'!$D$6,MATCH(RAB!C17,'HARGA SATUAN'!$C$7:$C$1492,0),0)),"",OFFSET('HARGA SATUAN'!$D$6,MATCH(RAB!C17,'HARGA SATUAN'!$C$7:$C$1492,0),0))</f>
        <v>JASA</v>
      </c>
      <c r="E17" s="315" t="str">
        <f ca="1">IF(B17="+","Unit",IF(ISERROR(OFFSET('HARGA SATUAN'!$E$6,MATCH(RAB!C17,'HARGA SATUAN'!$C$7:$C$1492,0),0)),"",OFFSET('HARGA SATUAN'!$E$6,MATCH(RAB!C17,'HARGA SATUAN'!$C$7:$C$1492,0),0)))</f>
        <v>Btg</v>
      </c>
      <c r="F17" s="322">
        <v>1</v>
      </c>
      <c r="G17" s="316">
        <f ca="1">IF(ISERROR(OFFSET('HARGA SATUAN'!$I$6,MATCH(RAB!C17,'HARGA SATUAN'!$C$7:$C$1492,0),0)),0,OFFSET('HARGA SATUAN'!$I$6,MATCH(RAB!C17,'HARGA SATUAN'!$C$7:$C$1492,0),0))</f>
        <v>10066.666666666668</v>
      </c>
      <c r="H17" s="317">
        <f t="shared" ca="1" si="8"/>
        <v>0</v>
      </c>
      <c r="I17" s="317">
        <f t="shared" ca="1" si="9"/>
        <v>0</v>
      </c>
      <c r="J17" s="317">
        <f t="shared" ca="1" si="10"/>
        <v>10066.666666666668</v>
      </c>
      <c r="K17" s="318">
        <f t="shared" ca="1" si="11"/>
        <v>10066.666666666668</v>
      </c>
      <c r="L17" s="300"/>
      <c r="M17" s="300"/>
      <c r="N17" s="300"/>
      <c r="O17" s="319"/>
      <c r="P17" s="319"/>
      <c r="Q17" s="302"/>
      <c r="R17" s="294"/>
      <c r="S17" s="320"/>
      <c r="T17" s="299"/>
      <c r="U17" s="299"/>
      <c r="V17" s="299"/>
    </row>
    <row r="18" spans="1:22" s="321" customFormat="1" ht="15.75" customHeight="1">
      <c r="A18" s="294"/>
      <c r="B18" s="433"/>
      <c r="C18" s="109"/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ca="1" si="8"/>
        <v>0</v>
      </c>
      <c r="I18" s="317">
        <f t="shared" ca="1" si="9"/>
        <v>0</v>
      </c>
      <c r="J18" s="317">
        <f t="shared" ca="1" si="10"/>
        <v>0</v>
      </c>
      <c r="K18" s="318">
        <f t="shared" ca="1" si="11"/>
        <v>0</v>
      </c>
      <c r="L18" s="300"/>
      <c r="M18" s="300"/>
      <c r="N18" s="300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 t="e">
        <f>IF(AND(C19=0,#REF!=0,#REF!=0),"BLANKS",1)</f>
        <v>#REF!</v>
      </c>
      <c r="B19" s="437" t="s">
        <v>1610</v>
      </c>
      <c r="C19" s="438" t="s">
        <v>1608</v>
      </c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ca="1" si="8"/>
        <v>0</v>
      </c>
      <c r="I19" s="317">
        <f t="shared" ca="1" si="9"/>
        <v>0</v>
      </c>
      <c r="J19" s="317">
        <f t="shared" ca="1" si="10"/>
        <v>0</v>
      </c>
      <c r="K19" s="318">
        <f t="shared" ca="1" si="11"/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37"/>
      <c r="C20" s="438"/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322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ca="1" si="8"/>
        <v>0</v>
      </c>
      <c r="I20" s="317">
        <f t="shared" ca="1" si="9"/>
        <v>0</v>
      </c>
      <c r="J20" s="317">
        <f t="shared" ca="1" si="10"/>
        <v>0</v>
      </c>
      <c r="K20" s="318">
        <f t="shared" ca="1" si="11"/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694" t="s">
        <v>1034</v>
      </c>
      <c r="C21" s="695" t="s">
        <v>1620</v>
      </c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>Unit</v>
      </c>
      <c r="F21" s="434">
        <v>1</v>
      </c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ref="H21" ca="1" si="12">IF(OR(D21="MDU",D21="MDU-KD"),(IF($O$3="RAB NON MDU","PLN KD",G21*F21)),0)</f>
        <v>0</v>
      </c>
      <c r="I21" s="317">
        <f t="shared" ref="I21" ca="1" si="13">IF(D21="HDW",G21*F21,0)</f>
        <v>0</v>
      </c>
      <c r="J21" s="317">
        <f t="shared" ref="J21" ca="1" si="14">IF(D21="JASA",G21*F21,0)</f>
        <v>0</v>
      </c>
      <c r="K21" s="318">
        <f t="shared" ref="K21" ca="1" si="15">SUM(H21:J21)</f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694">
        <v>1</v>
      </c>
      <c r="C22" s="109" t="s">
        <v>1147</v>
      </c>
      <c r="D22" s="314" t="str">
        <f ca="1">IF(ISERROR(OFFSET('HARGA SATUAN'!$D$6,MATCH(RAB!C22,'HARGA SATUAN'!$C$7:$C$1492,0),0)),"",OFFSET('HARGA SATUAN'!$D$6,MATCH(RAB!C22,'HARGA SATUAN'!$C$7:$C$1492,0),0))</f>
        <v>MDU-KD</v>
      </c>
      <c r="E22" s="315" t="str">
        <f ca="1">IF(B22="+","Unit",IF(ISERROR(OFFSET('HARGA SATUAN'!$E$6,MATCH(RAB!C22,'HARGA SATUAN'!$C$7:$C$1492,0),0)),"",OFFSET('HARGA SATUAN'!$E$6,MATCH(RAB!C22,'HARGA SATUAN'!$C$7:$C$1492,0),0)))</f>
        <v>Bh</v>
      </c>
      <c r="F22" s="434">
        <f>F21*1</f>
        <v>1</v>
      </c>
      <c r="G22" s="316">
        <f ca="1">IF(ISERROR(OFFSET('HARGA SATUAN'!$I$6,MATCH(RAB!C22,'HARGA SATUAN'!$C$7:$C$1492,0),0)),0,OFFSET('HARGA SATUAN'!$I$6,MATCH(RAB!C22,'HARGA SATUAN'!$C$7:$C$1492,0),0))</f>
        <v>77674900</v>
      </c>
      <c r="H22" s="317">
        <f t="shared" ref="H22:H54" ca="1" si="16">IF(OR(D22="MDU",D22="MDU-KD"),(IF($O$3="RAB NON MDU","PLN KD",G22*F22)),0)</f>
        <v>77674900</v>
      </c>
      <c r="I22" s="317">
        <f t="shared" ref="I22:I54" ca="1" si="17">IF(D22="HDW",G22*F22,0)</f>
        <v>0</v>
      </c>
      <c r="J22" s="317">
        <f t="shared" ref="J22:J54" ca="1" si="18">IF(D22="JASA",G22*F22,0)</f>
        <v>0</v>
      </c>
      <c r="K22" s="318">
        <f t="shared" ref="K22:K54" ca="1" si="19">SUM(H22:J22)</f>
        <v>77674900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89">
        <v>2</v>
      </c>
      <c r="C23" s="696" t="s">
        <v>1621</v>
      </c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697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16"/>
        <v>0</v>
      </c>
      <c r="I23" s="317">
        <f t="shared" ca="1" si="17"/>
        <v>0</v>
      </c>
      <c r="J23" s="317">
        <f t="shared" ca="1" si="18"/>
        <v>0</v>
      </c>
      <c r="K23" s="318">
        <f t="shared" ca="1" si="19"/>
        <v>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694"/>
      <c r="C24" s="696" t="s">
        <v>65</v>
      </c>
      <c r="D24" s="314" t="str">
        <f ca="1">IF(ISERROR(OFFSET('HARGA SATUAN'!$D$6,MATCH(RAB!C24,'HARGA SATUAN'!$C$7:$C$1492,0),0)),"",OFFSET('HARGA SATUAN'!$D$6,MATCH(RAB!C24,'HARGA SATUAN'!$C$7:$C$1492,0),0))</f>
        <v>MDU-KD</v>
      </c>
      <c r="E24" s="315" t="str">
        <f ca="1">IF(B24="+","Unit",IF(ISERROR(OFFSET('HARGA SATUAN'!$E$6,MATCH(RAB!C24,'HARGA SATUAN'!$C$7:$C$1492,0),0)),"",OFFSET('HARGA SATUAN'!$E$6,MATCH(RAB!C24,'HARGA SATUAN'!$C$7:$C$1492,0),0)))</f>
        <v>Mtr</v>
      </c>
      <c r="F24" s="434">
        <f>F21*(3*3)</f>
        <v>9</v>
      </c>
      <c r="G24" s="316">
        <f ca="1">IF(ISERROR(OFFSET('HARGA SATUAN'!$I$6,MATCH(RAB!C24,'HARGA SATUAN'!$C$7:$C$1492,0),0)),0,OFFSET('HARGA SATUAN'!$I$6,MATCH(RAB!C24,'HARGA SATUAN'!$C$7:$C$1492,0),0))</f>
        <v>14200</v>
      </c>
      <c r="H24" s="317">
        <f t="shared" ca="1" si="16"/>
        <v>127800</v>
      </c>
      <c r="I24" s="317">
        <f t="shared" ca="1" si="17"/>
        <v>0</v>
      </c>
      <c r="J24" s="317">
        <f t="shared" ca="1" si="18"/>
        <v>0</v>
      </c>
      <c r="K24" s="318">
        <f t="shared" ca="1" si="19"/>
        <v>127800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694"/>
      <c r="C25" s="109" t="s">
        <v>1457</v>
      </c>
      <c r="D25" s="314" t="str">
        <f ca="1">IF(ISERROR(OFFSET('HARGA SATUAN'!$D$6,MATCH(RAB!C25,'HARGA SATUAN'!$C$7:$C$1492,0),0)),"",OFFSET('HARGA SATUAN'!$D$6,MATCH(RAB!C25,'HARGA SATUAN'!$C$7:$C$1492,0),0))</f>
        <v>MDU-KD</v>
      </c>
      <c r="E25" s="315" t="str">
        <f ca="1">IF(B25="+","Unit",IF(ISERROR(OFFSET('HARGA SATUAN'!$E$6,MATCH(RAB!C25,'HARGA SATUAN'!$C$7:$C$1492,0),0)),"",OFFSET('HARGA SATUAN'!$E$6,MATCH(RAB!C25,'HARGA SATUAN'!$C$7:$C$1492,0),0)))</f>
        <v>Mtr</v>
      </c>
      <c r="F25" s="434">
        <f>F21*3</f>
        <v>3</v>
      </c>
      <c r="G25" s="316">
        <f ca="1">IF(ISERROR(OFFSET('HARGA SATUAN'!$I$6,MATCH(RAB!C25,'HARGA SATUAN'!$C$7:$C$1492,0),0)),0,OFFSET('HARGA SATUAN'!$I$6,MATCH(RAB!C25,'HARGA SATUAN'!$C$7:$C$1492,0),0))</f>
        <v>54500</v>
      </c>
      <c r="H25" s="317">
        <f t="shared" ca="1" si="16"/>
        <v>163500</v>
      </c>
      <c r="I25" s="317">
        <f t="shared" ca="1" si="17"/>
        <v>0</v>
      </c>
      <c r="J25" s="317">
        <f t="shared" ca="1" si="18"/>
        <v>0</v>
      </c>
      <c r="K25" s="318">
        <f t="shared" ca="1" si="19"/>
        <v>163500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694">
        <v>3</v>
      </c>
      <c r="C26" s="109" t="s">
        <v>558</v>
      </c>
      <c r="D26" s="698" t="s">
        <v>1624</v>
      </c>
      <c r="E26" s="315" t="str">
        <f ca="1">IF(B26="+","Unit",IF(ISERROR(OFFSET('HARGA SATUAN'!$E$6,MATCH(RAB!C26,'HARGA SATUAN'!$C$7:$C$1492,0),0)),"",OFFSET('HARGA SATUAN'!$E$6,MATCH(RAB!C26,'HARGA SATUAN'!$C$7:$C$1492,0),0)))</f>
        <v>Bh</v>
      </c>
      <c r="F26" s="434">
        <f>F21*3</f>
        <v>3</v>
      </c>
      <c r="G26" s="316">
        <f ca="1">IF(ISERROR(OFFSET('HARGA SATUAN'!$I$6,MATCH(RAB!C26,'HARGA SATUAN'!$C$7:$C$1492,0),0)),0,OFFSET('HARGA SATUAN'!$I$6,MATCH(RAB!C26,'HARGA SATUAN'!$C$7:$C$1492,0),0))</f>
        <v>725900</v>
      </c>
      <c r="H26" s="317">
        <f t="shared" si="16"/>
        <v>0</v>
      </c>
      <c r="I26" s="317">
        <f t="shared" si="17"/>
        <v>0</v>
      </c>
      <c r="J26" s="317">
        <f t="shared" si="18"/>
        <v>0</v>
      </c>
      <c r="K26" s="318">
        <f t="shared" si="19"/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694">
        <v>4</v>
      </c>
      <c r="C27" s="695" t="s">
        <v>534</v>
      </c>
      <c r="D27" s="314" t="str">
        <f ca="1">IF(ISERROR(OFFSET('HARGA SATUAN'!$D$6,MATCH(RAB!C27,'HARGA SATUAN'!$C$7:$C$1492,0),0)),"",OFFSET('HARGA SATUAN'!$D$6,MATCH(RAB!C27,'HARGA SATUAN'!$C$7:$C$1492,0),0))</f>
        <v>MDU-KD</v>
      </c>
      <c r="E27" s="315" t="str">
        <f ca="1">IF(B27="+","Unit",IF(ISERROR(OFFSET('HARGA SATUAN'!$E$6,MATCH(RAB!C27,'HARGA SATUAN'!$C$7:$C$1492,0),0)),"",OFFSET('HARGA SATUAN'!$E$6,MATCH(RAB!C27,'HARGA SATUAN'!$C$7:$C$1492,0),0)))</f>
        <v>Bh</v>
      </c>
      <c r="F27" s="434">
        <f>F21*3</f>
        <v>3</v>
      </c>
      <c r="G27" s="316">
        <f ca="1">IF(ISERROR(OFFSET('HARGA SATUAN'!$I$6,MATCH(RAB!C27,'HARGA SATUAN'!$C$7:$C$1492,0),0)),0,OFFSET('HARGA SATUAN'!$I$6,MATCH(RAB!C27,'HARGA SATUAN'!$C$7:$C$1492,0),0))</f>
        <v>848250</v>
      </c>
      <c r="H27" s="317">
        <f t="shared" ca="1" si="16"/>
        <v>2544750</v>
      </c>
      <c r="I27" s="317">
        <f t="shared" ca="1" si="17"/>
        <v>0</v>
      </c>
      <c r="J27" s="317">
        <f t="shared" ca="1" si="18"/>
        <v>0</v>
      </c>
      <c r="K27" s="318">
        <f t="shared" ca="1" si="19"/>
        <v>2544750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694">
        <v>5</v>
      </c>
      <c r="C28" s="695" t="s">
        <v>55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34">
        <f>F21*3</f>
        <v>3</v>
      </c>
      <c r="G28" s="316">
        <f ca="1">IF(ISERROR(OFFSET('HARGA SATUAN'!$I$6,MATCH(RAB!C28,'HARGA SATUAN'!$C$7:$C$1492,0),0)),0,OFFSET('HARGA SATUAN'!$I$6,MATCH(RAB!C28,'HARGA SATUAN'!$C$7:$C$1492,0),0))</f>
        <v>18000</v>
      </c>
      <c r="H28" s="317">
        <f t="shared" ca="1" si="16"/>
        <v>0</v>
      </c>
      <c r="I28" s="317">
        <f t="shared" ca="1" si="17"/>
        <v>54000</v>
      </c>
      <c r="J28" s="317">
        <f t="shared" ca="1" si="18"/>
        <v>0</v>
      </c>
      <c r="K28" s="318">
        <f t="shared" ca="1" si="19"/>
        <v>54000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694">
        <v>6</v>
      </c>
      <c r="C29" s="109" t="s">
        <v>1564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34">
        <f>F21*13</f>
        <v>13</v>
      </c>
      <c r="G29" s="316">
        <f ca="1">IF(ISERROR(OFFSET('HARGA SATUAN'!$I$6,MATCH(RAB!C29,'HARGA SATUAN'!$C$7:$C$1492,0),0)),0,OFFSET('HARGA SATUAN'!$I$6,MATCH(RAB!C29,'HARGA SATUAN'!$C$7:$C$1492,0),0))</f>
        <v>49000</v>
      </c>
      <c r="H29" s="317">
        <f t="shared" ca="1" si="16"/>
        <v>0</v>
      </c>
      <c r="I29" s="317">
        <f t="shared" ca="1" si="17"/>
        <v>637000</v>
      </c>
      <c r="J29" s="317">
        <f t="shared" ca="1" si="18"/>
        <v>0</v>
      </c>
      <c r="K29" s="318">
        <f t="shared" ca="1" si="19"/>
        <v>637000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694">
        <v>7</v>
      </c>
      <c r="C30" s="695" t="s">
        <v>163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Bh</v>
      </c>
      <c r="F30" s="434">
        <f>F21*28</f>
        <v>28</v>
      </c>
      <c r="G30" s="316">
        <f ca="1">IF(ISERROR(OFFSET('HARGA SATUAN'!$I$6,MATCH(RAB!C30,'HARGA SATUAN'!$C$7:$C$1492,0),0)),0,OFFSET('HARGA SATUAN'!$I$6,MATCH(RAB!C30,'HARGA SATUAN'!$C$7:$C$1492,0),0))</f>
        <v>7938</v>
      </c>
      <c r="H30" s="317">
        <f t="shared" ca="1" si="16"/>
        <v>0</v>
      </c>
      <c r="I30" s="317">
        <f t="shared" ca="1" si="17"/>
        <v>222264</v>
      </c>
      <c r="J30" s="317">
        <f t="shared" ca="1" si="18"/>
        <v>0</v>
      </c>
      <c r="K30" s="318">
        <f t="shared" ca="1" si="19"/>
        <v>222264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694">
        <v>8</v>
      </c>
      <c r="C31" s="695" t="s">
        <v>176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34">
        <f>F21*2</f>
        <v>2</v>
      </c>
      <c r="G31" s="316">
        <f ca="1">IF(ISERROR(OFFSET('HARGA SATUAN'!$I$6,MATCH(RAB!C31,'HARGA SATUAN'!$C$7:$C$1492,0),0)),0,OFFSET('HARGA SATUAN'!$I$6,MATCH(RAB!C31,'HARGA SATUAN'!$C$7:$C$1492,0),0))</f>
        <v>404600</v>
      </c>
      <c r="H31" s="317">
        <f t="shared" ca="1" si="16"/>
        <v>0</v>
      </c>
      <c r="I31" s="317">
        <f t="shared" ca="1" si="17"/>
        <v>809200</v>
      </c>
      <c r="J31" s="317">
        <f t="shared" ca="1" si="18"/>
        <v>0</v>
      </c>
      <c r="K31" s="318">
        <f t="shared" ca="1" si="19"/>
        <v>809200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694">
        <v>9</v>
      </c>
      <c r="C32" s="695" t="s">
        <v>184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Bh</v>
      </c>
      <c r="F32" s="434">
        <f>F21*3</f>
        <v>3</v>
      </c>
      <c r="G32" s="316">
        <f ca="1">IF(ISERROR(OFFSET('HARGA SATUAN'!$I$6,MATCH(RAB!C32,'HARGA SATUAN'!$C$7:$C$1492,0),0)),0,OFFSET('HARGA SATUAN'!$I$6,MATCH(RAB!C32,'HARGA SATUAN'!$C$7:$C$1492,0),0))</f>
        <v>15900</v>
      </c>
      <c r="H32" s="317">
        <f t="shared" ca="1" si="16"/>
        <v>0</v>
      </c>
      <c r="I32" s="317">
        <f t="shared" ca="1" si="17"/>
        <v>47700</v>
      </c>
      <c r="J32" s="317">
        <f t="shared" ca="1" si="18"/>
        <v>0</v>
      </c>
      <c r="K32" s="318">
        <f t="shared" ca="1" si="19"/>
        <v>47700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694">
        <v>10</v>
      </c>
      <c r="C33" s="695" t="s">
        <v>592</v>
      </c>
      <c r="D33" s="314" t="str">
        <f ca="1">IF(ISERROR(OFFSET('HARGA SATUAN'!$D$6,MATCH(RAB!C33,'HARGA SATUAN'!$C$7:$C$1492,0),0)),"",OFFSET('HARGA SATUAN'!$D$6,MATCH(RAB!C33,'HARGA SATUAN'!$C$7:$C$1492,0),0))</f>
        <v>HDW</v>
      </c>
      <c r="E33" s="315" t="str">
        <f ca="1">IF(B33="+","Unit",IF(ISERROR(OFFSET('HARGA SATUAN'!$E$6,MATCH(RAB!C33,'HARGA SATUAN'!$C$7:$C$1492,0),0)),"",OFFSET('HARGA SATUAN'!$E$6,MATCH(RAB!C33,'HARGA SATUAN'!$C$7:$C$1492,0),0)))</f>
        <v>Bh</v>
      </c>
      <c r="F33" s="434">
        <f>F21*5</f>
        <v>5</v>
      </c>
      <c r="G33" s="316">
        <f ca="1">IF(ISERROR(OFFSET('HARGA SATUAN'!$I$6,MATCH(RAB!C33,'HARGA SATUAN'!$C$7:$C$1492,0),0)),0,OFFSET('HARGA SATUAN'!$I$6,MATCH(RAB!C33,'HARGA SATUAN'!$C$7:$C$1492,0),0))</f>
        <v>380500</v>
      </c>
      <c r="H33" s="317">
        <f t="shared" ca="1" si="16"/>
        <v>0</v>
      </c>
      <c r="I33" s="317">
        <f t="shared" ca="1" si="17"/>
        <v>1902500</v>
      </c>
      <c r="J33" s="317">
        <f t="shared" ca="1" si="18"/>
        <v>0</v>
      </c>
      <c r="K33" s="318">
        <f t="shared" ca="1" si="19"/>
        <v>1902500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694">
        <v>11</v>
      </c>
      <c r="C34" s="695" t="s">
        <v>593</v>
      </c>
      <c r="D34" s="314" t="str">
        <f ca="1">IF(ISERROR(OFFSET('HARGA SATUAN'!$D$6,MATCH(RAB!C34,'HARGA SATUAN'!$C$7:$C$1492,0),0)),"",OFFSET('HARGA SATUAN'!$D$6,MATCH(RAB!C34,'HARGA SATUAN'!$C$7:$C$1492,0),0))</f>
        <v>HDW</v>
      </c>
      <c r="E34" s="315" t="str">
        <f ca="1">IF(B34="+","Unit",IF(ISERROR(OFFSET('HARGA SATUAN'!$E$6,MATCH(RAB!C34,'HARGA SATUAN'!$C$7:$C$1492,0),0)),"",OFFSET('HARGA SATUAN'!$E$6,MATCH(RAB!C34,'HARGA SATUAN'!$C$7:$C$1492,0),0)))</f>
        <v>Bh</v>
      </c>
      <c r="F34" s="434">
        <f>F21*4</f>
        <v>4</v>
      </c>
      <c r="G34" s="316">
        <f ca="1">IF(ISERROR(OFFSET('HARGA SATUAN'!$I$6,MATCH(RAB!C34,'HARGA SATUAN'!$C$7:$C$1492,0),0)),0,OFFSET('HARGA SATUAN'!$I$6,MATCH(RAB!C34,'HARGA SATUAN'!$C$7:$C$1492,0),0))</f>
        <v>559200</v>
      </c>
      <c r="H34" s="317">
        <f t="shared" ca="1" si="16"/>
        <v>0</v>
      </c>
      <c r="I34" s="317">
        <f t="shared" ca="1" si="17"/>
        <v>2236800</v>
      </c>
      <c r="J34" s="317">
        <f t="shared" ca="1" si="18"/>
        <v>0</v>
      </c>
      <c r="K34" s="318">
        <f t="shared" ca="1" si="19"/>
        <v>2236800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694">
        <v>12</v>
      </c>
      <c r="C35" s="695" t="s">
        <v>208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Bh</v>
      </c>
      <c r="F35" s="434">
        <f>F21*3</f>
        <v>3</v>
      </c>
      <c r="G35" s="316">
        <f ca="1">IF(ISERROR(OFFSET('HARGA SATUAN'!$I$6,MATCH(RAB!C35,'HARGA SATUAN'!$C$7:$C$1492,0),0)),0,OFFSET('HARGA SATUAN'!$I$6,MATCH(RAB!C35,'HARGA SATUAN'!$C$7:$C$1492,0),0))</f>
        <v>173400</v>
      </c>
      <c r="H35" s="317">
        <f t="shared" ca="1" si="16"/>
        <v>0</v>
      </c>
      <c r="I35" s="317">
        <f t="shared" ca="1" si="17"/>
        <v>520200</v>
      </c>
      <c r="J35" s="317">
        <f t="shared" ca="1" si="18"/>
        <v>0</v>
      </c>
      <c r="K35" s="318">
        <f t="shared" ca="1" si="19"/>
        <v>520200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694">
        <v>13</v>
      </c>
      <c r="C36" s="695" t="s">
        <v>247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34">
        <f>F21*2</f>
        <v>2</v>
      </c>
      <c r="G36" s="316">
        <f ca="1">IF(ISERROR(OFFSET('HARGA SATUAN'!$I$6,MATCH(RAB!C36,'HARGA SATUAN'!$C$7:$C$1492,0),0)),0,OFFSET('HARGA SATUAN'!$I$6,MATCH(RAB!C36,'HARGA SATUAN'!$C$7:$C$1492,0),0))</f>
        <v>57690</v>
      </c>
      <c r="H36" s="317">
        <f t="shared" ca="1" si="16"/>
        <v>0</v>
      </c>
      <c r="I36" s="317">
        <f t="shared" ca="1" si="17"/>
        <v>115380</v>
      </c>
      <c r="J36" s="317">
        <f t="shared" ca="1" si="18"/>
        <v>0</v>
      </c>
      <c r="K36" s="318">
        <f t="shared" ca="1" si="19"/>
        <v>115380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694">
        <v>14</v>
      </c>
      <c r="C37" s="695" t="s">
        <v>248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434">
        <f>F21*2</f>
        <v>2</v>
      </c>
      <c r="G37" s="316">
        <f ca="1">IF(ISERROR(OFFSET('HARGA SATUAN'!$I$6,MATCH(RAB!C37,'HARGA SATUAN'!$C$7:$C$1492,0),0)),0,OFFSET('HARGA SATUAN'!$I$6,MATCH(RAB!C37,'HARGA SATUAN'!$C$7:$C$1492,0),0))</f>
        <v>60300</v>
      </c>
      <c r="H37" s="317">
        <f t="shared" ca="1" si="16"/>
        <v>0</v>
      </c>
      <c r="I37" s="317">
        <f t="shared" ca="1" si="17"/>
        <v>120600</v>
      </c>
      <c r="J37" s="317">
        <f t="shared" ca="1" si="18"/>
        <v>0</v>
      </c>
      <c r="K37" s="318">
        <f t="shared" ca="1" si="19"/>
        <v>120600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694">
        <v>15</v>
      </c>
      <c r="C38" s="695" t="s">
        <v>267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434">
        <f>F21*4</f>
        <v>4</v>
      </c>
      <c r="G38" s="316">
        <f ca="1">IF(ISERROR(OFFSET('HARGA SATUAN'!$I$6,MATCH(RAB!C38,'HARGA SATUAN'!$C$7:$C$1492,0),0)),0,OFFSET('HARGA SATUAN'!$I$6,MATCH(RAB!C38,'HARGA SATUAN'!$C$7:$C$1492,0),0))</f>
        <v>129000</v>
      </c>
      <c r="H38" s="317">
        <f t="shared" ca="1" si="16"/>
        <v>0</v>
      </c>
      <c r="I38" s="317">
        <f t="shared" ca="1" si="17"/>
        <v>516000</v>
      </c>
      <c r="J38" s="317">
        <f t="shared" ca="1" si="18"/>
        <v>0</v>
      </c>
      <c r="K38" s="318">
        <f t="shared" ca="1" si="19"/>
        <v>516000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694">
        <v>16</v>
      </c>
      <c r="C39" s="695" t="s">
        <v>786</v>
      </c>
      <c r="D39" s="314" t="str">
        <f ca="1">IF(ISERROR(OFFSET('HARGA SATUAN'!$D$6,MATCH(RAB!C39,'HARGA SATUAN'!$C$7:$C$1492,0),0)),"",OFFSET('HARGA SATUAN'!$D$6,MATCH(RAB!C39,'HARGA SATUAN'!$C$7:$C$1492,0),0))</f>
        <v>JASA</v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34">
        <f>F21*1</f>
        <v>1</v>
      </c>
      <c r="G39" s="316">
        <f ca="1">IF(ISERROR(OFFSET('HARGA SATUAN'!$I$6,MATCH(RAB!C39,'HARGA SATUAN'!$C$7:$C$1492,0),0)),0,OFFSET('HARGA SATUAN'!$I$6,MATCH(RAB!C39,'HARGA SATUAN'!$C$7:$C$1492,0),0))</f>
        <v>3784400</v>
      </c>
      <c r="H39" s="317">
        <f t="shared" ca="1" si="16"/>
        <v>0</v>
      </c>
      <c r="I39" s="317">
        <f t="shared" ca="1" si="17"/>
        <v>0</v>
      </c>
      <c r="J39" s="317">
        <f t="shared" ca="1" si="18"/>
        <v>3784400</v>
      </c>
      <c r="K39" s="318">
        <f t="shared" ca="1" si="19"/>
        <v>3784400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37">
        <v>17</v>
      </c>
      <c r="C40" s="695" t="s">
        <v>963</v>
      </c>
      <c r="D40" s="314" t="str">
        <f ca="1">IF(ISERROR(OFFSET('HARGA SATUAN'!$D$6,MATCH(RAB!C40,'HARGA SATUAN'!$C$7:$C$1492,0),0)),"",OFFSET('HARGA SATUAN'!$D$6,MATCH(RAB!C40,'HARGA SATUAN'!$C$7:$C$1492,0),0))</f>
        <v>JASA</v>
      </c>
      <c r="E40" s="315" t="str">
        <f ca="1">IF(B40="+","Unit",IF(ISERROR(OFFSET('HARGA SATUAN'!$E$6,MATCH(RAB!C40,'HARGA SATUAN'!$C$7:$C$1492,0),0)),"",OFFSET('HARGA SATUAN'!$E$6,MATCH(RAB!C40,'HARGA SATUAN'!$C$7:$C$1492,0),0)))</f>
        <v>Unit</v>
      </c>
      <c r="F40" s="322">
        <v>1</v>
      </c>
      <c r="G40" s="316">
        <f ca="1">IF(ISERROR(OFFSET('HARGA SATUAN'!$I$6,MATCH(RAB!C40,'HARGA SATUAN'!$C$7:$C$1492,0),0)),0,OFFSET('HARGA SATUAN'!$I$6,MATCH(RAB!C40,'HARGA SATUAN'!$C$7:$C$1492,0),0))</f>
        <v>709680</v>
      </c>
      <c r="H40" s="317">
        <f t="shared" ca="1" si="16"/>
        <v>0</v>
      </c>
      <c r="I40" s="317">
        <f t="shared" ca="1" si="17"/>
        <v>0</v>
      </c>
      <c r="J40" s="317">
        <f t="shared" ca="1" si="18"/>
        <v>709680</v>
      </c>
      <c r="K40" s="318">
        <f t="shared" ca="1" si="19"/>
        <v>709680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37"/>
      <c r="C41" s="695"/>
      <c r="D41" s="314"/>
      <c r="E41" s="315"/>
      <c r="F41" s="322"/>
      <c r="G41" s="316"/>
      <c r="H41" s="317"/>
      <c r="I41" s="317"/>
      <c r="J41" s="317"/>
      <c r="K41" s="318"/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89" t="s">
        <v>1034</v>
      </c>
      <c r="C42" s="490" t="s">
        <v>1622</v>
      </c>
      <c r="D42" s="314" t="str">
        <f ca="1">IF(ISERROR(OFFSET('HARGA SATUAN'!$D$6,MATCH(RAB!C42,'HARGA SATUAN'!$C$7:$C$1492,0),0)),"",OFFSET('HARGA SATUAN'!$D$6,MATCH(RAB!C42,'HARGA SATUAN'!$C$7:$C$1492,0),0))</f>
        <v/>
      </c>
      <c r="E42" s="315" t="str">
        <f ca="1">IF(B42="+","Unit",IF(ISERROR(OFFSET('HARGA SATUAN'!$E$6,MATCH(RAB!C42,'HARGA SATUAN'!$C$7:$C$1492,0),0)),"",OFFSET('HARGA SATUAN'!$E$6,MATCH(RAB!C42,'HARGA SATUAN'!$C$7:$C$1492,0),0)))</f>
        <v>Unit</v>
      </c>
      <c r="F42" s="434">
        <v>1</v>
      </c>
      <c r="G42" s="316">
        <f ca="1">IF(ISERROR(OFFSET('HARGA SATUAN'!$I$6,MATCH(RAB!C42,'HARGA SATUAN'!$C$7:$C$1492,0),0)),0,OFFSET('HARGA SATUAN'!$I$6,MATCH(RAB!C42,'HARGA SATUAN'!$C$7:$C$1492,0),0))</f>
        <v>0</v>
      </c>
      <c r="H42" s="317">
        <f t="shared" ca="1" si="16"/>
        <v>0</v>
      </c>
      <c r="I42" s="317">
        <f t="shared" ca="1" si="17"/>
        <v>0</v>
      </c>
      <c r="J42" s="317">
        <f t="shared" ca="1" si="18"/>
        <v>0</v>
      </c>
      <c r="K42" s="318">
        <f t="shared" ca="1" si="19"/>
        <v>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89">
        <v>1</v>
      </c>
      <c r="C43" s="491" t="s">
        <v>29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434">
        <f>F42*1</f>
        <v>1</v>
      </c>
      <c r="G43" s="316">
        <f ca="1">IF(ISERROR(OFFSET('HARGA SATUAN'!$I$6,MATCH(RAB!C43,'HARGA SATUAN'!$C$7:$C$1492,0),0)),0,OFFSET('HARGA SATUAN'!$I$6,MATCH(RAB!C43,'HARGA SATUAN'!$C$7:$C$1492,0),0))</f>
        <v>185200</v>
      </c>
      <c r="H43" s="317">
        <f t="shared" ca="1" si="16"/>
        <v>0</v>
      </c>
      <c r="I43" s="317">
        <f t="shared" ca="1" si="17"/>
        <v>185200</v>
      </c>
      <c r="J43" s="317">
        <f t="shared" ca="1" si="18"/>
        <v>0</v>
      </c>
      <c r="K43" s="318">
        <f t="shared" ca="1" si="19"/>
        <v>185200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694">
        <v>2</v>
      </c>
      <c r="C44" s="695" t="s">
        <v>30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34">
        <f>F42*1</f>
        <v>1</v>
      </c>
      <c r="G44" s="316">
        <f ca="1">IF(ISERROR(OFFSET('HARGA SATUAN'!$I$6,MATCH(RAB!C44,'HARGA SATUAN'!$C$7:$C$1492,0),0)),0,OFFSET('HARGA SATUAN'!$I$6,MATCH(RAB!C44,'HARGA SATUAN'!$C$7:$C$1492,0),0))</f>
        <v>47459</v>
      </c>
      <c r="H44" s="317">
        <f t="shared" ca="1" si="16"/>
        <v>0</v>
      </c>
      <c r="I44" s="317">
        <f t="shared" ca="1" si="17"/>
        <v>47459</v>
      </c>
      <c r="J44" s="317">
        <f t="shared" ca="1" si="18"/>
        <v>0</v>
      </c>
      <c r="K44" s="318">
        <f t="shared" ca="1" si="19"/>
        <v>47459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694">
        <v>3</v>
      </c>
      <c r="C45" s="695" t="s">
        <v>31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Bh</v>
      </c>
      <c r="F45" s="434">
        <f>F42*1</f>
        <v>1</v>
      </c>
      <c r="G45" s="316">
        <f ca="1">IF(ISERROR(OFFSET('HARGA SATUAN'!$I$6,MATCH(RAB!C45,'HARGA SATUAN'!$C$7:$C$1492,0),0)),0,OFFSET('HARGA SATUAN'!$I$6,MATCH(RAB!C45,'HARGA SATUAN'!$C$7:$C$1492,0),0))</f>
        <v>4880</v>
      </c>
      <c r="H45" s="317">
        <f t="shared" ca="1" si="16"/>
        <v>0</v>
      </c>
      <c r="I45" s="317">
        <f t="shared" ca="1" si="17"/>
        <v>4880</v>
      </c>
      <c r="J45" s="317">
        <f t="shared" ca="1" si="18"/>
        <v>0</v>
      </c>
      <c r="K45" s="318">
        <f t="shared" ca="1" si="19"/>
        <v>4880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694">
        <v>4</v>
      </c>
      <c r="C46" s="695" t="s">
        <v>32</v>
      </c>
      <c r="D46" s="698" t="s">
        <v>1624</v>
      </c>
      <c r="E46" s="315" t="str">
        <f ca="1">IF(B46="+","Unit",IF(ISERROR(OFFSET('HARGA SATUAN'!$E$6,MATCH(RAB!C46,'HARGA SATUAN'!$C$7:$C$1492,0),0)),"",OFFSET('HARGA SATUAN'!$E$6,MATCH(RAB!C46,'HARGA SATUAN'!$C$7:$C$1492,0),0)))</f>
        <v>Mtr</v>
      </c>
      <c r="F46" s="434">
        <f>F42*10</f>
        <v>10</v>
      </c>
      <c r="G46" s="316">
        <f ca="1">IF(ISERROR(OFFSET('HARGA SATUAN'!$I$6,MATCH(RAB!C46,'HARGA SATUAN'!$C$7:$C$1492,0),0)),0,OFFSET('HARGA SATUAN'!$I$6,MATCH(RAB!C46,'HARGA SATUAN'!$C$7:$C$1492,0),0))</f>
        <v>30000</v>
      </c>
      <c r="H46" s="317">
        <f t="shared" si="16"/>
        <v>0</v>
      </c>
      <c r="I46" s="317">
        <f t="shared" si="17"/>
        <v>0</v>
      </c>
      <c r="J46" s="317">
        <f t="shared" si="18"/>
        <v>0</v>
      </c>
      <c r="K46" s="318">
        <f t="shared" si="19"/>
        <v>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694">
        <v>5</v>
      </c>
      <c r="C47" s="695" t="s">
        <v>33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Bh</v>
      </c>
      <c r="F47" s="434">
        <f>F42*2</f>
        <v>2</v>
      </c>
      <c r="G47" s="316">
        <f ca="1">IF(ISERROR(OFFSET('HARGA SATUAN'!$I$6,MATCH(RAB!C47,'HARGA SATUAN'!$C$7:$C$1492,0),0)),0,OFFSET('HARGA SATUAN'!$I$6,MATCH(RAB!C47,'HARGA SATUAN'!$C$7:$C$1492,0),0))</f>
        <v>9500</v>
      </c>
      <c r="H47" s="317">
        <f t="shared" ca="1" si="16"/>
        <v>0</v>
      </c>
      <c r="I47" s="317">
        <f t="shared" ca="1" si="17"/>
        <v>19000</v>
      </c>
      <c r="J47" s="317">
        <f t="shared" ca="1" si="18"/>
        <v>0</v>
      </c>
      <c r="K47" s="318">
        <f t="shared" ca="1" si="19"/>
        <v>19000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694">
        <v>6</v>
      </c>
      <c r="C48" s="695" t="s">
        <v>34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434">
        <f>F42*5.5</f>
        <v>5.5</v>
      </c>
      <c r="G48" s="316">
        <f ca="1">IF(ISERROR(OFFSET('HARGA SATUAN'!$I$6,MATCH(RAB!C48,'HARGA SATUAN'!$C$7:$C$1492,0),0)),0,OFFSET('HARGA SATUAN'!$I$6,MATCH(RAB!C48,'HARGA SATUAN'!$C$7:$C$1492,0),0))</f>
        <v>6100</v>
      </c>
      <c r="H48" s="317">
        <f t="shared" ca="1" si="16"/>
        <v>0</v>
      </c>
      <c r="I48" s="317">
        <f t="shared" ca="1" si="17"/>
        <v>33550</v>
      </c>
      <c r="J48" s="317">
        <f t="shared" ca="1" si="18"/>
        <v>0</v>
      </c>
      <c r="K48" s="318">
        <f t="shared" ca="1" si="19"/>
        <v>33550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694">
        <v>7</v>
      </c>
      <c r="C49" s="695" t="s">
        <v>35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Bh</v>
      </c>
      <c r="F49" s="434">
        <f>F42*6</f>
        <v>6</v>
      </c>
      <c r="G49" s="316">
        <f ca="1">IF(ISERROR(OFFSET('HARGA SATUAN'!$I$6,MATCH(RAB!C49,'HARGA SATUAN'!$C$7:$C$1492,0),0)),0,OFFSET('HARGA SATUAN'!$I$6,MATCH(RAB!C49,'HARGA SATUAN'!$C$7:$C$1492,0),0))</f>
        <v>2300</v>
      </c>
      <c r="H49" s="317">
        <f t="shared" ca="1" si="16"/>
        <v>0</v>
      </c>
      <c r="I49" s="317">
        <f t="shared" ca="1" si="17"/>
        <v>13800</v>
      </c>
      <c r="J49" s="317">
        <f t="shared" ca="1" si="18"/>
        <v>0</v>
      </c>
      <c r="K49" s="318">
        <f t="shared" ca="1" si="19"/>
        <v>13800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 s="324" customFormat="1">
      <c r="A50" s="294"/>
      <c r="B50" s="694">
        <v>8</v>
      </c>
      <c r="C50" s="695" t="s">
        <v>1623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Mtr</v>
      </c>
      <c r="F50" s="434">
        <f>F42*4.8</f>
        <v>4.8</v>
      </c>
      <c r="G50" s="316">
        <f ca="1">IF(ISERROR(OFFSET('HARGA SATUAN'!$I$6,MATCH(RAB!C50,'HARGA SATUAN'!$C$7:$C$1492,0),0)),0,OFFSET('HARGA SATUAN'!$I$6,MATCH(RAB!C50,'HARGA SATUAN'!$C$7:$C$1492,0),0))</f>
        <v>23310</v>
      </c>
      <c r="H50" s="317">
        <f t="shared" ca="1" si="16"/>
        <v>0</v>
      </c>
      <c r="I50" s="317">
        <f t="shared" ca="1" si="17"/>
        <v>111888</v>
      </c>
      <c r="J50" s="317">
        <f t="shared" ca="1" si="18"/>
        <v>0</v>
      </c>
      <c r="K50" s="318">
        <f t="shared" ca="1" si="19"/>
        <v>111888</v>
      </c>
      <c r="L50" s="323"/>
      <c r="M50" s="323"/>
      <c r="N50" s="323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/>
      <c r="B51" s="694">
        <v>9</v>
      </c>
      <c r="C51" s="695" t="s">
        <v>735</v>
      </c>
      <c r="D51" s="314" t="str">
        <f ca="1">IF(ISERROR(OFFSET('HARGA SATUAN'!$D$6,MATCH(RAB!C51,'HARGA SATUAN'!$C$7:$C$1492,0),0)),"",OFFSET('HARGA SATUAN'!$D$6,MATCH(RAB!C51,'HARGA SATUAN'!$C$7:$C$1492,0),0))</f>
        <v>JASA</v>
      </c>
      <c r="E51" s="315" t="str">
        <f ca="1">IF(B51="+","Unit",IF(ISERROR(OFFSET('HARGA SATUAN'!$E$6,MATCH(RAB!C51,'HARGA SATUAN'!$C$7:$C$1492,0),0)),"",OFFSET('HARGA SATUAN'!$E$6,MATCH(RAB!C51,'HARGA SATUAN'!$C$7:$C$1492,0),0)))</f>
        <v>Unit</v>
      </c>
      <c r="F51" s="434">
        <f>F42*1</f>
        <v>1</v>
      </c>
      <c r="G51" s="316">
        <f ca="1">IF(ISERROR(OFFSET('HARGA SATUAN'!$I$6,MATCH(RAB!C51,'HARGA SATUAN'!$C$7:$C$1492,0),0)),0,OFFSET('HARGA SATUAN'!$I$6,MATCH(RAB!C51,'HARGA SATUAN'!$C$7:$C$1492,0),0))</f>
        <v>65400</v>
      </c>
      <c r="H51" s="317">
        <f t="shared" ca="1" si="16"/>
        <v>0</v>
      </c>
      <c r="I51" s="317">
        <f t="shared" ca="1" si="17"/>
        <v>0</v>
      </c>
      <c r="J51" s="317">
        <f t="shared" ca="1" si="18"/>
        <v>65400</v>
      </c>
      <c r="K51" s="318">
        <f t="shared" ca="1" si="19"/>
        <v>65400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694"/>
      <c r="C52" s="695"/>
      <c r="D52" s="314"/>
      <c r="E52" s="315"/>
      <c r="F52" s="434"/>
      <c r="G52" s="316"/>
      <c r="H52" s="317"/>
      <c r="I52" s="317"/>
      <c r="J52" s="317"/>
      <c r="K52" s="318"/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437" t="s">
        <v>1616</v>
      </c>
      <c r="C53" s="438" t="s">
        <v>1612</v>
      </c>
      <c r="D53" s="314" t="str">
        <f ca="1">IF(ISERROR(OFFSET('HARGA SATUAN'!$D$6,MATCH(RAB!C53,'HARGA SATUAN'!$C$7:$C$1492,0),0)),"",OFFSET('HARGA SATUAN'!$D$6,MATCH(RAB!C53,'HARGA SATUAN'!$C$7:$C$1492,0),0))</f>
        <v/>
      </c>
      <c r="E53" s="315" t="str">
        <f ca="1">IF(B53="+","Unit",IF(ISERROR(OFFSET('HARGA SATUAN'!$E$6,MATCH(RAB!C53,'HARGA SATUAN'!$C$7:$C$1492,0),0)),"",OFFSET('HARGA SATUAN'!$E$6,MATCH(RAB!C53,'HARGA SATUAN'!$C$7:$C$1492,0),0)))</f>
        <v/>
      </c>
      <c r="F53" s="322"/>
      <c r="G53" s="316">
        <f ca="1">IF(ISERROR(OFFSET('HARGA SATUAN'!$I$6,MATCH(RAB!C53,'HARGA SATUAN'!$C$7:$C$1492,0),0)),0,OFFSET('HARGA SATUAN'!$I$6,MATCH(RAB!C53,'HARGA SATUAN'!$C$7:$C$1492,0),0))</f>
        <v>0</v>
      </c>
      <c r="H53" s="317">
        <f t="shared" ca="1" si="16"/>
        <v>0</v>
      </c>
      <c r="I53" s="317">
        <f t="shared" ca="1" si="17"/>
        <v>0</v>
      </c>
      <c r="J53" s="317">
        <f t="shared" ca="1" si="18"/>
        <v>0</v>
      </c>
      <c r="K53" s="318">
        <f t="shared" ca="1" si="19"/>
        <v>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437"/>
      <c r="C54" s="438"/>
      <c r="D54" s="314" t="str">
        <f ca="1">IF(ISERROR(OFFSET('HARGA SATUAN'!$D$6,MATCH(RAB!C54,'HARGA SATUAN'!$C$7:$C$1492,0),0)),"",OFFSET('HARGA SATUAN'!$D$6,MATCH(RAB!C54,'HARGA SATUAN'!$C$7:$C$1492,0),0))</f>
        <v/>
      </c>
      <c r="E54" s="315" t="str">
        <f ca="1">IF(B54="+","Unit",IF(ISERROR(OFFSET('HARGA SATUAN'!$E$6,MATCH(RAB!C54,'HARGA SATUAN'!$C$7:$C$1492,0),0)),"",OFFSET('HARGA SATUAN'!$E$6,MATCH(RAB!C54,'HARGA SATUAN'!$C$7:$C$1492,0),0)))</f>
        <v/>
      </c>
      <c r="F54" s="322"/>
      <c r="G54" s="316">
        <f ca="1">IF(ISERROR(OFFSET('HARGA SATUAN'!$I$6,MATCH(RAB!C54,'HARGA SATUAN'!$C$7:$C$1492,0),0)),0,OFFSET('HARGA SATUAN'!$I$6,MATCH(RAB!C54,'HARGA SATUAN'!$C$7:$C$1492,0),0))</f>
        <v>0</v>
      </c>
      <c r="H54" s="317">
        <f t="shared" ca="1" si="16"/>
        <v>0</v>
      </c>
      <c r="I54" s="317">
        <f t="shared" ca="1" si="17"/>
        <v>0</v>
      </c>
      <c r="J54" s="317">
        <f t="shared" ca="1" si="18"/>
        <v>0</v>
      </c>
      <c r="K54" s="318">
        <f t="shared" ca="1" si="19"/>
        <v>0</v>
      </c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37" t="s">
        <v>1617</v>
      </c>
      <c r="C55" s="438" t="s">
        <v>1609</v>
      </c>
      <c r="D55" s="314" t="str">
        <f ca="1">IF(ISERROR(OFFSET('HARGA SATUAN'!$D$6,MATCH(RAB!C55,'HARGA SATUAN'!$C$7:$C$1492,0),0)),"",OFFSET('HARGA SATUAN'!$D$6,MATCH(RAB!C55,'HARGA SATUAN'!$C$7:$C$1492,0),0))</f>
        <v/>
      </c>
      <c r="E55" s="315" t="str">
        <f ca="1">IF(B55="+","Unit",IF(ISERROR(OFFSET('HARGA SATUAN'!$E$6,MATCH(RAB!C55,'HARGA SATUAN'!$C$7:$C$1492,0),0)),"",OFFSET('HARGA SATUAN'!$E$6,MATCH(RAB!C55,'HARGA SATUAN'!$C$7:$C$1492,0),0)))</f>
        <v/>
      </c>
      <c r="F55" s="322"/>
      <c r="G55" s="316">
        <f ca="1">IF(ISERROR(OFFSET('HARGA SATUAN'!$I$6,MATCH(RAB!C55,'HARGA SATUAN'!$C$7:$C$1492,0),0)),0,OFFSET('HARGA SATUAN'!$I$6,MATCH(RAB!C55,'HARGA SATUAN'!$C$7:$C$1492,0),0))</f>
        <v>0</v>
      </c>
      <c r="H55" s="317">
        <f t="shared" ref="H55:H56" ca="1" si="20">IF(OR(D55="MDU",D55="MDU-KD"),(IF($O$3="RAB NON MDU","PLN KD",G55*F55)),0)</f>
        <v>0</v>
      </c>
      <c r="I55" s="317">
        <f t="shared" ref="I55:I56" ca="1" si="21">IF(D55="HDW",G55*F55,0)</f>
        <v>0</v>
      </c>
      <c r="J55" s="317">
        <f t="shared" ref="J55:J56" ca="1" si="22">IF(D55="JASA",G55*F55,0)</f>
        <v>0</v>
      </c>
      <c r="K55" s="318">
        <f t="shared" ref="K55:K56" ca="1" si="23">SUM(H55:J55)</f>
        <v>0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439"/>
      <c r="C56" s="440"/>
      <c r="D56" s="314" t="str">
        <f ca="1">IF(ISERROR(OFFSET('HARGA SATUAN'!$D$6,MATCH(RAB!C56,'HARGA SATUAN'!$C$7:$C$1492,0),0)),"",OFFSET('HARGA SATUAN'!$D$6,MATCH(RAB!C56,'HARGA SATUAN'!$C$7:$C$1492,0),0))</f>
        <v/>
      </c>
      <c r="E56" s="315" t="str">
        <f ca="1">IF(B56="+","Unit",IF(ISERROR(OFFSET('HARGA SATUAN'!$E$6,MATCH(RAB!C56,'HARGA SATUAN'!$C$7:$C$1492,0),0)),"",OFFSET('HARGA SATUAN'!$E$6,MATCH(RAB!C56,'HARGA SATUAN'!$C$7:$C$1492,0),0)))</f>
        <v/>
      </c>
      <c r="F56" s="322"/>
      <c r="G56" s="316">
        <f ca="1">IF(ISERROR(OFFSET('HARGA SATUAN'!$I$6,MATCH(RAB!C56,'HARGA SATUAN'!$C$7:$C$1492,0),0)),0,OFFSET('HARGA SATUAN'!$I$6,MATCH(RAB!C56,'HARGA SATUAN'!$C$7:$C$1492,0),0))</f>
        <v>0</v>
      </c>
      <c r="H56" s="317">
        <f t="shared" ca="1" si="20"/>
        <v>0</v>
      </c>
      <c r="I56" s="317">
        <f t="shared" ca="1" si="21"/>
        <v>0</v>
      </c>
      <c r="J56" s="317">
        <f t="shared" ca="1" si="22"/>
        <v>0</v>
      </c>
      <c r="K56" s="318">
        <f t="shared" ca="1" si="23"/>
        <v>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435" t="s">
        <v>1034</v>
      </c>
      <c r="C57" s="436" t="s">
        <v>1625</v>
      </c>
      <c r="D57" s="314" t="str">
        <f ca="1">IF(ISERROR(OFFSET('HARGA SATUAN'!$D$6,MATCH(RAB!C57,'HARGA SATUAN'!$C$7:$C$1492,0),0)),"",OFFSET('HARGA SATUAN'!$D$6,MATCH(RAB!C57,'HARGA SATUAN'!$C$7:$C$1492,0),0))</f>
        <v/>
      </c>
      <c r="E57" s="315" t="str">
        <f ca="1">IF(B57="+","Unit",IF(ISERROR(OFFSET('HARGA SATUAN'!$E$6,MATCH(RAB!C57,'HARGA SATUAN'!$C$7:$C$1492,0),0)),"",OFFSET('HARGA SATUAN'!$E$6,MATCH(RAB!C57,'HARGA SATUAN'!$C$7:$C$1492,0),0)))</f>
        <v>Unit</v>
      </c>
      <c r="F57" s="700">
        <v>1</v>
      </c>
      <c r="G57" s="316">
        <f ca="1">IF(ISERROR(OFFSET('HARGA SATUAN'!$I$6,MATCH(RAB!C57,'HARGA SATUAN'!$C$7:$C$1492,0),0)),0,OFFSET('HARGA SATUAN'!$I$6,MATCH(RAB!C57,'HARGA SATUAN'!$C$7:$C$1492,0),0))</f>
        <v>0</v>
      </c>
      <c r="H57" s="317">
        <f t="shared" ref="H57:H63" ca="1" si="24">IF(OR(D57="MDU",D57="MDU-KD"),(IF($O$3="RAB NON MDU","PLN KD",G57*F57)),0)</f>
        <v>0</v>
      </c>
      <c r="I57" s="317">
        <f t="shared" ref="I57:I63" ca="1" si="25">IF(D57="HDW",G57*F57,0)</f>
        <v>0</v>
      </c>
      <c r="J57" s="317">
        <f t="shared" ref="J57:J63" ca="1" si="26">IF(D57="JASA",G57*F57,0)</f>
        <v>0</v>
      </c>
      <c r="K57" s="318">
        <f t="shared" ref="K57:K63" ca="1" si="27">SUM(H57:J57)</f>
        <v>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 ht="30">
      <c r="A58" s="294"/>
      <c r="B58" s="694">
        <v>1</v>
      </c>
      <c r="C58" s="109" t="s">
        <v>1195</v>
      </c>
      <c r="D58" s="314" t="str">
        <f ca="1">IF(ISERROR(OFFSET('HARGA SATUAN'!$D$6,MATCH(RAB!C58,'HARGA SATUAN'!$C$7:$C$1492,0),0)),"",OFFSET('HARGA SATUAN'!$D$6,MATCH(RAB!C58,'HARGA SATUAN'!$C$7:$C$1492,0),0))</f>
        <v>MDU-KD</v>
      </c>
      <c r="E58" s="315" t="str">
        <f ca="1">IF(B58="+","Unit",IF(ISERROR(OFFSET('HARGA SATUAN'!$E$6,MATCH(RAB!C58,'HARGA SATUAN'!$C$7:$C$1492,0),0)),"",OFFSET('HARGA SATUAN'!$E$6,MATCH(RAB!C58,'HARGA SATUAN'!$C$7:$C$1492,0),0)))</f>
        <v>Bh</v>
      </c>
      <c r="F58" s="700">
        <f>F57*1</f>
        <v>1</v>
      </c>
      <c r="G58" s="316">
        <f ca="1">IF(ISERROR(OFFSET('HARGA SATUAN'!$I$6,MATCH(RAB!C58,'HARGA SATUAN'!$C$7:$C$1492,0),0)),0,OFFSET('HARGA SATUAN'!$I$6,MATCH(RAB!C58,'HARGA SATUAN'!$C$7:$C$1492,0),0))</f>
        <v>1504200</v>
      </c>
      <c r="H58" s="317">
        <f t="shared" ca="1" si="24"/>
        <v>1504200</v>
      </c>
      <c r="I58" s="317">
        <f t="shared" ca="1" si="25"/>
        <v>0</v>
      </c>
      <c r="J58" s="317">
        <f t="shared" ca="1" si="26"/>
        <v>0</v>
      </c>
      <c r="K58" s="318">
        <f t="shared" ca="1" si="27"/>
        <v>1504200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694">
        <v>2</v>
      </c>
      <c r="C59" s="699" t="s">
        <v>519</v>
      </c>
      <c r="D59" s="314" t="str">
        <f ca="1">IF(ISERROR(OFFSET('HARGA SATUAN'!$D$6,MATCH(RAB!C59,'HARGA SATUAN'!$C$7:$C$1492,0),0)),"",OFFSET('HARGA SATUAN'!$D$6,MATCH(RAB!C59,'HARGA SATUAN'!$C$7:$C$1492,0),0))</f>
        <v>MDU-KD</v>
      </c>
      <c r="E59" s="315" t="str">
        <f ca="1">IF(B59="+","Unit",IF(ISERROR(OFFSET('HARGA SATUAN'!$E$6,MATCH(RAB!C59,'HARGA SATUAN'!$C$7:$C$1492,0),0)),"",OFFSET('HARGA SATUAN'!$E$6,MATCH(RAB!C59,'HARGA SATUAN'!$C$7:$C$1492,0),0)))</f>
        <v>Unit</v>
      </c>
      <c r="F59" s="700">
        <f>F57*1</f>
        <v>1</v>
      </c>
      <c r="G59" s="316">
        <f ca="1">IF(ISERROR(OFFSET('HARGA SATUAN'!$I$6,MATCH(RAB!C59,'HARGA SATUAN'!$C$7:$C$1492,0),0)),0,OFFSET('HARGA SATUAN'!$I$6,MATCH(RAB!C59,'HARGA SATUAN'!$C$7:$C$1492,0),0))</f>
        <v>14975400</v>
      </c>
      <c r="H59" s="317">
        <f t="shared" ca="1" si="24"/>
        <v>14975400</v>
      </c>
      <c r="I59" s="317">
        <f t="shared" ca="1" si="25"/>
        <v>0</v>
      </c>
      <c r="J59" s="317">
        <f t="shared" ca="1" si="26"/>
        <v>0</v>
      </c>
      <c r="K59" s="318">
        <f t="shared" ca="1" si="27"/>
        <v>14975400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 s="324" customFormat="1">
      <c r="A60" s="294"/>
      <c r="B60" s="694">
        <v>3</v>
      </c>
      <c r="C60" s="699" t="s">
        <v>1141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Unit</v>
      </c>
      <c r="F60" s="700">
        <f>F57*1</f>
        <v>1</v>
      </c>
      <c r="G60" s="316">
        <f ca="1">IF(ISERROR(OFFSET('HARGA SATUAN'!$I$6,MATCH(RAB!C60,'HARGA SATUAN'!$C$7:$C$1492,0),0)),0,OFFSET('HARGA SATUAN'!$I$6,MATCH(RAB!C60,'HARGA SATUAN'!$C$7:$C$1492,0),0))</f>
        <v>1113900</v>
      </c>
      <c r="H60" s="317">
        <f t="shared" ca="1" si="24"/>
        <v>0</v>
      </c>
      <c r="I60" s="317">
        <f t="shared" ca="1" si="25"/>
        <v>1113900</v>
      </c>
      <c r="J60" s="317">
        <f t="shared" ca="1" si="26"/>
        <v>0</v>
      </c>
      <c r="K60" s="318">
        <f t="shared" ca="1" si="27"/>
        <v>1113900</v>
      </c>
      <c r="L60" s="323"/>
      <c r="M60" s="323"/>
      <c r="N60" s="323"/>
      <c r="O60" s="319"/>
      <c r="P60" s="319"/>
      <c r="Q60" s="302"/>
      <c r="R60" s="294"/>
      <c r="S60" s="320"/>
      <c r="T60" s="299"/>
      <c r="U60" s="299"/>
      <c r="V60" s="299"/>
    </row>
    <row r="61" spans="1:22" s="324" customFormat="1">
      <c r="A61" s="294"/>
      <c r="B61" s="694">
        <v>4</v>
      </c>
      <c r="C61" s="109" t="s">
        <v>81</v>
      </c>
      <c r="D61" s="314" t="str">
        <f ca="1">IF(ISERROR(OFFSET('HARGA SATUAN'!$D$6,MATCH(RAB!C61,'HARGA SATUAN'!$C$7:$C$1492,0),0)),"",OFFSET('HARGA SATUAN'!$D$6,MATCH(RAB!C61,'HARGA SATUAN'!$C$7:$C$1492,0),0))</f>
        <v>MDU-KD</v>
      </c>
      <c r="E61" s="315" t="str">
        <f ca="1">IF(B61="+","Unit",IF(ISERROR(OFFSET('HARGA SATUAN'!$E$6,MATCH(RAB!C61,'HARGA SATUAN'!$C$7:$C$1492,0),0)),"",OFFSET('HARGA SATUAN'!$E$6,MATCH(RAB!C61,'HARGA SATUAN'!$C$7:$C$1492,0),0)))</f>
        <v>Mtr</v>
      </c>
      <c r="F61" s="700">
        <v>44</v>
      </c>
      <c r="G61" s="316">
        <f ca="1">IF(ISERROR(OFFSET('HARGA SATUAN'!$I$6,MATCH(RAB!C61,'HARGA SATUAN'!$C$7:$C$1492,0),0)),0,OFFSET('HARGA SATUAN'!$I$6,MATCH(RAB!C61,'HARGA SATUAN'!$C$7:$C$1492,0),0))</f>
        <v>140200</v>
      </c>
      <c r="H61" s="317">
        <f t="shared" ca="1" si="24"/>
        <v>6168800</v>
      </c>
      <c r="I61" s="317">
        <f t="shared" ca="1" si="25"/>
        <v>0</v>
      </c>
      <c r="J61" s="317">
        <f t="shared" ca="1" si="26"/>
        <v>0</v>
      </c>
      <c r="K61" s="318">
        <f t="shared" ca="1" si="27"/>
        <v>6168800</v>
      </c>
      <c r="L61" s="323"/>
      <c r="M61" s="323"/>
      <c r="N61" s="323"/>
      <c r="O61" s="319"/>
      <c r="P61" s="319"/>
      <c r="Q61" s="302"/>
      <c r="R61" s="294"/>
      <c r="S61" s="320"/>
      <c r="T61" s="299"/>
      <c r="U61" s="299"/>
      <c r="V61" s="299"/>
    </row>
    <row r="62" spans="1:22" s="324" customFormat="1">
      <c r="A62" s="294"/>
      <c r="B62" s="694">
        <v>5</v>
      </c>
      <c r="C62" s="699" t="s">
        <v>798</v>
      </c>
      <c r="D62" s="314" t="str">
        <f ca="1">IF(ISERROR(OFFSET('HARGA SATUAN'!$D$6,MATCH(RAB!C62,'HARGA SATUAN'!$C$7:$C$1492,0),0)),"",OFFSET('HARGA SATUAN'!$D$6,MATCH(RAB!C62,'HARGA SATUAN'!$C$7:$C$1492,0),0))</f>
        <v>JASA</v>
      </c>
      <c r="E62" s="315" t="str">
        <f ca="1">IF(B62="+","Unit",IF(ISERROR(OFFSET('HARGA SATUAN'!$E$6,MATCH(RAB!C62,'HARGA SATUAN'!$C$7:$C$1492,0),0)),"",OFFSET('HARGA SATUAN'!$E$6,MATCH(RAB!C62,'HARGA SATUAN'!$C$7:$C$1492,0),0)))</f>
        <v>Unit</v>
      </c>
      <c r="F62" s="700">
        <f>F57*1</f>
        <v>1</v>
      </c>
      <c r="G62" s="316">
        <f ca="1">IF(ISERROR(OFFSET('HARGA SATUAN'!$I$6,MATCH(RAB!C62,'HARGA SATUAN'!$C$7:$C$1492,0),0)),0,OFFSET('HARGA SATUAN'!$I$6,MATCH(RAB!C62,'HARGA SATUAN'!$C$7:$C$1492,0),0))</f>
        <v>106400</v>
      </c>
      <c r="H62" s="317">
        <f t="shared" ca="1" si="24"/>
        <v>0</v>
      </c>
      <c r="I62" s="317">
        <f t="shared" ca="1" si="25"/>
        <v>0</v>
      </c>
      <c r="J62" s="317">
        <f t="shared" ca="1" si="26"/>
        <v>106400</v>
      </c>
      <c r="K62" s="318">
        <f t="shared" ca="1" si="27"/>
        <v>106400</v>
      </c>
      <c r="L62" s="323"/>
      <c r="M62" s="323"/>
      <c r="N62" s="323"/>
      <c r="O62" s="319"/>
      <c r="P62" s="319"/>
      <c r="Q62" s="302"/>
      <c r="R62" s="294"/>
      <c r="S62" s="320"/>
      <c r="T62" s="299"/>
      <c r="U62" s="299"/>
      <c r="V62" s="299"/>
    </row>
    <row r="63" spans="1:22" s="324" customFormat="1">
      <c r="A63" s="294"/>
      <c r="B63" s="439">
        <v>6</v>
      </c>
      <c r="C63" s="442" t="s">
        <v>981</v>
      </c>
      <c r="D63" s="314" t="str">
        <f ca="1">IF(ISERROR(OFFSET('HARGA SATUAN'!$D$6,MATCH(RAB!C63,'HARGA SATUAN'!$C$7:$C$1492,0),0)),"",OFFSET('HARGA SATUAN'!$D$6,MATCH(RAB!C63,'HARGA SATUAN'!$C$7:$C$1492,0),0))</f>
        <v>JASA</v>
      </c>
      <c r="E63" s="315" t="str">
        <f ca="1">IF(B63="+","Unit",IF(ISERROR(OFFSET('HARGA SATUAN'!$E$6,MATCH(RAB!C63,'HARGA SATUAN'!$C$7:$C$1492,0),0)),"",OFFSET('HARGA SATUAN'!$E$6,MATCH(RAB!C63,'HARGA SATUAN'!$C$7:$C$1492,0),0)))</f>
        <v>Unit</v>
      </c>
      <c r="F63" s="434">
        <v>1</v>
      </c>
      <c r="G63" s="316">
        <f ca="1">IF(ISERROR(OFFSET('HARGA SATUAN'!$I$6,MATCH(RAB!C63,'HARGA SATUAN'!$C$7:$C$1492,0),0)),0,OFFSET('HARGA SATUAN'!$I$6,MATCH(RAB!C63,'HARGA SATUAN'!$C$7:$C$1492,0),0))</f>
        <v>63840</v>
      </c>
      <c r="H63" s="317">
        <f t="shared" ca="1" si="24"/>
        <v>0</v>
      </c>
      <c r="I63" s="317">
        <f t="shared" ca="1" si="25"/>
        <v>0</v>
      </c>
      <c r="J63" s="317">
        <f t="shared" ca="1" si="26"/>
        <v>63840</v>
      </c>
      <c r="K63" s="318">
        <f t="shared" ca="1" si="27"/>
        <v>63840</v>
      </c>
      <c r="L63" s="323"/>
      <c r="M63" s="323"/>
      <c r="N63" s="323"/>
      <c r="O63" s="319"/>
      <c r="P63" s="319"/>
      <c r="Q63" s="302"/>
      <c r="R63" s="294"/>
      <c r="S63" s="320"/>
      <c r="T63" s="299"/>
      <c r="U63" s="299"/>
      <c r="V63" s="299"/>
    </row>
    <row r="64" spans="1:22" s="324" customFormat="1">
      <c r="A64" s="294"/>
      <c r="B64" s="435"/>
      <c r="C64" s="436"/>
      <c r="D64" s="314" t="str">
        <f ca="1">IF(ISERROR(OFFSET('HARGA SATUAN'!$D$6,MATCH(RAB!C64,'HARGA SATUAN'!$C$7:$C$1492,0),0)),"",OFFSET('HARGA SATUAN'!$D$6,MATCH(RAB!C64,'HARGA SATUAN'!$C$7:$C$1492,0),0))</f>
        <v/>
      </c>
      <c r="E64" s="315" t="str">
        <f ca="1">IF(B64="+","Unit",IF(ISERROR(OFFSET('HARGA SATUAN'!$E$6,MATCH(RAB!C64,'HARGA SATUAN'!$C$7:$C$1492,0),0)),"",OFFSET('HARGA SATUAN'!$E$6,MATCH(RAB!C64,'HARGA SATUAN'!$C$7:$C$1492,0),0)))</f>
        <v/>
      </c>
      <c r="F64" s="441"/>
      <c r="G64" s="316">
        <f ca="1">IF(ISERROR(OFFSET('HARGA SATUAN'!$I$6,MATCH(RAB!C64,'HARGA SATUAN'!$C$7:$C$1492,0),0)),0,OFFSET('HARGA SATUAN'!$I$6,MATCH(RAB!C64,'HARGA SATUAN'!$C$7:$C$1492,0),0))</f>
        <v>0</v>
      </c>
      <c r="H64" s="317">
        <f t="shared" ref="H64:H81" ca="1" si="28">IF(OR(D64="MDU",D64="MDU-KD"),(IF($O$3="RAB NON MDU","PLN KD",G64*F64)),0)</f>
        <v>0</v>
      </c>
      <c r="I64" s="317">
        <f t="shared" ref="I64:I81" ca="1" si="29">IF(D64="HDW",G64*F64,0)</f>
        <v>0</v>
      </c>
      <c r="J64" s="317">
        <f t="shared" ref="J64:J81" ca="1" si="30">IF(D64="JASA",G64*F64,0)</f>
        <v>0</v>
      </c>
      <c r="K64" s="318">
        <f t="shared" ref="K64:K81" ca="1" si="31">SUM(H64:J64)</f>
        <v>0</v>
      </c>
      <c r="L64" s="323"/>
      <c r="M64" s="323"/>
      <c r="N64" s="323"/>
      <c r="O64" s="319"/>
      <c r="P64" s="319"/>
      <c r="Q64" s="302"/>
      <c r="R64" s="294"/>
      <c r="S64" s="320"/>
      <c r="T64" s="299"/>
      <c r="U64" s="299"/>
      <c r="V64" s="299"/>
    </row>
    <row r="65" spans="1:22" s="324" customFormat="1">
      <c r="A65" s="294"/>
      <c r="B65" s="435" t="s">
        <v>504</v>
      </c>
      <c r="C65" s="436" t="s">
        <v>1618</v>
      </c>
      <c r="D65" s="314" t="str">
        <f ca="1">IF(ISERROR(OFFSET('HARGA SATUAN'!$D$6,MATCH(RAB!C65,'HARGA SATUAN'!$C$7:$C$1492,0),0)),"",OFFSET('HARGA SATUAN'!$D$6,MATCH(RAB!C65,'HARGA SATUAN'!$C$7:$C$1492,0),0))</f>
        <v/>
      </c>
      <c r="E65" s="315" t="str">
        <f ca="1">IF(B65="+","Unit",IF(ISERROR(OFFSET('HARGA SATUAN'!$E$6,MATCH(RAB!C65,'HARGA SATUAN'!$C$7:$C$1492,0),0)),"",OFFSET('HARGA SATUAN'!$E$6,MATCH(RAB!C65,'HARGA SATUAN'!$C$7:$C$1492,0),0)))</f>
        <v/>
      </c>
      <c r="F65" s="441"/>
      <c r="G65" s="316">
        <f ca="1">IF(ISERROR(OFFSET('HARGA SATUAN'!$I$6,MATCH(RAB!C65,'HARGA SATUAN'!$C$7:$C$1492,0),0)),0,OFFSET('HARGA SATUAN'!$I$6,MATCH(RAB!C65,'HARGA SATUAN'!$C$7:$C$1492,0),0))</f>
        <v>0</v>
      </c>
      <c r="H65" s="317">
        <f t="shared" ca="1" si="28"/>
        <v>0</v>
      </c>
      <c r="I65" s="317">
        <f t="shared" ca="1" si="29"/>
        <v>0</v>
      </c>
      <c r="J65" s="317">
        <f t="shared" ca="1" si="30"/>
        <v>0</v>
      </c>
      <c r="K65" s="318">
        <f t="shared" ca="1" si="31"/>
        <v>0</v>
      </c>
      <c r="L65" s="323"/>
      <c r="M65" s="323"/>
      <c r="N65" s="323"/>
      <c r="O65" s="319"/>
      <c r="P65" s="319"/>
      <c r="Q65" s="302"/>
      <c r="R65" s="294"/>
      <c r="S65" s="320"/>
      <c r="T65" s="299"/>
      <c r="U65" s="299"/>
      <c r="V65" s="299"/>
    </row>
    <row r="66" spans="1:22" s="324" customFormat="1">
      <c r="A66" s="294"/>
      <c r="B66" s="694" t="s">
        <v>1034</v>
      </c>
      <c r="C66" s="699" t="s">
        <v>1626</v>
      </c>
      <c r="D66" s="314" t="str">
        <f ca="1">IF(ISERROR(OFFSET('HARGA SATUAN'!$D$6,MATCH(RAB!C66,'HARGA SATUAN'!$C$7:$C$1492,0),0)),"",OFFSET('HARGA SATUAN'!$D$6,MATCH(RAB!C66,'HARGA SATUAN'!$C$7:$C$1492,0),0))</f>
        <v/>
      </c>
      <c r="E66" s="315" t="str">
        <f ca="1">IF(B66="+","Unit",IF(ISERROR(OFFSET('HARGA SATUAN'!$E$6,MATCH(RAB!C66,'HARGA SATUAN'!$C$7:$C$1492,0),0)),"",OFFSET('HARGA SATUAN'!$E$6,MATCH(RAB!C66,'HARGA SATUAN'!$C$7:$C$1492,0),0)))</f>
        <v>Unit</v>
      </c>
      <c r="F66" s="700">
        <v>1</v>
      </c>
      <c r="G66" s="316">
        <f ca="1">IF(ISERROR(OFFSET('HARGA SATUAN'!$I$6,MATCH(RAB!C66,'HARGA SATUAN'!$C$7:$C$1492,0),0)),0,OFFSET('HARGA SATUAN'!$I$6,MATCH(RAB!C66,'HARGA SATUAN'!$C$7:$C$1492,0),0))</f>
        <v>0</v>
      </c>
      <c r="H66" s="317">
        <f t="shared" ca="1" si="28"/>
        <v>0</v>
      </c>
      <c r="I66" s="317">
        <f t="shared" ca="1" si="29"/>
        <v>0</v>
      </c>
      <c r="J66" s="317">
        <f t="shared" ca="1" si="30"/>
        <v>0</v>
      </c>
      <c r="K66" s="318">
        <f t="shared" ca="1" si="31"/>
        <v>0</v>
      </c>
      <c r="L66" s="323"/>
      <c r="M66" s="323"/>
      <c r="N66" s="323"/>
      <c r="O66" s="319"/>
      <c r="P66" s="319"/>
      <c r="Q66" s="302"/>
      <c r="R66" s="294"/>
      <c r="S66" s="320"/>
      <c r="T66" s="299"/>
      <c r="U66" s="299"/>
      <c r="V66" s="299"/>
    </row>
    <row r="67" spans="1:22" s="324" customFormat="1">
      <c r="A67" s="294"/>
      <c r="B67" s="694">
        <v>1</v>
      </c>
      <c r="C67" s="699" t="s">
        <v>163</v>
      </c>
      <c r="D67" s="314" t="str">
        <f ca="1">IF(ISERROR(OFFSET('HARGA SATUAN'!$D$6,MATCH(RAB!C67,'HARGA SATUAN'!$C$7:$C$1492,0),0)),"",OFFSET('HARGA SATUAN'!$D$6,MATCH(RAB!C67,'HARGA SATUAN'!$C$7:$C$1492,0),0))</f>
        <v>HDW</v>
      </c>
      <c r="E67" s="315" t="str">
        <f ca="1">IF(B67="+","Unit",IF(ISERROR(OFFSET('HARGA SATUAN'!$E$6,MATCH(RAB!C67,'HARGA SATUAN'!$C$7:$C$1492,0),0)),"",OFFSET('HARGA SATUAN'!$E$6,MATCH(RAB!C67,'HARGA SATUAN'!$C$7:$C$1492,0),0)))</f>
        <v>Bh</v>
      </c>
      <c r="F67" s="700">
        <f>F66*4</f>
        <v>4</v>
      </c>
      <c r="G67" s="316">
        <f ca="1">IF(ISERROR(OFFSET('HARGA SATUAN'!$I$6,MATCH(RAB!C67,'HARGA SATUAN'!$C$7:$C$1492,0),0)),0,OFFSET('HARGA SATUAN'!$I$6,MATCH(RAB!C67,'HARGA SATUAN'!$C$7:$C$1492,0),0))</f>
        <v>7938</v>
      </c>
      <c r="H67" s="317">
        <f t="shared" ca="1" si="28"/>
        <v>0</v>
      </c>
      <c r="I67" s="317">
        <f t="shared" ca="1" si="29"/>
        <v>31752</v>
      </c>
      <c r="J67" s="317">
        <f t="shared" ca="1" si="30"/>
        <v>0</v>
      </c>
      <c r="K67" s="318">
        <f t="shared" ca="1" si="31"/>
        <v>31752</v>
      </c>
      <c r="L67" s="323"/>
      <c r="M67" s="323"/>
      <c r="N67" s="323"/>
      <c r="O67" s="319"/>
      <c r="P67" s="319"/>
      <c r="Q67" s="302"/>
      <c r="R67" s="294"/>
      <c r="S67" s="320"/>
      <c r="T67" s="299"/>
      <c r="U67" s="299"/>
      <c r="V67" s="299"/>
    </row>
    <row r="68" spans="1:22" s="324" customFormat="1">
      <c r="A68" s="294"/>
      <c r="B68" s="694">
        <v>2</v>
      </c>
      <c r="C68" s="699" t="s">
        <v>592</v>
      </c>
      <c r="D68" s="314" t="str">
        <f ca="1">IF(ISERROR(OFFSET('HARGA SATUAN'!$D$6,MATCH(RAB!C68,'HARGA SATUAN'!$C$7:$C$1492,0),0)),"",OFFSET('HARGA SATUAN'!$D$6,MATCH(RAB!C68,'HARGA SATUAN'!$C$7:$C$1492,0),0))</f>
        <v>HDW</v>
      </c>
      <c r="E68" s="315" t="str">
        <f ca="1">IF(B68="+","Unit",IF(ISERROR(OFFSET('HARGA SATUAN'!$E$6,MATCH(RAB!C68,'HARGA SATUAN'!$C$7:$C$1492,0),0)),"",OFFSET('HARGA SATUAN'!$E$6,MATCH(RAB!C68,'HARGA SATUAN'!$C$7:$C$1492,0),0)))</f>
        <v>Bh</v>
      </c>
      <c r="F68" s="700">
        <f>F66*1</f>
        <v>1</v>
      </c>
      <c r="G68" s="316">
        <f ca="1">IF(ISERROR(OFFSET('HARGA SATUAN'!$I$6,MATCH(RAB!C68,'HARGA SATUAN'!$C$7:$C$1492,0),0)),0,OFFSET('HARGA SATUAN'!$I$6,MATCH(RAB!C68,'HARGA SATUAN'!$C$7:$C$1492,0),0))</f>
        <v>380500</v>
      </c>
      <c r="H68" s="317">
        <f t="shared" ca="1" si="28"/>
        <v>0</v>
      </c>
      <c r="I68" s="317">
        <f t="shared" ca="1" si="29"/>
        <v>380500</v>
      </c>
      <c r="J68" s="317">
        <f t="shared" ca="1" si="30"/>
        <v>0</v>
      </c>
      <c r="K68" s="318">
        <f t="shared" ca="1" si="31"/>
        <v>380500</v>
      </c>
      <c r="L68" s="323"/>
      <c r="M68" s="323"/>
      <c r="N68" s="323"/>
      <c r="O68" s="319"/>
      <c r="P68" s="319"/>
      <c r="Q68" s="302"/>
      <c r="R68" s="294"/>
      <c r="S68" s="320"/>
      <c r="T68" s="299"/>
      <c r="U68" s="299"/>
      <c r="V68" s="299"/>
    </row>
    <row r="69" spans="1:22" s="324" customFormat="1">
      <c r="A69" s="294"/>
      <c r="B69" s="694">
        <v>3</v>
      </c>
      <c r="C69" s="699" t="s">
        <v>248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Bh</v>
      </c>
      <c r="F69" s="700">
        <f>F66*2</f>
        <v>2</v>
      </c>
      <c r="G69" s="316">
        <f ca="1">IF(ISERROR(OFFSET('HARGA SATUAN'!$I$6,MATCH(RAB!C69,'HARGA SATUAN'!$C$7:$C$1492,0),0)),0,OFFSET('HARGA SATUAN'!$I$6,MATCH(RAB!C69,'HARGA SATUAN'!$C$7:$C$1492,0),0))</f>
        <v>60300</v>
      </c>
      <c r="H69" s="317">
        <f t="shared" ca="1" si="28"/>
        <v>0</v>
      </c>
      <c r="I69" s="317">
        <f t="shared" ca="1" si="29"/>
        <v>120600</v>
      </c>
      <c r="J69" s="317">
        <f t="shared" ca="1" si="30"/>
        <v>0</v>
      </c>
      <c r="K69" s="318">
        <f t="shared" ca="1" si="31"/>
        <v>120600</v>
      </c>
      <c r="L69" s="323"/>
      <c r="M69" s="323"/>
      <c r="N69" s="323"/>
      <c r="O69" s="319"/>
      <c r="P69" s="319"/>
      <c r="Q69" s="302"/>
      <c r="R69" s="294"/>
      <c r="S69" s="320"/>
      <c r="T69" s="299"/>
      <c r="U69" s="299"/>
      <c r="V69" s="299"/>
    </row>
    <row r="70" spans="1:22" s="324" customFormat="1">
      <c r="A70" s="294"/>
      <c r="B70" s="694">
        <v>4</v>
      </c>
      <c r="C70" s="695" t="s">
        <v>594</v>
      </c>
      <c r="D70" s="314" t="str">
        <f ca="1">IF(ISERROR(OFFSET('HARGA SATUAN'!$D$6,MATCH(RAB!C70,'HARGA SATUAN'!$C$7:$C$1492,0),0)),"",OFFSET('HARGA SATUAN'!$D$6,MATCH(RAB!C70,'HARGA SATUAN'!$C$7:$C$1492,0),0))</f>
        <v>HDW</v>
      </c>
      <c r="E70" s="315" t="str">
        <f ca="1">IF(B70="+","Unit",IF(ISERROR(OFFSET('HARGA SATUAN'!$E$6,MATCH(RAB!C70,'HARGA SATUAN'!$C$7:$C$1492,0),0)),"",OFFSET('HARGA SATUAN'!$E$6,MATCH(RAB!C70,'HARGA SATUAN'!$C$7:$C$1492,0),0)))</f>
        <v>Bh</v>
      </c>
      <c r="F70" s="434">
        <f>F66*1</f>
        <v>1</v>
      </c>
      <c r="G70" s="316">
        <f ca="1">IF(ISERROR(OFFSET('HARGA SATUAN'!$I$6,MATCH(RAB!C70,'HARGA SATUAN'!$C$7:$C$1492,0),0)),0,OFFSET('HARGA SATUAN'!$I$6,MATCH(RAB!C70,'HARGA SATUAN'!$C$7:$C$1492,0),0))</f>
        <v>78500</v>
      </c>
      <c r="H70" s="317">
        <f t="shared" ca="1" si="28"/>
        <v>0</v>
      </c>
      <c r="I70" s="317">
        <f t="shared" ca="1" si="29"/>
        <v>78500</v>
      </c>
      <c r="J70" s="317">
        <f t="shared" ca="1" si="30"/>
        <v>0</v>
      </c>
      <c r="K70" s="318">
        <f t="shared" ca="1" si="31"/>
        <v>78500</v>
      </c>
      <c r="L70" s="323"/>
      <c r="M70" s="323"/>
      <c r="N70" s="323"/>
      <c r="O70" s="319"/>
      <c r="P70" s="319"/>
      <c r="Q70" s="302"/>
      <c r="R70" s="294"/>
      <c r="S70" s="320"/>
      <c r="T70" s="299"/>
      <c r="U70" s="299"/>
      <c r="V70" s="299"/>
    </row>
    <row r="71" spans="1:22" s="324" customFormat="1">
      <c r="A71" s="294"/>
      <c r="B71" s="694">
        <v>5</v>
      </c>
      <c r="C71" s="695" t="s">
        <v>229</v>
      </c>
      <c r="D71" s="314" t="str">
        <f ca="1">IF(ISERROR(OFFSET('HARGA SATUAN'!$D$6,MATCH(RAB!C71,'HARGA SATUAN'!$C$7:$C$1492,0),0)),"",OFFSET('HARGA SATUAN'!$D$6,MATCH(RAB!C71,'HARGA SATUAN'!$C$7:$C$1492,0),0))</f>
        <v>HDW</v>
      </c>
      <c r="E71" s="315" t="str">
        <f ca="1">IF(B71="+","Unit",IF(ISERROR(OFFSET('HARGA SATUAN'!$E$6,MATCH(RAB!C71,'HARGA SATUAN'!$C$7:$C$1492,0),0)),"",OFFSET('HARGA SATUAN'!$E$6,MATCH(RAB!C71,'HARGA SATUAN'!$C$7:$C$1492,0),0)))</f>
        <v>Bh</v>
      </c>
      <c r="F71" s="434">
        <f>F66*1</f>
        <v>1</v>
      </c>
      <c r="G71" s="316">
        <f ca="1">IF(ISERROR(OFFSET('HARGA SATUAN'!$I$6,MATCH(RAB!C71,'HARGA SATUAN'!$C$7:$C$1492,0),0)),0,OFFSET('HARGA SATUAN'!$I$6,MATCH(RAB!C71,'HARGA SATUAN'!$C$7:$C$1492,0),0))</f>
        <v>4212</v>
      </c>
      <c r="H71" s="317">
        <f t="shared" ca="1" si="28"/>
        <v>0</v>
      </c>
      <c r="I71" s="317">
        <f t="shared" ca="1" si="29"/>
        <v>4212</v>
      </c>
      <c r="J71" s="317">
        <f t="shared" ca="1" si="30"/>
        <v>0</v>
      </c>
      <c r="K71" s="318">
        <f t="shared" ca="1" si="31"/>
        <v>4212</v>
      </c>
      <c r="L71" s="323"/>
      <c r="M71" s="323"/>
      <c r="N71" s="323"/>
      <c r="O71" s="319"/>
      <c r="P71" s="319"/>
      <c r="Q71" s="302"/>
      <c r="R71" s="294"/>
      <c r="S71" s="320"/>
      <c r="T71" s="299"/>
      <c r="U71" s="299"/>
      <c r="V71" s="299"/>
    </row>
    <row r="72" spans="1:22" s="324" customFormat="1">
      <c r="A72" s="294"/>
      <c r="B72" s="694">
        <v>6</v>
      </c>
      <c r="C72" s="695" t="s">
        <v>266</v>
      </c>
      <c r="D72" s="314" t="str">
        <f ca="1">IF(ISERROR(OFFSET('HARGA SATUAN'!$D$6,MATCH(RAB!C72,'HARGA SATUAN'!$C$7:$C$1492,0),0)),"",OFFSET('HARGA SATUAN'!$D$6,MATCH(RAB!C72,'HARGA SATUAN'!$C$7:$C$1492,0),0))</f>
        <v>HDW</v>
      </c>
      <c r="E72" s="315" t="str">
        <f ca="1">IF(B72="+","Unit",IF(ISERROR(OFFSET('HARGA SATUAN'!$E$6,MATCH(RAB!C72,'HARGA SATUAN'!$C$7:$C$1492,0),0)),"",OFFSET('HARGA SATUAN'!$E$6,MATCH(RAB!C72,'HARGA SATUAN'!$C$7:$C$1492,0),0)))</f>
        <v>Mtr</v>
      </c>
      <c r="F72" s="434">
        <f>F66*1</f>
        <v>1</v>
      </c>
      <c r="G72" s="316">
        <f ca="1">IF(ISERROR(OFFSET('HARGA SATUAN'!$I$6,MATCH(RAB!C72,'HARGA SATUAN'!$C$7:$C$1492,0),0)),0,OFFSET('HARGA SATUAN'!$I$6,MATCH(RAB!C72,'HARGA SATUAN'!$C$7:$C$1492,0),0))</f>
        <v>23310</v>
      </c>
      <c r="H72" s="317">
        <f t="shared" ca="1" si="28"/>
        <v>0</v>
      </c>
      <c r="I72" s="317">
        <f t="shared" ca="1" si="29"/>
        <v>23310</v>
      </c>
      <c r="J72" s="317">
        <f t="shared" ca="1" si="30"/>
        <v>0</v>
      </c>
      <c r="K72" s="318">
        <f t="shared" ca="1" si="31"/>
        <v>23310</v>
      </c>
      <c r="L72" s="323"/>
      <c r="M72" s="323"/>
      <c r="N72" s="323"/>
      <c r="O72" s="319"/>
      <c r="P72" s="319"/>
      <c r="Q72" s="302"/>
      <c r="R72" s="294"/>
      <c r="S72" s="320"/>
      <c r="T72" s="299"/>
      <c r="U72" s="299"/>
      <c r="V72" s="299"/>
    </row>
    <row r="73" spans="1:22" s="324" customFormat="1">
      <c r="A73" s="294"/>
      <c r="B73" s="694">
        <v>7</v>
      </c>
      <c r="C73" s="695" t="s">
        <v>35</v>
      </c>
      <c r="D73" s="314" t="str">
        <f ca="1">IF(ISERROR(OFFSET('HARGA SATUAN'!$D$6,MATCH(RAB!C73,'HARGA SATUAN'!$C$7:$C$1492,0),0)),"",OFFSET('HARGA SATUAN'!$D$6,MATCH(RAB!C73,'HARGA SATUAN'!$C$7:$C$1492,0),0))</f>
        <v>HDW</v>
      </c>
      <c r="E73" s="315" t="str">
        <f ca="1">IF(B73="+","Unit",IF(ISERROR(OFFSET('HARGA SATUAN'!$E$6,MATCH(RAB!C73,'HARGA SATUAN'!$C$7:$C$1492,0),0)),"",OFFSET('HARGA SATUAN'!$E$6,MATCH(RAB!C73,'HARGA SATUAN'!$C$7:$C$1492,0),0)))</f>
        <v>Bh</v>
      </c>
      <c r="F73" s="434">
        <f>F66*1</f>
        <v>1</v>
      </c>
      <c r="G73" s="316">
        <f ca="1">IF(ISERROR(OFFSET('HARGA SATUAN'!$I$6,MATCH(RAB!C73,'HARGA SATUAN'!$C$7:$C$1492,0),0)),0,OFFSET('HARGA SATUAN'!$I$6,MATCH(RAB!C73,'HARGA SATUAN'!$C$7:$C$1492,0),0))</f>
        <v>2300</v>
      </c>
      <c r="H73" s="317">
        <f t="shared" ca="1" si="28"/>
        <v>0</v>
      </c>
      <c r="I73" s="317">
        <f t="shared" ca="1" si="29"/>
        <v>2300</v>
      </c>
      <c r="J73" s="317">
        <f t="shared" ca="1" si="30"/>
        <v>0</v>
      </c>
      <c r="K73" s="318">
        <f t="shared" ca="1" si="31"/>
        <v>2300</v>
      </c>
      <c r="L73" s="323"/>
      <c r="M73" s="323"/>
      <c r="N73" s="323"/>
      <c r="O73" s="319"/>
      <c r="P73" s="319"/>
      <c r="Q73" s="302"/>
      <c r="R73" s="294"/>
      <c r="S73" s="320"/>
      <c r="T73" s="299"/>
      <c r="U73" s="299"/>
      <c r="V73" s="299"/>
    </row>
    <row r="74" spans="1:22" s="324" customFormat="1">
      <c r="A74" s="294"/>
      <c r="B74" s="486"/>
      <c r="C74" s="487"/>
      <c r="D74" s="314"/>
      <c r="E74" s="315"/>
      <c r="F74" s="488"/>
      <c r="G74" s="316"/>
      <c r="H74" s="317"/>
      <c r="I74" s="317"/>
      <c r="J74" s="317"/>
      <c r="K74" s="318"/>
      <c r="L74" s="323"/>
      <c r="M74" s="323"/>
      <c r="N74" s="323"/>
      <c r="O74" s="319"/>
      <c r="P74" s="319"/>
      <c r="Q74" s="302"/>
      <c r="R74" s="294"/>
      <c r="S74" s="320"/>
      <c r="T74" s="299"/>
      <c r="U74" s="299"/>
      <c r="V74" s="299"/>
    </row>
    <row r="75" spans="1:22" s="324" customFormat="1">
      <c r="A75" s="294"/>
      <c r="B75" s="439" t="s">
        <v>1034</v>
      </c>
      <c r="C75" s="440" t="s">
        <v>1607</v>
      </c>
      <c r="D75" s="314" t="str">
        <f ca="1">IF(ISERROR(OFFSET('HARGA SATUAN'!$D$6,MATCH(RAB!C75,'HARGA SATUAN'!$C$7:$C$1492,0),0)),"",OFFSET('HARGA SATUAN'!$D$6,MATCH(RAB!C75,'HARGA SATUAN'!$C$7:$C$1492,0),0))</f>
        <v/>
      </c>
      <c r="E75" s="315" t="str">
        <f ca="1">IF(B75="+","Unit",IF(ISERROR(OFFSET('HARGA SATUAN'!$E$6,MATCH(RAB!C75,'HARGA SATUAN'!$C$7:$C$1492,0),0)),"",OFFSET('HARGA SATUAN'!$E$6,MATCH(RAB!C75,'HARGA SATUAN'!$C$7:$C$1492,0),0)))</f>
        <v>Unit</v>
      </c>
      <c r="F75" s="434">
        <v>1</v>
      </c>
      <c r="G75" s="316">
        <f ca="1">IF(ISERROR(OFFSET('HARGA SATUAN'!$I$6,MATCH(RAB!C75,'HARGA SATUAN'!$C$7:$C$1492,0),0)),0,OFFSET('HARGA SATUAN'!$I$6,MATCH(RAB!C75,'HARGA SATUAN'!$C$7:$C$1492,0),0))</f>
        <v>0</v>
      </c>
      <c r="H75" s="317">
        <f t="shared" ca="1" si="28"/>
        <v>0</v>
      </c>
      <c r="I75" s="317">
        <f t="shared" ca="1" si="29"/>
        <v>0</v>
      </c>
      <c r="J75" s="317">
        <f t="shared" ca="1" si="30"/>
        <v>0</v>
      </c>
      <c r="K75" s="318">
        <f t="shared" ca="1" si="31"/>
        <v>0</v>
      </c>
      <c r="L75" s="323"/>
      <c r="M75" s="323"/>
      <c r="N75" s="323"/>
      <c r="O75" s="319"/>
      <c r="P75" s="319"/>
      <c r="Q75" s="302"/>
      <c r="R75" s="294"/>
      <c r="S75" s="320"/>
      <c r="T75" s="299"/>
      <c r="U75" s="299"/>
      <c r="V75" s="299"/>
    </row>
    <row r="76" spans="1:22" s="324" customFormat="1">
      <c r="A76" s="294"/>
      <c r="B76" s="439">
        <v>1</v>
      </c>
      <c r="C76" s="440" t="s">
        <v>29</v>
      </c>
      <c r="D76" s="314" t="str">
        <f ca="1">IF(ISERROR(OFFSET('HARGA SATUAN'!$D$6,MATCH(RAB!C76,'HARGA SATUAN'!$C$7:$C$1492,0),0)),"",OFFSET('HARGA SATUAN'!$D$6,MATCH(RAB!C76,'HARGA SATUAN'!$C$7:$C$1492,0),0))</f>
        <v>HDW</v>
      </c>
      <c r="E76" s="315" t="str">
        <f ca="1">IF(B76="+","Unit",IF(ISERROR(OFFSET('HARGA SATUAN'!$E$6,MATCH(RAB!C76,'HARGA SATUAN'!$C$7:$C$1492,0),0)),"",OFFSET('HARGA SATUAN'!$E$6,MATCH(RAB!C76,'HARGA SATUAN'!$C$7:$C$1492,0),0)))</f>
        <v>Bh</v>
      </c>
      <c r="F76" s="434">
        <f>F75*1</f>
        <v>1</v>
      </c>
      <c r="G76" s="316">
        <f ca="1">IF(ISERROR(OFFSET('HARGA SATUAN'!$I$6,MATCH(RAB!C76,'HARGA SATUAN'!$C$7:$C$1492,0),0)),0,OFFSET('HARGA SATUAN'!$I$6,MATCH(RAB!C76,'HARGA SATUAN'!$C$7:$C$1492,0),0))</f>
        <v>185200</v>
      </c>
      <c r="H76" s="317">
        <f t="shared" ca="1" si="28"/>
        <v>0</v>
      </c>
      <c r="I76" s="317">
        <f t="shared" ca="1" si="29"/>
        <v>185200</v>
      </c>
      <c r="J76" s="317">
        <f t="shared" ca="1" si="30"/>
        <v>0</v>
      </c>
      <c r="K76" s="318">
        <f t="shared" ca="1" si="31"/>
        <v>185200</v>
      </c>
      <c r="L76" s="323"/>
      <c r="M76" s="323"/>
      <c r="N76" s="323"/>
      <c r="O76" s="319"/>
      <c r="P76" s="319"/>
      <c r="Q76" s="302"/>
      <c r="R76" s="294"/>
      <c r="S76" s="320"/>
      <c r="T76" s="299"/>
      <c r="U76" s="299"/>
      <c r="V76" s="299"/>
    </row>
    <row r="77" spans="1:22" s="324" customFormat="1">
      <c r="A77" s="294"/>
      <c r="B77" s="439">
        <v>2</v>
      </c>
      <c r="C77" s="440" t="s">
        <v>30</v>
      </c>
      <c r="D77" s="314" t="str">
        <f ca="1">IF(ISERROR(OFFSET('HARGA SATUAN'!$D$6,MATCH(RAB!C77,'HARGA SATUAN'!$C$7:$C$1492,0),0)),"",OFFSET('HARGA SATUAN'!$D$6,MATCH(RAB!C77,'HARGA SATUAN'!$C$7:$C$1492,0),0))</f>
        <v>HDW</v>
      </c>
      <c r="E77" s="315" t="str">
        <f ca="1">IF(B77="+","Unit",IF(ISERROR(OFFSET('HARGA SATUAN'!$E$6,MATCH(RAB!C77,'HARGA SATUAN'!$C$7:$C$1492,0),0)),"",OFFSET('HARGA SATUAN'!$E$6,MATCH(RAB!C77,'HARGA SATUAN'!$C$7:$C$1492,0),0)))</f>
        <v>Bh</v>
      </c>
      <c r="F77" s="434">
        <f>F75*1</f>
        <v>1</v>
      </c>
      <c r="G77" s="316">
        <f ca="1">IF(ISERROR(OFFSET('HARGA SATUAN'!$I$6,MATCH(RAB!C77,'HARGA SATUAN'!$C$7:$C$1492,0),0)),0,OFFSET('HARGA SATUAN'!$I$6,MATCH(RAB!C77,'HARGA SATUAN'!$C$7:$C$1492,0),0))</f>
        <v>47459</v>
      </c>
      <c r="H77" s="317">
        <f t="shared" ca="1" si="28"/>
        <v>0</v>
      </c>
      <c r="I77" s="317">
        <f t="shared" ca="1" si="29"/>
        <v>47459</v>
      </c>
      <c r="J77" s="317">
        <f t="shared" ca="1" si="30"/>
        <v>0</v>
      </c>
      <c r="K77" s="318">
        <f t="shared" ca="1" si="31"/>
        <v>47459</v>
      </c>
      <c r="L77" s="323"/>
      <c r="M77" s="323"/>
      <c r="N77" s="323"/>
      <c r="O77" s="319"/>
      <c r="P77" s="319"/>
      <c r="Q77" s="302"/>
      <c r="R77" s="294"/>
      <c r="S77" s="320"/>
      <c r="T77" s="299"/>
      <c r="U77" s="299"/>
      <c r="V77" s="299"/>
    </row>
    <row r="78" spans="1:22" s="324" customFormat="1">
      <c r="A78" s="294"/>
      <c r="B78" s="439">
        <v>3</v>
      </c>
      <c r="C78" s="440" t="s">
        <v>32</v>
      </c>
      <c r="D78" s="314" t="str">
        <f ca="1">IF(ISERROR(OFFSET('HARGA SATUAN'!$D$6,MATCH(RAB!C78,'HARGA SATUAN'!$C$7:$C$1492,0),0)),"",OFFSET('HARGA SATUAN'!$D$6,MATCH(RAB!C78,'HARGA SATUAN'!$C$7:$C$1492,0),0))</f>
        <v>HDW</v>
      </c>
      <c r="E78" s="315" t="str">
        <f ca="1">IF(B78="+","Unit",IF(ISERROR(OFFSET('HARGA SATUAN'!$E$6,MATCH(RAB!C78,'HARGA SATUAN'!$C$7:$C$1492,0),0)),"",OFFSET('HARGA SATUAN'!$E$6,MATCH(RAB!C78,'HARGA SATUAN'!$C$7:$C$1492,0),0)))</f>
        <v>Mtr</v>
      </c>
      <c r="F78" s="434">
        <f>F75*1.5</f>
        <v>1.5</v>
      </c>
      <c r="G78" s="316">
        <f ca="1">IF(ISERROR(OFFSET('HARGA SATUAN'!$I$6,MATCH(RAB!C78,'HARGA SATUAN'!$C$7:$C$1492,0),0)),0,OFFSET('HARGA SATUAN'!$I$6,MATCH(RAB!C78,'HARGA SATUAN'!$C$7:$C$1492,0),0))</f>
        <v>30000</v>
      </c>
      <c r="H78" s="317">
        <f t="shared" ca="1" si="28"/>
        <v>0</v>
      </c>
      <c r="I78" s="317">
        <f t="shared" ca="1" si="29"/>
        <v>45000</v>
      </c>
      <c r="J78" s="317">
        <f t="shared" ca="1" si="30"/>
        <v>0</v>
      </c>
      <c r="K78" s="318">
        <f t="shared" ca="1" si="31"/>
        <v>45000</v>
      </c>
      <c r="L78" s="323"/>
      <c r="M78" s="323"/>
      <c r="N78" s="323"/>
      <c r="O78" s="319"/>
      <c r="P78" s="319"/>
      <c r="Q78" s="302"/>
      <c r="R78" s="294"/>
      <c r="S78" s="320"/>
      <c r="T78" s="299"/>
      <c r="U78" s="299"/>
      <c r="V78" s="299"/>
    </row>
    <row r="79" spans="1:22" s="324" customFormat="1">
      <c r="A79" s="294"/>
      <c r="B79" s="439">
        <v>4</v>
      </c>
      <c r="C79" s="440" t="s">
        <v>33</v>
      </c>
      <c r="D79" s="314" t="str">
        <f ca="1">IF(ISERROR(OFFSET('HARGA SATUAN'!$D$6,MATCH(RAB!C79,'HARGA SATUAN'!$C$7:$C$1492,0),0)),"",OFFSET('HARGA SATUAN'!$D$6,MATCH(RAB!C79,'HARGA SATUAN'!$C$7:$C$1492,0),0))</f>
        <v>HDW</v>
      </c>
      <c r="E79" s="315" t="str">
        <f ca="1">IF(B79="+","Unit",IF(ISERROR(OFFSET('HARGA SATUAN'!$E$6,MATCH(RAB!C79,'HARGA SATUAN'!$C$7:$C$1492,0),0)),"",OFFSET('HARGA SATUAN'!$E$6,MATCH(RAB!C79,'HARGA SATUAN'!$C$7:$C$1492,0),0)))</f>
        <v>Bh</v>
      </c>
      <c r="F79" s="434">
        <f>F75*2</f>
        <v>2</v>
      </c>
      <c r="G79" s="316">
        <f ca="1">IF(ISERROR(OFFSET('HARGA SATUAN'!$I$6,MATCH(RAB!C79,'HARGA SATUAN'!$C$7:$C$1492,0),0)),0,OFFSET('HARGA SATUAN'!$I$6,MATCH(RAB!C79,'HARGA SATUAN'!$C$7:$C$1492,0),0))</f>
        <v>9500</v>
      </c>
      <c r="H79" s="317">
        <f t="shared" ca="1" si="28"/>
        <v>0</v>
      </c>
      <c r="I79" s="317">
        <f t="shared" ca="1" si="29"/>
        <v>19000</v>
      </c>
      <c r="J79" s="317">
        <f t="shared" ca="1" si="30"/>
        <v>0</v>
      </c>
      <c r="K79" s="318">
        <f t="shared" ca="1" si="31"/>
        <v>19000</v>
      </c>
      <c r="L79" s="323"/>
      <c r="M79" s="323"/>
      <c r="N79" s="323"/>
      <c r="O79" s="319"/>
      <c r="P79" s="319"/>
      <c r="Q79" s="302"/>
      <c r="R79" s="294"/>
      <c r="S79" s="320"/>
      <c r="T79" s="299"/>
      <c r="U79" s="299"/>
      <c r="V79" s="299"/>
    </row>
    <row r="80" spans="1:22" s="324" customFormat="1">
      <c r="A80" s="294"/>
      <c r="B80" s="439">
        <v>5</v>
      </c>
      <c r="C80" s="440" t="s">
        <v>734</v>
      </c>
      <c r="D80" s="314" t="str">
        <f ca="1">IF(ISERROR(OFFSET('HARGA SATUAN'!$D$6,MATCH(RAB!C80,'HARGA SATUAN'!$C$7:$C$1492,0),0)),"",OFFSET('HARGA SATUAN'!$D$6,MATCH(RAB!C80,'HARGA SATUAN'!$C$7:$C$1492,0),0))</f>
        <v>JASA</v>
      </c>
      <c r="E80" s="315" t="str">
        <f ca="1">IF(B80="+","Unit",IF(ISERROR(OFFSET('HARGA SATUAN'!$E$6,MATCH(RAB!C80,'HARGA SATUAN'!$C$7:$C$1492,0),0)),"",OFFSET('HARGA SATUAN'!$E$6,MATCH(RAB!C80,'HARGA SATUAN'!$C$7:$C$1492,0),0)))</f>
        <v>Unit</v>
      </c>
      <c r="F80" s="434">
        <f>F75*1</f>
        <v>1</v>
      </c>
      <c r="G80" s="316">
        <f ca="1">IF(ISERROR(OFFSET('HARGA SATUAN'!$I$6,MATCH(RAB!C80,'HARGA SATUAN'!$C$7:$C$1492,0),0)),0,OFFSET('HARGA SATUAN'!$I$6,MATCH(RAB!C80,'HARGA SATUAN'!$C$7:$C$1492,0),0))</f>
        <v>56400</v>
      </c>
      <c r="H80" s="317">
        <f t="shared" ca="1" si="28"/>
        <v>0</v>
      </c>
      <c r="I80" s="317">
        <f t="shared" ca="1" si="29"/>
        <v>0</v>
      </c>
      <c r="J80" s="317">
        <f t="shared" ca="1" si="30"/>
        <v>56400</v>
      </c>
      <c r="K80" s="318">
        <f t="shared" ca="1" si="31"/>
        <v>56400</v>
      </c>
      <c r="L80" s="323"/>
      <c r="M80" s="323"/>
      <c r="N80" s="323"/>
      <c r="O80" s="319"/>
      <c r="P80" s="319"/>
      <c r="Q80" s="302"/>
      <c r="R80" s="294"/>
      <c r="S80" s="320"/>
      <c r="T80" s="299"/>
      <c r="U80" s="299"/>
      <c r="V80" s="299"/>
    </row>
    <row r="81" spans="1:22" s="324" customFormat="1">
      <c r="A81" s="294"/>
      <c r="B81" s="439"/>
      <c r="C81" s="440"/>
      <c r="D81" s="314" t="str">
        <f ca="1">IF(ISERROR(OFFSET('HARGA SATUAN'!$D$6,MATCH(RAB!C81,'HARGA SATUAN'!$C$7:$C$1492,0),0)),"",OFFSET('HARGA SATUAN'!$D$6,MATCH(RAB!C81,'HARGA SATUAN'!$C$7:$C$1492,0),0))</f>
        <v/>
      </c>
      <c r="E81" s="315" t="str">
        <f ca="1">IF(B81="+","Unit",IF(ISERROR(OFFSET('HARGA SATUAN'!$E$6,MATCH(RAB!C81,'HARGA SATUAN'!$C$7:$C$1492,0),0)),"",OFFSET('HARGA SATUAN'!$E$6,MATCH(RAB!C81,'HARGA SATUAN'!$C$7:$C$1492,0),0)))</f>
        <v/>
      </c>
      <c r="F81" s="434"/>
      <c r="G81" s="316">
        <f ca="1">IF(ISERROR(OFFSET('HARGA SATUAN'!$I$6,MATCH(RAB!C81,'HARGA SATUAN'!$C$7:$C$1492,0),0)),0,OFFSET('HARGA SATUAN'!$I$6,MATCH(RAB!C81,'HARGA SATUAN'!$C$7:$C$1492,0),0))</f>
        <v>0</v>
      </c>
      <c r="H81" s="317">
        <f t="shared" ca="1" si="28"/>
        <v>0</v>
      </c>
      <c r="I81" s="317">
        <f t="shared" ca="1" si="29"/>
        <v>0</v>
      </c>
      <c r="J81" s="317">
        <f t="shared" ca="1" si="30"/>
        <v>0</v>
      </c>
      <c r="K81" s="318">
        <f t="shared" ca="1" si="31"/>
        <v>0</v>
      </c>
      <c r="L81" s="323"/>
      <c r="M81" s="323"/>
      <c r="N81" s="323"/>
      <c r="O81" s="319"/>
      <c r="P81" s="319"/>
      <c r="Q81" s="302"/>
      <c r="R81" s="294"/>
      <c r="S81" s="320"/>
      <c r="T81" s="299"/>
      <c r="U81" s="299"/>
      <c r="V81" s="299"/>
    </row>
    <row r="82" spans="1:22">
      <c r="B82" s="326">
        <v>1</v>
      </c>
      <c r="C82" s="327" t="s">
        <v>1090</v>
      </c>
      <c r="D82" s="328" t="str">
        <f ca="1">IF(ISERROR(OFFSET('HARGA SATUAN'!$D$6,MATCH(RAB!C82,'HARGA SATUAN'!$C$7:$C$1492,0),0)),"",OFFSET('HARGA SATUAN'!$D$6,MATCH(RAB!C82,'HARGA SATUAN'!$C$7:$C$1492,0),0))</f>
        <v>JASA</v>
      </c>
      <c r="E82" s="329" t="str">
        <f ca="1">IF(ISERROR(OFFSET('HARGA SATUAN'!$E$6,MATCH(RAB!C82,'HARGA SATUAN'!$C$7:$C$1492,0),0)),"",OFFSET('HARGA SATUAN'!$E$6,MATCH(RAB!C82,'HARGA SATUAN'!$C$7:$C$1492,0),0))</f>
        <v>Lot</v>
      </c>
      <c r="F82" s="330">
        <v>1</v>
      </c>
      <c r="G82" s="331">
        <f ca="1">IF(ISERROR(OFFSET('HARGA SATUAN'!$I$6,MATCH(RAB!C82,'HARGA SATUAN'!$C$7:$C$1492,0),0)),0,OFFSET('HARGA SATUAN'!$I$6,MATCH(RAB!C82,'HARGA SATUAN'!$C$7:$C$1492,0),0))</f>
        <v>2.5000000000000001E-2</v>
      </c>
      <c r="H82" s="332">
        <f ca="1">(SUM(H15:H81))*2.5%</f>
        <v>2578983.75</v>
      </c>
      <c r="I82" s="332">
        <f ca="1">(SUM(I15:I81))*2.5%</f>
        <v>393088.85000000003</v>
      </c>
      <c r="J82" s="332">
        <f ca="1">(SUM(J15:J81))*2.5%</f>
        <v>119904.66666666666</v>
      </c>
      <c r="K82" s="332">
        <f ca="1">(SUM(K15:K81))*2.5%</f>
        <v>3091977.2666666671</v>
      </c>
    </row>
    <row r="83" spans="1:22">
      <c r="B83" s="333"/>
      <c r="C83" s="334"/>
      <c r="D83" s="314" t="str">
        <f ca="1">IF(ISERROR(OFFSET('HARGA SATUAN'!$D$6,MATCH(RAB!C83,'HARGA SATUAN'!$C$7:$C$1492,0),0)),"",OFFSET('HARGA SATUAN'!$D$6,MATCH(RAB!C83,'HARGA SATUAN'!$C$7:$C$1492,0),0))</f>
        <v/>
      </c>
      <c r="E83" s="315" t="str">
        <f ca="1">IF(ISERROR(OFFSET('HARGA SATUAN'!$E$6,MATCH(RAB!C83,'HARGA SATUAN'!$C$7:$C$1492,0),0)),"",OFFSET('HARGA SATUAN'!$E$6,MATCH(RAB!C83,'HARGA SATUAN'!$C$7:$C$1492,0),0))</f>
        <v/>
      </c>
      <c r="F83" s="325"/>
      <c r="G83" s="316" t="str">
        <f ca="1">IF(ISERROR(OFFSET('HARGA SATUAN'!$I$6,MATCH(RAB!C83,'HARGA SATUAN'!$C$7:$C$1492,0),0)),"",OFFSET('HARGA SATUAN'!$I$6,MATCH(RAB!C83,'HARGA SATUAN'!$C$7:$C$1492,0),0))</f>
        <v/>
      </c>
      <c r="H83" s="317">
        <f ca="1">IF(OR(D83="MDU",D83="MDU-KD"),IF(G83="PLN",0,G83*F83),0)</f>
        <v>0</v>
      </c>
      <c r="I83" s="317">
        <f ca="1">IF(D83="HDW",IF(G83="PLN",0,G83*F83),0)</f>
        <v>0</v>
      </c>
      <c r="J83" s="317">
        <f ca="1">IF(D83="JASA",IF(G83="PLN",0,G83*F83),0)</f>
        <v>0</v>
      </c>
      <c r="K83" s="318">
        <f ca="1">SUM(H83:J83)</f>
        <v>0</v>
      </c>
    </row>
    <row r="84" spans="1:22" ht="15.75" thickBot="1">
      <c r="B84" s="335"/>
      <c r="C84" s="336"/>
      <c r="D84" s="337"/>
      <c r="E84" s="338"/>
      <c r="F84" s="338"/>
      <c r="G84" s="338"/>
      <c r="H84" s="339"/>
      <c r="I84" s="339"/>
      <c r="J84" s="339"/>
      <c r="K84" s="340"/>
    </row>
    <row r="85" spans="1:22">
      <c r="B85" s="341"/>
      <c r="C85" s="610" t="s">
        <v>1007</v>
      </c>
      <c r="D85" s="610"/>
      <c r="E85" s="610"/>
      <c r="F85" s="610"/>
      <c r="G85" s="342" t="s">
        <v>9</v>
      </c>
      <c r="H85" s="343">
        <f ca="1">SUM(H15:H83)</f>
        <v>105738333.75</v>
      </c>
      <c r="I85" s="343">
        <f ca="1">SUM(I15:I83)</f>
        <v>16116642.85</v>
      </c>
      <c r="J85" s="343">
        <f ca="1">SUM(J15:J83)</f>
        <v>4916091.333333333</v>
      </c>
      <c r="K85" s="343">
        <f ca="1">SUM(K15:K83)</f>
        <v>126771067.93333334</v>
      </c>
    </row>
    <row r="86" spans="1:22">
      <c r="B86" s="344"/>
      <c r="C86" s="593" t="s">
        <v>1455</v>
      </c>
      <c r="D86" s="593"/>
      <c r="E86" s="593"/>
      <c r="F86" s="593"/>
      <c r="G86" s="345" t="s">
        <v>9</v>
      </c>
      <c r="H86" s="346">
        <f ca="1">H85*0.11</f>
        <v>11631216.7125</v>
      </c>
      <c r="I86" s="346">
        <f ca="1">I85*0.11</f>
        <v>1772830.7135000001</v>
      </c>
      <c r="J86" s="346">
        <f ca="1">J85*0.11</f>
        <v>540770.04666666663</v>
      </c>
      <c r="K86" s="346">
        <f ca="1">K85*0.11</f>
        <v>13944817.472666668</v>
      </c>
    </row>
    <row r="87" spans="1:22" ht="15.75" thickBot="1">
      <c r="B87" s="344"/>
      <c r="C87" s="591" t="s">
        <v>463</v>
      </c>
      <c r="D87" s="591"/>
      <c r="E87" s="591"/>
      <c r="F87" s="591"/>
      <c r="G87" s="347" t="s">
        <v>9</v>
      </c>
      <c r="H87" s="348">
        <f ca="1">SUM(H85:H86)</f>
        <v>117369550.46250001</v>
      </c>
      <c r="I87" s="348">
        <f ca="1">SUM(I85:I86)</f>
        <v>17889473.563499998</v>
      </c>
      <c r="J87" s="347">
        <f ca="1">SUM(J85:J86)</f>
        <v>5456861.3799999999</v>
      </c>
      <c r="K87" s="347">
        <f ca="1">SUM(K85:K86)</f>
        <v>140715885.40600002</v>
      </c>
      <c r="M87" s="426"/>
    </row>
    <row r="88" spans="1:22">
      <c r="B88" s="594" t="str">
        <f ca="1">"Terbilang : "&amp;PROPER(IF(K87=0,"nol",IF(K87&lt;0,"minus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IF(--MID(TEXT(ABS(K87),"000000000000000"),1,3)=0,"",MID(TEXT(ABS(K87),"000000000000000"),1,1)&amp;" ratus "&amp;MID(TEXT(ABS(K87),"000000000000000"),2,1)&amp;" puluh "&amp;MID(TEXT(ABS(K87),"000000000000000"),3,1)&amp;" trilyun ")&amp; IF(--MID(TEXT(ABS(K87),"000000000000000"),4,3)=0,"",MID(TEXT(ABS(K87),"000000000000000"),4,1)&amp;" ratus "&amp;MID(TEXT(ABS(K87),"000000000000000"),5,1)&amp;" puluh "&amp;MID(TEXT(ABS(K87),"000000000000000"),6,1)&amp;" milyar ")&amp; IF(--MID(TEXT(ABS(K87),"000000000000000"),7,3)=0,"",MID(TEXT(ABS(K87),"000000000000000"),7,1)&amp;" ratus "&amp;MID(TEXT(ABS(K87),"000000000000000"),8,1)&amp;" puluh "&amp;MID(TEXT(ABS(K87),"000000000000000"),9,1)&amp;" juta ")&amp; IF(--MID(TEXT(ABS(K87),"000000000000000"),10,3)=0,"",IF(--MID(TEXT(ABS(K87),"000000000000000"),10,3)=1,"*",MID(TEXT(ABS(K87),"000000000000000"),10,1)&amp;" ratus "&amp;MID(TEXT(ABS(K87),"000000000000000"),11,1)&amp;" puluh ")&amp;MID(TEXT(ABS(K87),"000000000000000"),12,1)&amp;" ribu ")&amp; IF(--MID(TEXT(ABS(K87),"000000000000000"),13,3)=0,"",MID(TEXT(ABS(K87),"000000000000000"),13,1)&amp;" ratus "&amp;MID(TEXT(ABS(K87),"000000000000000"),14,1)&amp;" puluh "&amp;MID(TEXT(ABS(K87),"000000000000000"),15,1)),1,"satu"),2,"dua"),3,"tiga"),4,"empat"),5,"lima"),6,"enam"),7,"tujuh"),8,"delapan"),9,"sembilan"),"0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Juta Tujuh Ratus Lima Belas Ribu Delapan Ratus Delapan Puluh Lima Rupiah</v>
      </c>
      <c r="C88" s="595"/>
      <c r="D88" s="595"/>
      <c r="E88" s="595"/>
      <c r="F88" s="595"/>
      <c r="G88" s="595"/>
      <c r="H88" s="595"/>
      <c r="I88" s="595"/>
      <c r="J88" s="595"/>
      <c r="K88" s="596"/>
    </row>
    <row r="89" spans="1:22">
      <c r="B89" s="597"/>
      <c r="C89" s="598"/>
      <c r="D89" s="598"/>
      <c r="E89" s="598"/>
      <c r="F89" s="598"/>
      <c r="G89" s="598"/>
      <c r="H89" s="598"/>
      <c r="I89" s="598"/>
      <c r="J89" s="598"/>
      <c r="K89" s="599"/>
    </row>
    <row r="90" spans="1:22" ht="15.75" thickBot="1">
      <c r="B90" s="349" t="str">
        <f>"Harga yang dipakai adalah "&amp;'HARGA SATUAN'!I5&amp;""</f>
        <v>Harga yang dipakai adalah RAB HSS 2023</v>
      </c>
      <c r="C90" s="350"/>
      <c r="D90" s="351"/>
      <c r="E90" s="351"/>
      <c r="F90" s="351"/>
      <c r="G90" s="352"/>
      <c r="H90" s="352"/>
      <c r="I90" s="352"/>
      <c r="J90" s="352"/>
      <c r="K90" s="353"/>
    </row>
    <row r="91" spans="1:22">
      <c r="C91" s="354"/>
      <c r="E91" s="356"/>
      <c r="F91" s="356"/>
      <c r="G91" s="356"/>
    </row>
    <row r="92" spans="1:22">
      <c r="C92" s="295"/>
      <c r="E92" s="356"/>
      <c r="F92" s="356"/>
      <c r="G92" s="356"/>
      <c r="H92" s="600"/>
      <c r="I92" s="600"/>
      <c r="J92" s="601"/>
      <c r="K92" s="601"/>
    </row>
    <row r="93" spans="1:22">
      <c r="C93" s="295"/>
      <c r="E93" s="356"/>
      <c r="F93" s="356"/>
      <c r="G93" s="356"/>
      <c r="H93" s="357"/>
      <c r="I93" s="590" t="s">
        <v>1605</v>
      </c>
      <c r="J93" s="590"/>
      <c r="K93" s="590"/>
    </row>
    <row r="94" spans="1:22">
      <c r="C94" s="295"/>
      <c r="E94" s="356"/>
      <c r="F94" s="356"/>
      <c r="G94" s="356"/>
      <c r="H94" s="357"/>
      <c r="I94" s="590" t="s">
        <v>1544</v>
      </c>
      <c r="J94" s="590"/>
      <c r="K94" s="590"/>
    </row>
    <row r="95" spans="1:22">
      <c r="C95" s="295"/>
      <c r="E95" s="356"/>
      <c r="F95" s="356"/>
      <c r="G95" s="356"/>
      <c r="H95" s="358"/>
      <c r="I95" s="359"/>
      <c r="J95" s="359"/>
      <c r="K95" s="359"/>
    </row>
    <row r="96" spans="1:22">
      <c r="C96" s="295"/>
      <c r="E96" s="356"/>
      <c r="F96" s="356"/>
      <c r="G96" s="356"/>
      <c r="H96" s="358"/>
      <c r="I96" s="358"/>
      <c r="J96" s="358"/>
      <c r="K96" s="358"/>
    </row>
    <row r="97" spans="3:11">
      <c r="C97" s="295"/>
      <c r="E97" s="356"/>
      <c r="F97" s="356"/>
      <c r="G97" s="356"/>
      <c r="H97" s="358"/>
      <c r="I97" s="358"/>
      <c r="J97" s="358"/>
      <c r="K97" s="358"/>
    </row>
    <row r="98" spans="3:11">
      <c r="C98" s="295"/>
      <c r="E98" s="356"/>
      <c r="F98" s="356"/>
      <c r="G98" s="356"/>
      <c r="H98" s="358"/>
      <c r="I98" s="358"/>
      <c r="J98" s="358"/>
      <c r="K98" s="358"/>
    </row>
    <row r="99" spans="3:11">
      <c r="C99" s="295"/>
      <c r="E99" s="356"/>
      <c r="F99" s="356"/>
      <c r="G99" s="356"/>
      <c r="H99" s="360"/>
      <c r="I99" s="590" t="s">
        <v>1545</v>
      </c>
      <c r="J99" s="590"/>
      <c r="K99" s="590"/>
    </row>
    <row r="100" spans="3:11">
      <c r="C100" s="354"/>
      <c r="E100" s="356"/>
      <c r="F100" s="356"/>
      <c r="G100" s="356"/>
      <c r="H100" s="358"/>
      <c r="I100" s="358"/>
      <c r="J100" s="358"/>
      <c r="K100" s="358"/>
    </row>
    <row r="101" spans="3:11">
      <c r="C101" s="354"/>
      <c r="E101" s="356"/>
      <c r="F101" s="356"/>
      <c r="G101" s="356"/>
      <c r="H101" s="358"/>
      <c r="I101" s="358"/>
      <c r="J101" s="358"/>
      <c r="K101" s="358"/>
    </row>
    <row r="102" spans="3:11">
      <c r="C102" s="354"/>
      <c r="E102" s="356"/>
      <c r="F102" s="356"/>
      <c r="G102" s="356"/>
      <c r="H102" s="358"/>
      <c r="I102" s="358"/>
      <c r="J102" s="358"/>
      <c r="K102" s="358"/>
    </row>
  </sheetData>
  <sheetProtection sort="0" autoFilter="0"/>
  <protectedRanges>
    <protectedRange sqref="F53:F56 F14:F41" name="Range1_1_2_2"/>
    <protectedRange sqref="B19:C20 B14:C14 B21:B23 B30:C41 B24:C24 B53:C55 B26:C28 B25 B29" name="Range1_1_1_1"/>
    <protectedRange sqref="C15 C18" name="Range1_1_3_4"/>
    <protectedRange sqref="C22:C23" name="Range1_1_3"/>
    <protectedRange sqref="C21" name="Range1_1_3_5"/>
    <protectedRange sqref="C16" name="Range1_1_3_7"/>
    <protectedRange sqref="C17" name="Range1_1_3_8"/>
    <protectedRange sqref="C25" name="Range1_1_3_1"/>
    <protectedRange sqref="C29" name="Range1_1_3_2"/>
    <protectedRange sqref="C61" name="Range1_1_3_3"/>
  </protectedRanges>
  <mergeCells count="22">
    <mergeCell ref="O3:P4"/>
    <mergeCell ref="B4:K4"/>
    <mergeCell ref="C85:F85"/>
    <mergeCell ref="B11:B13"/>
    <mergeCell ref="C11:C13"/>
    <mergeCell ref="D11:D13"/>
    <mergeCell ref="E11:E13"/>
    <mergeCell ref="F11:F13"/>
    <mergeCell ref="G11:G13"/>
    <mergeCell ref="I12:I13"/>
    <mergeCell ref="I94:K94"/>
    <mergeCell ref="I99:K99"/>
    <mergeCell ref="C87:F87"/>
    <mergeCell ref="G6:K6"/>
    <mergeCell ref="I93:K93"/>
    <mergeCell ref="C86:F86"/>
    <mergeCell ref="B88:K89"/>
    <mergeCell ref="H92:K92"/>
    <mergeCell ref="H11:K11"/>
    <mergeCell ref="H12:H13"/>
    <mergeCell ref="J12:J13"/>
    <mergeCell ref="K12:K13"/>
  </mergeCells>
  <phoneticPr fontId="139" type="noConversion"/>
  <conditionalFormatting sqref="C15:C18">
    <cfRule type="cellIs" dxfId="16" priority="21" operator="equal">
      <formula>0</formula>
    </cfRule>
  </conditionalFormatting>
  <conditionalFormatting sqref="E1:E3 G1:G13 E5:E13 H12:I12 O13 E82:G82 H82:K84 E83:H83 E84:F84 S14:V81 E55:K56 E63:K65 E57:E62 G57:K62 E74:K81 E66:E73 G66:K73">
    <cfRule type="cellIs" dxfId="12" priority="1289" stopIfTrue="1" operator="equal">
      <formula>0</formula>
    </cfRule>
  </conditionalFormatting>
  <conditionalFormatting sqref="E14:K20 E40:K41 E21:E39 G21:K39 E53:K54 E42:E52 G42:K52">
    <cfRule type="cellIs" dxfId="11" priority="19" stopIfTrue="1" operator="equal">
      <formula>0</formula>
    </cfRule>
  </conditionalFormatting>
  <conditionalFormatting sqref="G83:G65549 E88:E65549">
    <cfRule type="cellIs" dxfId="10" priority="423" stopIfTrue="1" operator="equal">
      <formula>0</formula>
    </cfRule>
  </conditionalFormatting>
  <conditionalFormatting sqref="C22">
    <cfRule type="cellIs" dxfId="9" priority="10" operator="equal">
      <formula>0</formula>
    </cfRule>
  </conditionalFormatting>
  <conditionalFormatting sqref="C26">
    <cfRule type="cellIs" dxfId="8" priority="9" operator="equal">
      <formula>0</formula>
    </cfRule>
  </conditionalFormatting>
  <conditionalFormatting sqref="F21:F39">
    <cfRule type="cellIs" dxfId="7" priority="8" stopIfTrue="1" operator="equal">
      <formula>0</formula>
    </cfRule>
  </conditionalFormatting>
  <conditionalFormatting sqref="C25">
    <cfRule type="cellIs" dxfId="6" priority="7" operator="equal">
      <formula>0</formula>
    </cfRule>
  </conditionalFormatting>
  <conditionalFormatting sqref="C29">
    <cfRule type="cellIs" dxfId="5" priority="6" operator="equal">
      <formula>0</formula>
    </cfRule>
  </conditionalFormatting>
  <conditionalFormatting sqref="F42:F52">
    <cfRule type="cellIs" dxfId="4" priority="5" stopIfTrue="1" operator="equal">
      <formula>0</formula>
    </cfRule>
  </conditionalFormatting>
  <conditionalFormatting sqref="C58">
    <cfRule type="cellIs" dxfId="3" priority="4" operator="equal">
      <formula>0</formula>
    </cfRule>
  </conditionalFormatting>
  <conditionalFormatting sqref="F57:F62">
    <cfRule type="cellIs" dxfId="2" priority="3" stopIfTrue="1" operator="equal">
      <formula>0</formula>
    </cfRule>
  </conditionalFormatting>
  <conditionalFormatting sqref="C61">
    <cfRule type="cellIs" dxfId="1" priority="2" operator="equal">
      <formula>0</formula>
    </cfRule>
  </conditionalFormatting>
  <conditionalFormatting sqref="F66:F7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5:F81 F63 F21:F39 C23:C24 F42:F52 H14:K84 F70:F7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B19" zoomScale="130" zoomScaleNormal="130" zoomScaleSheetLayoutView="115" workbookViewId="0">
      <selection activeCell="P16" sqref="P16"/>
    </sheetView>
  </sheetViews>
  <sheetFormatPr defaultRowHeight="12"/>
  <cols>
    <col min="1" max="1" width="1.42578125" style="443" customWidth="1"/>
    <col min="2" max="22" width="5.7109375" style="443" customWidth="1"/>
    <col min="23" max="23" width="6.28515625" style="443" customWidth="1"/>
    <col min="24" max="117" width="5.7109375" style="443" customWidth="1"/>
    <col min="118" max="16384" width="9.140625" style="443"/>
  </cols>
  <sheetData>
    <row r="1" spans="2:29" ht="12.75" thickBot="1"/>
    <row r="2" spans="2:29" ht="12.75" customHeight="1">
      <c r="B2" s="444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621" t="str">
        <f>"PT. PLN (PERSERO) "&amp;'[88]DETAIL USULAN'!D5&amp;""</f>
        <v>PT. PLN (PERSERO) AREA DEMAK</v>
      </c>
      <c r="W2" s="622"/>
      <c r="X2" s="622"/>
      <c r="Y2" s="622"/>
      <c r="Z2" s="622"/>
      <c r="AA2" s="622"/>
      <c r="AB2" s="622"/>
      <c r="AC2" s="623"/>
    </row>
    <row r="3" spans="2:29">
      <c r="B3" s="446"/>
      <c r="V3" s="624"/>
      <c r="W3" s="625"/>
      <c r="X3" s="625"/>
      <c r="Y3" s="625"/>
      <c r="Z3" s="625"/>
      <c r="AA3" s="625"/>
      <c r="AB3" s="625"/>
      <c r="AC3" s="626"/>
    </row>
    <row r="4" spans="2:29">
      <c r="B4" s="446"/>
      <c r="V4" s="447" t="s">
        <v>986</v>
      </c>
      <c r="AC4" s="448"/>
    </row>
    <row r="5" spans="2:29" ht="12.75">
      <c r="B5" s="446"/>
      <c r="E5" s="449" t="str">
        <f>PETA!C6</f>
        <v>KOORDINAT :'-6.922989, 110.598142</v>
      </c>
      <c r="V5" s="450" t="s">
        <v>990</v>
      </c>
      <c r="W5" s="619" t="s">
        <v>989</v>
      </c>
      <c r="X5" s="619"/>
      <c r="Y5" s="619"/>
      <c r="Z5" s="619" t="s">
        <v>987</v>
      </c>
      <c r="AA5" s="619"/>
      <c r="AB5" s="619" t="s">
        <v>988</v>
      </c>
      <c r="AC5" s="620"/>
    </row>
    <row r="6" spans="2:29">
      <c r="B6" s="446"/>
      <c r="E6" s="452" t="s">
        <v>1627</v>
      </c>
      <c r="V6" s="450">
        <v>1</v>
      </c>
      <c r="W6" s="619" t="s">
        <v>992</v>
      </c>
      <c r="X6" s="619"/>
      <c r="Y6" s="619"/>
      <c r="Z6" s="619"/>
      <c r="AA6" s="619"/>
      <c r="AB6" s="619"/>
      <c r="AC6" s="620"/>
    </row>
    <row r="7" spans="2:29">
      <c r="B7" s="446"/>
      <c r="V7" s="450">
        <v>2</v>
      </c>
      <c r="W7" s="619" t="s">
        <v>993</v>
      </c>
      <c r="X7" s="619"/>
      <c r="Y7" s="619"/>
      <c r="Z7" s="619"/>
      <c r="AA7" s="619"/>
      <c r="AB7" s="619"/>
      <c r="AC7" s="620"/>
    </row>
    <row r="8" spans="2:29">
      <c r="B8" s="446"/>
      <c r="V8" s="450">
        <v>3</v>
      </c>
      <c r="W8" s="619" t="s">
        <v>994</v>
      </c>
      <c r="X8" s="619"/>
      <c r="Y8" s="619"/>
      <c r="Z8" s="619"/>
      <c r="AA8" s="619"/>
      <c r="AB8" s="619"/>
      <c r="AC8" s="620"/>
    </row>
    <row r="9" spans="2:29">
      <c r="B9" s="446"/>
      <c r="V9" s="450">
        <v>4</v>
      </c>
      <c r="W9" s="619" t="s">
        <v>995</v>
      </c>
      <c r="X9" s="619"/>
      <c r="Y9" s="619"/>
      <c r="Z9" s="619"/>
      <c r="AA9" s="619"/>
      <c r="AB9" s="619"/>
      <c r="AC9" s="620"/>
    </row>
    <row r="10" spans="2:29">
      <c r="B10" s="446"/>
      <c r="V10" s="450">
        <v>5</v>
      </c>
      <c r="W10" s="619" t="s">
        <v>996</v>
      </c>
      <c r="X10" s="619"/>
      <c r="Y10" s="619"/>
      <c r="Z10" s="619"/>
      <c r="AA10" s="619"/>
      <c r="AB10" s="619"/>
      <c r="AC10" s="620"/>
    </row>
    <row r="11" spans="2:29">
      <c r="B11" s="446"/>
      <c r="V11" s="450">
        <v>6</v>
      </c>
      <c r="W11" s="619" t="s">
        <v>997</v>
      </c>
      <c r="X11" s="619"/>
      <c r="Y11" s="619"/>
      <c r="Z11" s="619"/>
      <c r="AA11" s="619"/>
      <c r="AB11" s="619"/>
      <c r="AC11" s="620"/>
    </row>
    <row r="12" spans="2:29">
      <c r="B12" s="446"/>
      <c r="V12" s="450">
        <v>7</v>
      </c>
      <c r="W12" s="619" t="s">
        <v>998</v>
      </c>
      <c r="X12" s="619"/>
      <c r="Y12" s="619"/>
      <c r="Z12" s="619"/>
      <c r="AA12" s="619"/>
      <c r="AB12" s="619"/>
      <c r="AC12" s="620"/>
    </row>
    <row r="13" spans="2:29" ht="12.75" customHeight="1">
      <c r="B13" s="446"/>
      <c r="V13" s="450">
        <v>8</v>
      </c>
      <c r="W13" s="619" t="s">
        <v>999</v>
      </c>
      <c r="X13" s="619"/>
      <c r="Y13" s="619"/>
      <c r="Z13" s="619"/>
      <c r="AA13" s="619"/>
      <c r="AB13" s="619"/>
      <c r="AC13" s="620"/>
    </row>
    <row r="14" spans="2:29">
      <c r="B14" s="446"/>
      <c r="V14" s="450">
        <v>9</v>
      </c>
      <c r="W14" s="619" t="s">
        <v>1000</v>
      </c>
      <c r="X14" s="619"/>
      <c r="Y14" s="619"/>
      <c r="Z14" s="619"/>
      <c r="AA14" s="619"/>
      <c r="AB14" s="619"/>
      <c r="AC14" s="620"/>
    </row>
    <row r="15" spans="2:29">
      <c r="B15" s="446"/>
      <c r="V15" s="450">
        <v>10</v>
      </c>
      <c r="W15" s="619" t="s">
        <v>1009</v>
      </c>
      <c r="X15" s="619"/>
      <c r="Y15" s="619"/>
      <c r="Z15" s="619"/>
      <c r="AA15" s="619"/>
      <c r="AB15" s="619"/>
      <c r="AC15" s="620"/>
    </row>
    <row r="16" spans="2:29">
      <c r="B16" s="446"/>
      <c r="V16" s="450">
        <v>11</v>
      </c>
      <c r="W16" s="619" t="s">
        <v>1453</v>
      </c>
      <c r="X16" s="619"/>
      <c r="Y16" s="619"/>
      <c r="Z16" s="619"/>
      <c r="AA16" s="619"/>
      <c r="AB16" s="619"/>
      <c r="AC16" s="620"/>
    </row>
    <row r="17" spans="2:29">
      <c r="B17" s="446"/>
      <c r="V17" s="450">
        <v>12</v>
      </c>
      <c r="W17" s="619" t="s">
        <v>1010</v>
      </c>
      <c r="X17" s="619"/>
      <c r="Y17" s="619"/>
      <c r="Z17" s="619"/>
      <c r="AA17" s="619"/>
      <c r="AB17" s="619"/>
      <c r="AC17" s="620"/>
    </row>
    <row r="18" spans="2:29">
      <c r="B18" s="453"/>
      <c r="C18" s="454"/>
      <c r="D18" s="454"/>
      <c r="V18" s="450">
        <v>13</v>
      </c>
      <c r="W18" s="619"/>
      <c r="X18" s="619"/>
      <c r="Y18" s="619"/>
      <c r="Z18" s="619"/>
      <c r="AA18" s="619"/>
      <c r="AB18" s="619"/>
      <c r="AC18" s="620"/>
    </row>
    <row r="19" spans="2:29">
      <c r="B19" s="446"/>
      <c r="V19" s="455"/>
      <c r="W19" s="627"/>
      <c r="X19" s="627"/>
      <c r="Y19" s="627"/>
      <c r="Z19" s="627"/>
      <c r="AA19" s="627"/>
      <c r="AB19" s="627"/>
      <c r="AC19" s="628"/>
    </row>
    <row r="20" spans="2:29">
      <c r="B20" s="446"/>
      <c r="V20" s="629" t="s">
        <v>991</v>
      </c>
      <c r="W20" s="630"/>
      <c r="X20" s="630"/>
      <c r="Y20" s="630"/>
      <c r="Z20" s="630"/>
      <c r="AA20" s="630"/>
      <c r="AB20" s="630"/>
      <c r="AC20" s="631"/>
    </row>
    <row r="21" spans="2:29">
      <c r="B21" s="446"/>
      <c r="V21" s="632" t="s">
        <v>984</v>
      </c>
      <c r="W21" s="633"/>
      <c r="X21" s="633"/>
      <c r="Y21" s="634"/>
      <c r="Z21" s="635" t="s">
        <v>985</v>
      </c>
      <c r="AA21" s="636"/>
      <c r="AB21" s="636"/>
      <c r="AC21" s="637"/>
    </row>
    <row r="22" spans="2:29">
      <c r="B22" s="446"/>
      <c r="V22" s="642"/>
      <c r="W22" s="643"/>
      <c r="X22" s="456"/>
      <c r="Y22" s="457"/>
      <c r="Z22" s="644"/>
      <c r="AA22" s="645"/>
      <c r="AB22" s="458"/>
      <c r="AC22" s="459"/>
    </row>
    <row r="23" spans="2:29">
      <c r="B23" s="446"/>
      <c r="V23" s="646"/>
      <c r="W23" s="647"/>
      <c r="X23" s="456"/>
      <c r="Y23" s="457"/>
      <c r="Z23" s="640"/>
      <c r="AA23" s="641"/>
      <c r="AB23" s="458"/>
      <c r="AC23" s="459"/>
    </row>
    <row r="24" spans="2:29">
      <c r="B24" s="446"/>
      <c r="V24" s="648"/>
      <c r="W24" s="649"/>
      <c r="X24" s="456"/>
      <c r="Y24" s="457"/>
      <c r="Z24" s="650"/>
      <c r="AA24" s="651"/>
      <c r="AB24" s="458"/>
      <c r="AC24" s="459"/>
    </row>
    <row r="25" spans="2:29">
      <c r="B25" s="446"/>
      <c r="V25" s="638"/>
      <c r="W25" s="639"/>
      <c r="X25" s="456"/>
      <c r="Y25" s="457"/>
      <c r="Z25" s="640"/>
      <c r="AA25" s="641"/>
      <c r="AB25" s="458"/>
      <c r="AC25" s="459"/>
    </row>
    <row r="26" spans="2:29">
      <c r="B26" s="446"/>
      <c r="V26" s="638"/>
      <c r="W26" s="639"/>
      <c r="X26" s="456"/>
      <c r="Y26" s="457"/>
      <c r="Z26" s="640"/>
      <c r="AA26" s="641"/>
      <c r="AB26" s="458"/>
      <c r="AC26" s="459"/>
    </row>
    <row r="27" spans="2:29">
      <c r="B27" s="446"/>
      <c r="V27" s="638"/>
      <c r="W27" s="639"/>
      <c r="X27" s="456"/>
      <c r="Y27" s="457"/>
      <c r="Z27" s="640"/>
      <c r="AA27" s="641"/>
      <c r="AB27" s="458"/>
      <c r="AC27" s="459"/>
    </row>
    <row r="28" spans="2:29">
      <c r="B28" s="446"/>
      <c r="V28" s="654"/>
      <c r="W28" s="655"/>
      <c r="X28" s="456"/>
      <c r="Y28" s="457"/>
      <c r="Z28" s="640"/>
      <c r="AA28" s="641"/>
      <c r="AB28" s="458"/>
      <c r="AC28" s="459"/>
    </row>
    <row r="29" spans="2:29">
      <c r="B29" s="446"/>
      <c r="V29" s="638"/>
      <c r="W29" s="639"/>
      <c r="X29" s="456"/>
      <c r="Y29" s="457"/>
      <c r="Z29" s="640"/>
      <c r="AA29" s="641"/>
      <c r="AB29" s="458"/>
      <c r="AC29" s="459"/>
    </row>
    <row r="30" spans="2:29">
      <c r="B30" s="446"/>
      <c r="V30" s="638"/>
      <c r="W30" s="639"/>
      <c r="X30" s="456"/>
      <c r="Y30" s="457"/>
      <c r="Z30" s="640"/>
      <c r="AA30" s="641"/>
      <c r="AB30" s="458"/>
      <c r="AC30" s="459"/>
    </row>
    <row r="31" spans="2:29">
      <c r="B31" s="446"/>
      <c r="T31" s="460"/>
      <c r="V31" s="652"/>
      <c r="W31" s="653"/>
      <c r="X31" s="456"/>
      <c r="Y31" s="457"/>
      <c r="Z31" s="640"/>
      <c r="AA31" s="641"/>
      <c r="AB31" s="458"/>
      <c r="AC31" s="459"/>
    </row>
    <row r="32" spans="2:29">
      <c r="B32" s="446"/>
      <c r="T32" s="460"/>
      <c r="V32" s="652"/>
      <c r="W32" s="653"/>
      <c r="X32" s="456"/>
      <c r="Y32" s="457"/>
      <c r="Z32" s="640"/>
      <c r="AA32" s="641"/>
      <c r="AB32" s="458"/>
      <c r="AC32" s="459"/>
    </row>
    <row r="33" spans="2:29">
      <c r="B33" s="446"/>
      <c r="V33" s="652"/>
      <c r="W33" s="653"/>
      <c r="X33" s="456"/>
      <c r="Y33" s="457"/>
      <c r="Z33" s="640"/>
      <c r="AA33" s="641"/>
      <c r="AB33" s="458"/>
      <c r="AC33" s="459"/>
    </row>
    <row r="34" spans="2:29">
      <c r="B34" s="446"/>
      <c r="V34" s="652"/>
      <c r="W34" s="653"/>
      <c r="X34" s="456"/>
      <c r="Y34" s="457"/>
      <c r="Z34" s="640"/>
      <c r="AA34" s="641"/>
      <c r="AB34" s="458"/>
      <c r="AC34" s="459"/>
    </row>
    <row r="35" spans="2:29">
      <c r="B35" s="446"/>
      <c r="V35" s="652"/>
      <c r="W35" s="653"/>
      <c r="X35" s="456"/>
      <c r="Y35" s="457"/>
      <c r="Z35" s="640"/>
      <c r="AA35" s="641"/>
      <c r="AB35" s="458"/>
      <c r="AC35" s="459"/>
    </row>
    <row r="36" spans="2:29">
      <c r="B36" s="446"/>
      <c r="V36" s="664"/>
      <c r="W36" s="665"/>
      <c r="X36" s="456"/>
      <c r="Y36" s="461"/>
      <c r="Z36" s="666"/>
      <c r="AA36" s="641"/>
      <c r="AB36" s="458"/>
      <c r="AC36" s="459"/>
    </row>
    <row r="37" spans="2:29" ht="12.75" customHeight="1">
      <c r="B37" s="446"/>
      <c r="V37" s="656"/>
      <c r="W37" s="657"/>
      <c r="X37" s="456"/>
      <c r="Y37" s="461"/>
      <c r="Z37" s="658"/>
      <c r="AA37" s="659"/>
      <c r="AB37" s="464"/>
      <c r="AC37" s="465"/>
    </row>
    <row r="38" spans="2:29" ht="12.75" customHeight="1">
      <c r="B38" s="446"/>
      <c r="V38" s="660"/>
      <c r="W38" s="661"/>
      <c r="X38" s="466"/>
      <c r="Y38" s="461"/>
      <c r="Z38" s="462"/>
      <c r="AA38" s="463"/>
      <c r="AB38" s="464"/>
      <c r="AC38" s="465"/>
    </row>
    <row r="39" spans="2:29" ht="12" customHeight="1">
      <c r="B39" s="446"/>
      <c r="V39" s="660"/>
      <c r="W39" s="661"/>
      <c r="X39" s="466"/>
      <c r="Y39" s="467"/>
      <c r="Z39" s="662"/>
      <c r="AA39" s="663"/>
      <c r="AB39" s="464"/>
      <c r="AC39" s="465"/>
    </row>
    <row r="40" spans="2:29" ht="12" customHeight="1">
      <c r="B40" s="446"/>
      <c r="V40" s="660"/>
      <c r="W40" s="661"/>
      <c r="X40" s="466"/>
      <c r="Y40" s="467"/>
      <c r="Z40" s="468"/>
      <c r="AA40" s="469"/>
      <c r="AB40" s="464"/>
      <c r="AC40" s="465"/>
    </row>
    <row r="41" spans="2:29" ht="12" customHeight="1">
      <c r="B41" s="446"/>
      <c r="V41" s="676"/>
      <c r="W41" s="677"/>
      <c r="X41" s="470"/>
      <c r="Y41" s="471"/>
      <c r="Z41" s="662"/>
      <c r="AA41" s="663"/>
      <c r="AB41" s="464"/>
      <c r="AC41" s="465"/>
    </row>
    <row r="42" spans="2:29" ht="12" customHeight="1">
      <c r="B42" s="446"/>
      <c r="V42" s="678" t="s">
        <v>1454</v>
      </c>
      <c r="W42" s="679"/>
      <c r="X42" s="679"/>
      <c r="Y42" s="679"/>
      <c r="Z42" s="472"/>
      <c r="AA42" s="472"/>
      <c r="AB42" s="472"/>
      <c r="AC42" s="473"/>
    </row>
    <row r="43" spans="2:29" ht="12" customHeight="1">
      <c r="B43" s="446"/>
      <c r="U43" s="474"/>
      <c r="V43" s="475"/>
      <c r="W43" s="476"/>
      <c r="X43" s="476"/>
      <c r="Y43" s="476"/>
      <c r="Z43" s="476"/>
      <c r="AA43" s="476"/>
      <c r="AB43" s="476"/>
      <c r="AC43" s="477"/>
    </row>
    <row r="44" spans="2:29">
      <c r="B44" s="478"/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4"/>
      <c r="V44" s="667" t="s">
        <v>11</v>
      </c>
      <c r="W44" s="668"/>
      <c r="X44" s="619"/>
      <c r="Y44" s="619"/>
      <c r="Z44" s="619"/>
      <c r="AA44" s="619"/>
      <c r="AB44" s="619"/>
      <c r="AC44" s="620"/>
    </row>
    <row r="45" spans="2:29">
      <c r="B45" s="478"/>
      <c r="C45" s="479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4"/>
      <c r="V45" s="667" t="s">
        <v>983</v>
      </c>
      <c r="W45" s="668"/>
      <c r="X45" s="619">
        <v>1</v>
      </c>
      <c r="Y45" s="619"/>
      <c r="Z45" s="619"/>
      <c r="AA45" s="619" t="s">
        <v>12</v>
      </c>
      <c r="AB45" s="619"/>
      <c r="AC45" s="451" t="s">
        <v>13</v>
      </c>
    </row>
    <row r="46" spans="2:29">
      <c r="B46" s="478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4"/>
      <c r="V46" s="667" t="s">
        <v>15</v>
      </c>
      <c r="W46" s="668"/>
      <c r="X46" s="669"/>
      <c r="Y46" s="669"/>
      <c r="Z46" s="669"/>
      <c r="AA46" s="619" t="s">
        <v>16</v>
      </c>
      <c r="AB46" s="619"/>
      <c r="AC46" s="480"/>
    </row>
    <row r="47" spans="2:29">
      <c r="B47" s="478"/>
      <c r="C47" s="479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4"/>
      <c r="V47" s="670" t="s">
        <v>17</v>
      </c>
      <c r="W47" s="670"/>
      <c r="X47" s="670"/>
      <c r="Y47" s="670"/>
      <c r="Z47" s="670"/>
      <c r="AA47" s="670"/>
      <c r="AB47" s="670"/>
      <c r="AC47" s="671"/>
    </row>
    <row r="48" spans="2:29" ht="12.75" customHeight="1">
      <c r="B48" s="478"/>
      <c r="C48" s="479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4"/>
      <c r="V48" s="672" t="str">
        <f>[89]DATA!C8</f>
        <v>PT. DIMENSI PUTRA KARYA</v>
      </c>
      <c r="W48" s="672"/>
      <c r="X48" s="672"/>
      <c r="Y48" s="672"/>
      <c r="Z48" s="672"/>
      <c r="AA48" s="672"/>
      <c r="AB48" s="672"/>
      <c r="AC48" s="673"/>
    </row>
    <row r="49" spans="2:29">
      <c r="B49" s="478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81"/>
      <c r="V49" s="672"/>
      <c r="W49" s="672"/>
      <c r="X49" s="672"/>
      <c r="Y49" s="672"/>
      <c r="Z49" s="672"/>
      <c r="AA49" s="672"/>
      <c r="AB49" s="672"/>
      <c r="AC49" s="673"/>
    </row>
    <row r="50" spans="2:29">
      <c r="B50" s="478"/>
      <c r="C50" s="479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81"/>
      <c r="V50" s="674"/>
      <c r="W50" s="674"/>
      <c r="X50" s="674"/>
      <c r="Y50" s="674"/>
      <c r="Z50" s="674"/>
      <c r="AA50" s="674"/>
      <c r="AB50" s="674"/>
      <c r="AC50" s="675"/>
    </row>
    <row r="51" spans="2:29">
      <c r="B51" s="478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4"/>
      <c r="V51" s="667" t="s">
        <v>18</v>
      </c>
      <c r="W51" s="668"/>
      <c r="X51" s="619" t="s">
        <v>1613</v>
      </c>
      <c r="Y51" s="619"/>
      <c r="Z51" s="619"/>
      <c r="AA51" s="619"/>
      <c r="AB51" s="619"/>
      <c r="AC51" s="620"/>
    </row>
    <row r="52" spans="2:29">
      <c r="B52" s="478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U52" s="474"/>
      <c r="V52" s="667" t="s">
        <v>19</v>
      </c>
      <c r="W52" s="668"/>
      <c r="X52" s="619" t="s">
        <v>1614</v>
      </c>
      <c r="Y52" s="619"/>
      <c r="Z52" s="619"/>
      <c r="AA52" s="619"/>
      <c r="AB52" s="619"/>
      <c r="AC52" s="620"/>
    </row>
    <row r="53" spans="2:29">
      <c r="B53" s="478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U53" s="474"/>
      <c r="V53" s="667" t="s">
        <v>20</v>
      </c>
      <c r="W53" s="668"/>
      <c r="X53" s="619" t="s">
        <v>1614</v>
      </c>
      <c r="Y53" s="619"/>
      <c r="Z53" s="619"/>
      <c r="AA53" s="619"/>
      <c r="AB53" s="619"/>
      <c r="AC53" s="620"/>
    </row>
    <row r="54" spans="2:29" ht="12.75" thickBot="1">
      <c r="B54" s="482"/>
      <c r="C54" s="483"/>
      <c r="D54" s="483"/>
      <c r="E54" s="483"/>
      <c r="F54" s="483"/>
      <c r="G54" s="483"/>
      <c r="H54" s="483"/>
      <c r="I54" s="483"/>
      <c r="J54" s="483"/>
      <c r="K54" s="483"/>
      <c r="L54" s="483"/>
      <c r="M54" s="483"/>
      <c r="N54" s="483"/>
      <c r="O54" s="483"/>
      <c r="P54" s="483"/>
      <c r="Q54" s="483"/>
      <c r="R54" s="483"/>
      <c r="S54" s="483"/>
      <c r="T54" s="484"/>
      <c r="U54" s="485"/>
      <c r="V54" s="680" t="s">
        <v>21</v>
      </c>
      <c r="W54" s="681"/>
      <c r="X54" s="682" t="s">
        <v>1615</v>
      </c>
      <c r="Y54" s="682"/>
      <c r="Z54" s="682"/>
      <c r="AA54" s="682"/>
      <c r="AB54" s="682"/>
      <c r="AC54" s="683"/>
    </row>
  </sheetData>
  <mergeCells count="110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3" sqref="T3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4" t="s">
        <v>1526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17"/>
      <c r="AE4" s="216"/>
      <c r="AF4" s="216"/>
    </row>
    <row r="5" spans="2:32" ht="13.5" customHeight="1">
      <c r="B5" s="215"/>
      <c r="C5" s="215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17"/>
      <c r="AE5" s="216"/>
      <c r="AF5" s="216"/>
    </row>
    <row r="6" spans="2:32" ht="12.75" customHeight="1">
      <c r="B6" s="215"/>
      <c r="C6" s="215"/>
      <c r="D6" s="687"/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9"/>
      <c r="AE6" s="216"/>
      <c r="AF6" s="216"/>
    </row>
    <row r="7" spans="2:32" ht="12.75" customHeight="1" thickBot="1">
      <c r="B7" s="215"/>
      <c r="C7" s="215"/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U43" sqref="U43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8" t="s">
        <v>1525</v>
      </c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8"/>
      <c r="V3" s="688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3" t="s">
        <v>1619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182"/>
      <c r="Y6" s="374"/>
      <c r="Z6" s="374"/>
      <c r="AA6" s="374"/>
      <c r="AB6" s="375"/>
      <c r="AC6" s="375"/>
    </row>
    <row r="7" spans="1:29" ht="18" customHeight="1">
      <c r="A7" s="181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2024-05-09T04:38:18Z</dcterms:modified>
</cp:coreProperties>
</file>