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1CD68D8A-EA7A-4DB7-A912-6D1E5B2DBC25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1" i="11" l="1"/>
  <c r="F40" i="11"/>
  <c r="F39" i="11"/>
  <c r="F38" i="11"/>
  <c r="F37" i="11"/>
  <c r="F36" i="11"/>
  <c r="D17" i="11"/>
  <c r="J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J25" i="11" s="1"/>
  <c r="E25" i="11"/>
  <c r="G25" i="11"/>
  <c r="F31" i="11"/>
  <c r="F29" i="11"/>
  <c r="F28" i="11"/>
  <c r="F27" i="11"/>
  <c r="D29" i="11"/>
  <c r="D30" i="11"/>
  <c r="D31" i="11"/>
  <c r="D32" i="11"/>
  <c r="D33" i="11"/>
  <c r="D34" i="11"/>
  <c r="D26" i="11"/>
  <c r="D27" i="11"/>
  <c r="D28" i="11"/>
  <c r="I17" i="11" l="1"/>
  <c r="H17" i="11"/>
  <c r="K17" i="11" s="1"/>
  <c r="J19" i="11"/>
  <c r="I21" i="11"/>
  <c r="H25" i="11"/>
  <c r="I25" i="11"/>
  <c r="H21" i="11"/>
  <c r="I20" i="11"/>
  <c r="I23" i="11"/>
  <c r="I19" i="11"/>
  <c r="H23" i="11"/>
  <c r="I22" i="11"/>
  <c r="I18" i="11"/>
  <c r="H24" i="11"/>
  <c r="J22" i="11"/>
  <c r="J20" i="11"/>
  <c r="H18" i="11"/>
  <c r="K18" i="11" s="1"/>
  <c r="I24" i="11"/>
  <c r="G15" i="11"/>
  <c r="G16" i="11"/>
  <c r="D15" i="11"/>
  <c r="H15" i="11" s="1"/>
  <c r="E15" i="11"/>
  <c r="D16" i="11"/>
  <c r="J16" i="11" s="1"/>
  <c r="E16" i="11"/>
  <c r="G14" i="11"/>
  <c r="E14" i="11"/>
  <c r="D14" i="11"/>
  <c r="J14" i="11" s="1"/>
  <c r="G7" i="11"/>
  <c r="V48" i="68"/>
  <c r="V2" i="68"/>
  <c r="J33" i="11"/>
  <c r="E33" i="11"/>
  <c r="G33" i="11"/>
  <c r="G32" i="11"/>
  <c r="E32" i="11"/>
  <c r="G31" i="11"/>
  <c r="E31" i="11"/>
  <c r="H31" i="11"/>
  <c r="G30" i="11"/>
  <c r="H30" i="11" s="1"/>
  <c r="E30" i="11"/>
  <c r="J30" i="11"/>
  <c r="G29" i="11"/>
  <c r="E29" i="11"/>
  <c r="G28" i="11"/>
  <c r="E28" i="11"/>
  <c r="J27" i="11"/>
  <c r="I27" i="11"/>
  <c r="G27" i="11"/>
  <c r="H27" i="11" s="1"/>
  <c r="E27" i="11"/>
  <c r="G26" i="11"/>
  <c r="E26" i="11"/>
  <c r="H26" i="11"/>
  <c r="K19" i="11" l="1"/>
  <c r="K22" i="11"/>
  <c r="K23" i="11"/>
  <c r="K20" i="11"/>
  <c r="K21" i="11"/>
  <c r="K25" i="11"/>
  <c r="K24" i="11"/>
  <c r="I16" i="11"/>
  <c r="H16" i="11"/>
  <c r="I15" i="11"/>
  <c r="J15" i="11"/>
  <c r="H14" i="11"/>
  <c r="I14" i="11"/>
  <c r="H33" i="11"/>
  <c r="I33" i="11"/>
  <c r="K27" i="11"/>
  <c r="J31" i="11"/>
  <c r="I28" i="11"/>
  <c r="I29" i="11"/>
  <c r="J32" i="11"/>
  <c r="I26" i="11"/>
  <c r="J28" i="11"/>
  <c r="J29" i="11"/>
  <c r="H32" i="11"/>
  <c r="J26" i="11"/>
  <c r="I32" i="11"/>
  <c r="H28" i="11"/>
  <c r="H29" i="11"/>
  <c r="I30" i="11"/>
  <c r="I31" i="11"/>
  <c r="F48" i="11"/>
  <c r="F47" i="11"/>
  <c r="F46" i="11"/>
  <c r="F45" i="11"/>
  <c r="F44" i="11"/>
  <c r="K16" i="11" l="1"/>
  <c r="K15" i="11"/>
  <c r="K14" i="11"/>
  <c r="K33" i="11"/>
  <c r="K30" i="11"/>
  <c r="K32" i="11"/>
  <c r="K31" i="11"/>
  <c r="K29" i="11"/>
  <c r="K26" i="11"/>
  <c r="K28" i="11"/>
  <c r="J34" i="11"/>
  <c r="E34" i="11"/>
  <c r="G34" i="11"/>
  <c r="D35" i="11"/>
  <c r="E35" i="11"/>
  <c r="G35" i="11"/>
  <c r="D36" i="11"/>
  <c r="H36" i="11" s="1"/>
  <c r="E36" i="11"/>
  <c r="G36" i="11"/>
  <c r="D37" i="11"/>
  <c r="E37" i="11"/>
  <c r="G37" i="11"/>
  <c r="D38" i="11"/>
  <c r="J38" i="11" s="1"/>
  <c r="E38" i="11"/>
  <c r="G38" i="11"/>
  <c r="D39" i="11"/>
  <c r="E39" i="11"/>
  <c r="G39" i="11"/>
  <c r="D40" i="11"/>
  <c r="H40" i="11" s="1"/>
  <c r="E40" i="11"/>
  <c r="G40" i="11"/>
  <c r="D41" i="11"/>
  <c r="J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E44" i="11"/>
  <c r="G44" i="11"/>
  <c r="D45" i="11"/>
  <c r="E45" i="11"/>
  <c r="G45" i="11"/>
  <c r="D46" i="11"/>
  <c r="J46" i="11" s="1"/>
  <c r="E46" i="11"/>
  <c r="G46" i="11"/>
  <c r="D47" i="11"/>
  <c r="E47" i="11"/>
  <c r="G47" i="11"/>
  <c r="D48" i="11"/>
  <c r="E48" i="11"/>
  <c r="G48" i="11"/>
  <c r="D49" i="11"/>
  <c r="J49" i="11" s="1"/>
  <c r="E49" i="11"/>
  <c r="G49" i="11"/>
  <c r="I45" i="11" l="1"/>
  <c r="H44" i="11"/>
  <c r="I47" i="11"/>
  <c r="I49" i="11"/>
  <c r="J44" i="11"/>
  <c r="H49" i="11"/>
  <c r="I38" i="11"/>
  <c r="I46" i="11"/>
  <c r="I44" i="11"/>
  <c r="I43" i="11"/>
  <c r="I42" i="11"/>
  <c r="I41" i="11"/>
  <c r="H41" i="11"/>
  <c r="J40" i="11"/>
  <c r="I34" i="11"/>
  <c r="H46" i="11"/>
  <c r="J36" i="11"/>
  <c r="H48" i="11"/>
  <c r="I48" i="11"/>
  <c r="J39" i="11"/>
  <c r="H39" i="11"/>
  <c r="J37" i="11"/>
  <c r="H37" i="11"/>
  <c r="J48" i="11"/>
  <c r="H45" i="11"/>
  <c r="J45" i="11"/>
  <c r="I39" i="11"/>
  <c r="I37" i="11"/>
  <c r="H42" i="11"/>
  <c r="H38" i="11"/>
  <c r="I36" i="11"/>
  <c r="H34" i="11"/>
  <c r="H43" i="11"/>
  <c r="J47" i="11"/>
  <c r="H47" i="11"/>
  <c r="J35" i="11"/>
  <c r="H35" i="11"/>
  <c r="I35" i="11"/>
  <c r="I40" i="11"/>
  <c r="K34" i="11" l="1"/>
  <c r="K44" i="11"/>
  <c r="K43" i="11"/>
  <c r="K38" i="11"/>
  <c r="K49" i="11"/>
  <c r="K36" i="11"/>
  <c r="K46" i="11"/>
  <c r="K41" i="11"/>
  <c r="K42" i="11"/>
  <c r="K48" i="11"/>
  <c r="K40" i="11"/>
  <c r="K47" i="11"/>
  <c r="K45" i="11"/>
  <c r="K39" i="11"/>
  <c r="K37" i="11"/>
  <c r="K35" i="11"/>
  <c r="G6" i="11" l="1"/>
  <c r="K19" i="60" l="1"/>
  <c r="D19" i="60"/>
  <c r="J50" i="11" l="1"/>
  <c r="H50" i="11"/>
  <c r="I50" i="11"/>
  <c r="K50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6" i="11" l="1"/>
  <c r="D5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0" i="11"/>
  <c r="D51" i="11"/>
  <c r="H51" i="11" s="1"/>
  <c r="E5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1" i="11"/>
  <c r="I5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51" i="11"/>
  <c r="K53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3" i="11"/>
  <c r="H54" i="11" s="1"/>
  <c r="I53" i="11"/>
  <c r="I54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00" i="29" l="1"/>
  <c r="F320" i="29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5" i="11"/>
  <c r="I5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4" i="11" l="1"/>
  <c r="K55" i="11" s="1"/>
  <c r="B5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53" i="11"/>
  <c r="J5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10" i="4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<sst xmlns="http://schemas.openxmlformats.org/spreadsheetml/2006/main" count="4715" uniqueCount="1626">
  <si>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</si>
  <si>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</si>
  <si>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</si>
  <si>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</si>
  <si>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</si>
  <si>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</si>
  <si>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</si>
  <si>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</si>
  <si>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</si>
  <si>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</si>
  <si>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</si>
  <si>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</si>
  <si>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</si>
  <si>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</si>
  <si>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</si>
  <si>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</si>
  <si>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</si>
  <si>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</si>
  <si>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</si>
  <si>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</si>
  <si>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</si>
  <si>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</si>
  <si>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</si>
  <si>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</si>
  <si>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</si>
  <si>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</si>
  <si>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</si>
  <si>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</si>
  <si>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</si>
  <si>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</si>
  <si>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</si>
  <si>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</si>
  <si>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</si>
  <si>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</si>
  <si>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</si>
  <si>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</si>
  <si>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</si>
  <si>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</si>
  <si>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</si>
  <si>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</si>
  <si>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</si>
  <si>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</si>
  <si>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</si>
  <si>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</si>
  <si>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</si>
  <si>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</si>
  <si>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</si>
  <si>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</si>
  <si>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</si>
  <si>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</si>
  <si>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</si>
  <si>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</si>
  <si>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</si>
  <si>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</si>
  <si>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</si>
  <si>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</si>
  <si>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</si>
  <si>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</si>
  <si>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</si>
  <si>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</si>
  <si>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</si>
  <si>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</si>
  <si>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</si>
  <si>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</si>
  <si>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</si>
  <si>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</si>
  <si>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</si>
  <si>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</si>
  <si>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</si>
  <si>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</si>
  <si>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</si>
  <si>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</si>
  <si>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</si>
  <si>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</si>
  <si>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</si>
  <si>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</si>
  <si>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</si>
  <si>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</si>
  <si>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</si>
  <si>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</si>
  <si>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</si>
  <si>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</si>
  <si>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</si>
  <si>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</si>
  <si>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</si>
  <si>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</si>
  <si>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</si>
  <si>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</si>
  <si>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</si>
  <si>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</si>
  <si>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</si>
  <si>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</si>
  <si>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</si>
  <si>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</si>
  <si>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</si>
  <si>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</si>
  <si>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</si>
  <si>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</si>
  <si>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</si>
  <si>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</si>
  <si>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</si>
  <si>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</si>
  <si>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</si>
  <si>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</si>
  <si>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</si>
  <si>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</si>
  <si>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</si>
  <si>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</si>
  <si>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</si>
  <si>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</si>
  <si>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</si>
  <si>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</si>
  <si>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</si>
  <si>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</si>
  <si>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</si>
  <si>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</si>
  <si>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</si>
  <si>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</si>
  <si>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</si>
  <si>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</si>
  <si>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</si>
  <si>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</si>
  <si>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</si>
  <si>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</si>
  <si>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</si>
  <si>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</si>
  <si>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</si>
  <si>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</si>
  <si>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</si>
  <si>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</si>
  <si>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</si>
  <si>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</si>
  <si>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</si>
  <si>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</si>
  <si>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</si>
  <si>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</si>
  <si>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</si>
  <si>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</si>
  <si>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</si>
  <si>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</si>
  <si>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</si>
  <si>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</si>
  <si>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</si>
  <si>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</si>
  <si>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</si>
  <si>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</si>
  <si>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</si>
  <si>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</si>
  <si>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</si>
  <si>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</si>
  <si>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</si>
  <si>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</si>
  <si>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</si>
  <si>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</si>
  <si>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</si>
  <si>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</si>
  <si>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</si>
  <si>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</si>
  <si>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</si>
  <si>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</si>
  <si>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</si>
  <si>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</si>
  <si>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</si>
  <si>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</si>
  <si>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</si>
  <si>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</si>
  <si>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</si>
  <si>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</si>
  <si>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</si>
  <si>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</si>
  <si>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</si>
  <si>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</si>
  <si>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</si>
  <si>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</si>
  <si>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</si>
  <si>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</si>
  <si>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</si>
  <si>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</si>
  <si>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</si>
  <si>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</si>
  <si>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</si>
  <si>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</si>
  <si>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</si>
  <si>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</si>
  <si>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</si>
  <si>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</si>
  <si>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</si>
  <si>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</si>
  <si>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</si>
  <si>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</si>
  <si>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</si>
  <si>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</si>
  <si>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</si>
  <si>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</si>
  <si>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</si>
  <si>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</si>
  <si>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</si>
  <si>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</si>
  <si>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</si>
  <si>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</si>
  <si>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</si>
  <si>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</si>
  <si>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</si>
  <si>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</si>
  <si>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</si>
  <si>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</si>
  <si>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</si>
  <si>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</si>
  <si>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</si>
  <si>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</si>
  <si>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</si>
  <si>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</si>
  <si>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</si>
  <si>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</si>
  <si>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</si>
  <si>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</si>
  <si>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</si>
  <si>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</si>
  <si>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</si>
  <si>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</si>
  <si>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</si>
  <si>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</si>
  <si>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</si>
  <si>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</si>
  <si>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</si>
  <si>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</si>
  <si>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</si>
  <si>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</si>
  <si>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</si>
  <si>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</si>
  <si>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</si>
  <si>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</si>
  <si>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</si>
  <si>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</si>
  <si>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</si>
  <si>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</si>
  <si>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</si>
  <si>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</si>
  <si>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</si>
  <si>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</si>
  <si>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</si>
  <si>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</si>
  <si>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</si>
  <si>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</si>
  <si>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</si>
  <si>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</si>
  <si>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</si>
  <si>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</si>
  <si>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</si>
  <si>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</si>
  <si>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</si>
  <si>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</si>
  <si>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</si>
  <si>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</si>
  <si>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</si>
  <si>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</si>
  <si>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</si>
  <si>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</si>
  <si>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</si>
  <si>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</si>
  <si>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</si>
  <si>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</si>
  <si>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</si>
  <si>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</si>
  <si>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</si>
  <si>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</si>
  <si>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</si>
  <si>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</si>
  <si>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</si>
  <si>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</si>
  <si>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</si>
  <si>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</si>
  <si>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</si>
  <si>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</si>
  <si>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</si>
  <si>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</si>
  <si>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</si>
  <si>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</si>
  <si>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</si>
  <si>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</si>
  <si>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</si>
  <si>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</si>
  <si>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</si>
  <si>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</si>
  <si>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</si>
  <si>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</si>
  <si>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</si>
  <si>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</si>
  <si>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</si>
  <si>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</si>
  <si>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</si>
  <si>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</si>
  <si>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</si>
  <si>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</si>
  <si>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</si>
  <si>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</si>
  <si>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</si>
  <si>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</si>
  <si>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</si>
  <si>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</si>
  <si>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</si>
  <si>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</si>
  <si>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</si>
  <si>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</si>
  <si>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</si>
  <si>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</si>
  <si>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</si>
  <si>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</si>
  <si>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</si>
  <si>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</si>
  <si>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</si>
  <si>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</si>
  <si>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</si>
  <si>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</si>
  <si>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</si>
  <si>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</si>
  <si>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</si>
  <si>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</si>
  <si>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</si>
  <si>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</si>
  <si>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</si>
  <si>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</si>
  <si>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</si>
  <si>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</si>
  <si>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</si>
  <si>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</si>
  <si>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</si>
  <si>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</si>
  <si>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</si>
  <si>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</si>
  <si>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</si>
  <si>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</si>
  <si>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</si>
  <si>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</si>
  <si>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</si>
  <si>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</si>
  <si>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</si>
  <si>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</si>
  <si>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</si>
  <si>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</si>
  <si>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</si>
  <si>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</si>
  <si>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</si>
  <si>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</si>
  <si>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</si>
  <si>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</si>
  <si>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</si>
  <si>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</si>
  <si>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</si>
  <si>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</si>
  <si>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</si>
  <si>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</si>
  <si>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</si>
  <si>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</si>
  <si>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</si>
  <si>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</si>
  <si>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</si>
  <si>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</si>
  <si>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</si>
  <si>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</si>
  <si>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</si>
  <si>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</si>
  <si>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</si>
  <si>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</si>
  <si>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</si>
  <si>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</si>
  <si>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</si>
  <si>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</si>
  <si>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</si>
  <si>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</si>
  <si>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</si>
  <si>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</si>
  <si>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</si>
  <si>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</si>
  <si>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</si>
  <si>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</si>
  <si>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</si>
  <si>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</si>
  <si>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</si>
  <si>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</si>
  <si>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</si>
  <si>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</si>
  <si>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</si>
  <si>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</si>
  <si>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</si>
  <si>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</si>
  <si>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</si>
  <si>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</si>
  <si>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</si>
  <si>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</si>
  <si>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</si>
  <si>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</si>
  <si>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</si>
  <si>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</si>
  <si>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</si>
  <si>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</si>
  <si>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</si>
  <si>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</si>
  <si>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</si>
  <si>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</si>
  <si>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</si>
  <si>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</si>
  <si>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</si>
  <si>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</si>
  <si>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</si>
  <si>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</si>
  <si>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</si>
  <si>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</si>
  <si>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</si>
  <si>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</si>
  <si>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</si>
  <si>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</si>
  <si>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</si>
  <si>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</si>
  <si>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</si>
  <si>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</si>
  <si>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</si>
  <si>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</si>
  <si>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</si>
  <si>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</si>
  <si>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</si>
  <si>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</si>
  <si>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</si>
  <si>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</si>
  <si>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</si>
  <si>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</si>
  <si>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</si>
  <si>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</si>
  <si>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</si>
  <si>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</si>
  <si>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</si>
  <si>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</si>
  <si>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</si>
  <si>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</si>
  <si>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</si>
  <si>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</si>
  <si>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</si>
  <si>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</si>
  <si>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</si>
  <si>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</si>
  <si>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</si>
  <si>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</si>
  <si>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</si>
  <si>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</si>
  <si>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</si>
  <si>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</si>
  <si>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</si>
  <si>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</si>
  <si>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</si>
  <si>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</si>
  <si>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</si>
  <si>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</si>
  <si>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</si>
  <si>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</si>
  <si>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</si>
  <si>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</si>
  <si>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</si>
  <si>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</si>
  <si>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</si>
  <si>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</si>
  <si>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</si>
  <si>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</si>
  <si>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</si>
  <si>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</si>
  <si>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</si>
  <si>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</si>
  <si>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</si>
  <si>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</si>
  <si>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</si>
  <si>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</si>
  <si>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</si>
  <si>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</si>
  <si>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</si>
  <si>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</si>
  <si>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</si>
  <si>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</si>
  <si>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</si>
  <si>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</si>
  <si>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</si>
  <si>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</si>
  <si>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</si>
  <si>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</si>
  <si>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</si>
  <si>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</si>
  <si>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</si>
  <si>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</si>
  <si>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</si>
  <si>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</si>
  <si>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</si>
  <si>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</si>
  <si>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</si>
  <si>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</si>
  <si>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</si>
  <si>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</si>
  <si>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</si>
  <si>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</si>
  <si>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</si>
  <si>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</si>
  <si>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</si>
  <si>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</si>
  <si>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</si>
  <si>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</si>
  <si>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</si>
  <si>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</si>
  <si>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</si>
  <si>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</si>
  <si>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</si>
  <si>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</si>
  <si>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</si>
  <si>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</si>
  <si>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</si>
  <si>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</si>
  <si>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</si>
  <si>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</si>
  <si>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</si>
  <si>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</si>
  <si>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</si>
  <si>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</si>
  <si>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</si>
  <si>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</si>
  <si>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</si>
  <si>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</si>
  <si>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</si>
  <si>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</si>
  <si>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</si>
  <si>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</si>
  <si>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</si>
  <si>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</si>
  <si>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</si>
  <si>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</si>
  <si>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</si>
  <si>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</si>
  <si>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</si>
  <si>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</si>
  <si>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</si>
  <si>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</si>
  <si>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</si>
  <si>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</si>
  <si>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</si>
  <si>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</si>
  <si>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</si>
  <si>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</si>
  <si>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</si>
  <si>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</si>
  <si>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</si>
  <si>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</si>
  <si>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</si>
  <si>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</si>
  <si>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</si>
  <si>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</si>
  <si>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</si>
  <si>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</si>
  <si>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</si>
  <si>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</si>
  <si>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</si>
  <si>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</si>
  <si>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</si>
  <si>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</si>
  <si>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</si>
  <si>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</si>
  <si>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</si>
  <si>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</si>
  <si>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</si>
  <si>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</si>
  <si>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</si>
  <si>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</si>
  <si>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</si>
  <si>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</si>
  <si>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</si>
  <si>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</si>
  <si>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</si>
  <si>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</si>
  <si>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</si>
  <si>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</si>
  <si>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</si>
  <si>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</si>
  <si>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</si>
  <si>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</si>
  <si>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</si>
  <si>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</si>
  <si>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</si>
  <si>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</si>
  <si>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</si>
  <si>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</si>
  <si>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</si>
  <si>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</si>
  <si>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</si>
  <si>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</si>
  <si>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</si>
  <si>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</si>
  <si>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</si>
  <si>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</si>
  <si>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</si>
  <si>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</si>
  <si>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</si>
  <si>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</si>
  <si>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</si>
  <si>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</si>
  <si>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</si>
  <si>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</si>
  <si>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</si>
  <si>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</si>
  <si>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</si>
  <si>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</si>
  <si>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</si>
  <si>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</si>
  <si>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</si>
  <si>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</si>
  <si>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</si>
  <si>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</si>
  <si>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</si>
  <si>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</si>
  <si>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</si>
  <si>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</si>
  <si>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</si>
  <si>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</si>
  <si>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</si>
  <si>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</si>
  <si>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</si>
  <si>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</si>
  <si>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</si>
  <si>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</si>
  <si>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</si>
  <si>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</si>
  <si>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</si>
  <si>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</si>
  <si>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</si>
  <si>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</si>
  <si>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</si>
  <si>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</si>
  <si>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</si>
  <si>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</si>
  <si>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</si>
  <si>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</si>
  <si>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</si>
  <si>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</si>
  <si>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</si>
  <si>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</si>
  <si>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</si>
  <si>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</si>
  <si>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</si>
  <si>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</si>
  <si>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</si>
  <si>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</si>
  <si>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</si>
  <si>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</si>
  <si>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</si>
  <si>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</si>
  <si>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</si>
  <si>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</si>
  <si>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</si>
  <si>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</si>
  <si>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</si>
  <si>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</si>
  <si>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</si>
  <si>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</si>
  <si>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</si>
  <si>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</si>
  <si>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</si>
  <si>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</si>
  <si>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</si>
  <si>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</si>
  <si>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</si>
  <si>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</si>
  <si>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</si>
  <si>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</si>
  <si>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</si>
  <si>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</si>
  <si>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</si>
  <si>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</si>
  <si>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</si>
  <si>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</si>
  <si>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</si>
  <si>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</si>
  <si>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</si>
  <si>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</si>
  <si>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</si>
  <si>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</si>
  <si>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</si>
  <si>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</si>
  <si>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</si>
  <si>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</si>
  <si>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</si>
  <si>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</si>
  <si>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</si>
  <si>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</si>
  <si>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</si>
  <si>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</si>
  <si>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</si>
  <si>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</si>
  <si>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</si>
  <si>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</si>
  <si>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</si>
  <si>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</si>
  <si>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</si>
  <si>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</si>
  <si>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</si>
  <si>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</si>
  <si>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</si>
  <si>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</si>
  <si>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</si>
  <si>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</si>
  <si>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</si>
  <si>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</si>
  <si>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</si>
  <si>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</si>
  <si>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</si>
  <si>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</si>
  <si>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</si>
  <si>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</si>
  <si>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</si>
  <si>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</si>
  <si>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</si>
  <si>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</si>
  <si>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</si>
  <si>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</si>
  <si>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</si>
  <si>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</si>
  <si>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</si>
  <si>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</si>
  <si>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</si>
  <si>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</si>
  <si>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</si>
  <si>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</si>
  <si>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</si>
  <si>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</si>
  <si>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</si>
  <si>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</si>
  <si>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</si>
  <si>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</si>
  <si>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</si>
  <si>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</si>
  <si>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</si>
  <si>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</si>
  <si>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</si>
  <si>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</si>
  <si>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</si>
  <si>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</si>
  <si>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</si>
  <si>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</si>
  <si>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</si>
  <si>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</si>
  <si>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</si>
  <si>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</si>
  <si>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</si>
  <si>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</si>
  <si>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</si>
  <si>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</si>
  <si>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</si>
  <si>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</si>
  <si>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</si>
  <si>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</si>
  <si>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</si>
  <si>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</si>
  <si>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</si>
  <si>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</si>
  <si>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</si>
  <si>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</si>
  <si>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</si>
  <si>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</si>
  <si>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</si>
  <si>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</si>
  <si>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</si>
  <si>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</si>
  <si>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</si>
  <si>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</si>
  <si>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</si>
  <si>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</si>
  <si>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</si>
  <si>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</si>
  <si>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</si>
  <si>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</si>
  <si>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</si>
  <si>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</si>
  <si>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</si>
  <si>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</si>
  <si>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</si>
  <si>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</si>
  <si>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</si>
  <si>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</si>
  <si>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</si>
  <si>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</si>
  <si>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</si>
  <si>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</si>
  <si>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</si>
  <si>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</si>
  <si>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</si>
  <si>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</si>
  <si>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</si>
  <si>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</si>
  <si>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</si>
  <si>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</si>
  <si>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</si>
  <si>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</si>
  <si>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</si>
  <si>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</si>
  <si>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</si>
  <si>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</si>
  <si>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</si>
  <si>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</si>
  <si>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</si>
  <si>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</si>
  <si>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</si>
  <si>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</si>
  <si>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</si>
  <si>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</si>
  <si>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</si>
  <si>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</si>
  <si>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</si>
  <si>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</si>
  <si>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</si>
  <si>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</si>
  <si>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</si>
  <si>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</si>
  <si>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</si>
  <si>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</si>
  <si>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</si>
  <si>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</si>
  <si>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</si>
  <si>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</si>
  <si>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</si>
  <si>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</si>
  <si>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</si>
  <si>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</si>
  <si>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</si>
  <si>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</si>
  <si>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</si>
  <si>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</si>
  <si>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</si>
  <si>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</si>
  <si>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</si>
  <si>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</si>
  <si>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</si>
  <si>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</si>
  <si>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</si>
  <si>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</si>
  <si>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</si>
  <si>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</si>
  <si>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</si>
  <si>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</si>
  <si>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</si>
  <si>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</si>
  <si>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</si>
  <si>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</si>
  <si>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</si>
  <si>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</si>
  <si>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</si>
  <si>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</si>
  <si>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</si>
  <si>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</si>
  <si>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</si>
  <si>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</si>
  <si>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</si>
  <si>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</si>
  <si>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</si>
  <si>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</si>
  <si>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</si>
  <si>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</si>
  <si>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</si>
  <si>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</si>
  <si>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</si>
  <si>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</si>
  <si>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</si>
  <si>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</si>
  <si>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</si>
  <si>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</si>
  <si>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</si>
  <si>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</si>
  <si>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</si>
  <si>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</si>
  <si>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</si>
  <si>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</si>
  <si>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</si>
  <si>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</si>
  <si>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</si>
  <si>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</si>
  <si>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</si>
  <si>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</si>
  <si>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</si>
  <si>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</si>
  <si>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</si>
  <si>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</si>
  <si>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</si>
  <si>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</si>
  <si>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</si>
  <si>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</si>
  <si>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</si>
  <si>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</si>
  <si>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</si>
  <si>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</si>
  <si>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</si>
  <si>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</si>
  <si>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</si>
  <si>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</si>
  <si>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</si>
  <si>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</si>
  <si>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</si>
  <si>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</si>
  <si>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</si>
  <si>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</si>
  <si>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</si>
  <si>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</si>
  <si>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</si>
  <si>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</si>
  <si>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</si>
  <si>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</si>
  <si>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</si>
  <si>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</si>
  <si>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</si>
  <si>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</si>
  <si>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</si>
  <si>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</si>
  <si>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</si>
  <si>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</si>
  <si>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</si>
  <si>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</si>
  <si>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</si>
  <si>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</si>
  <si>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</si>
  <si>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</si>
  <si>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</si>
  <si>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</si>
  <si>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</si>
  <si>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</si>
  <si>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</si>
  <si>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</si>
  <si>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</si>
  <si>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</si>
  <si>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</si>
  <si>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</si>
  <si>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</si>
  <si>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</si>
  <si>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</si>
  <si>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</si>
  <si>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</si>
  <si>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</si>
  <si>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</si>
  <si>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</si>
  <si>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</si>
  <si>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</si>
  <si>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</si>
  <si>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</si>
  <si>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</si>
  <si>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</si>
  <si>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</si>
  <si>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</si>
  <si>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</si>
  <si>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</si>
  <si>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</si>
  <si>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</si>
  <si>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</si>
  <si>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</si>
  <si>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</si>
  <si>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</si>
  <si>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</si>
  <si>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</si>
  <si>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</si>
  <si>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</si>
  <si>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</si>
  <si>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</si>
  <si>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</si>
  <si>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</si>
  <si>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</si>
  <si>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</si>
  <si>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</si>
  <si>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</si>
  <si>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</si>
  <si>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</si>
  <si>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</si>
  <si>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</si>
  <si>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</si>
  <si>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</si>
  <si>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</si>
  <si>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</si>
  <si>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</si>
  <si>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</si>
  <si>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</si>
  <si>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</si>
  <si>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</si>
  <si>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</si>
  <si>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</si>
  <si>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</si>
  <si>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</si>
  <si>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</si>
  <si>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</si>
  <si>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</si>
  <si>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</si>
  <si>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</si>
  <si>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</si>
  <si>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</si>
  <si>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</si>
  <si>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</si>
  <si>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</si>
  <si>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</si>
  <si>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</si>
  <si>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</si>
  <si>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</si>
  <si>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</si>
  <si>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</si>
  <si>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</si>
  <si>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</si>
  <si>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</si>
  <si>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</si>
  <si>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</si>
  <si>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</si>
  <si>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</si>
  <si>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</si>
  <si>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</si>
  <si>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</si>
  <si>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</si>
  <si>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</si>
  <si>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</si>
  <si>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</si>
  <si>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</si>
  <si>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</si>
  <si>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</si>
  <si>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</si>
  <si>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</si>
  <si>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</si>
  <si>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</si>
  <si>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</si>
  <si>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</si>
  <si>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</si>
  <si>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</si>
  <si>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</si>
  <si>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</si>
  <si>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</si>
  <si>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</si>
  <si>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</si>
  <si>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</si>
  <si>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</si>
  <si>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</si>
  <si>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</si>
  <si>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</si>
  <si>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</si>
  <si>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</si>
  <si>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</si>
  <si>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</si>
  <si>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</si>
  <si>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</si>
  <si>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</si>
  <si>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</si>
  <si>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</si>
  <si>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</si>
  <si>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</si>
  <si>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</si>
  <si>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</si>
  <si>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</si>
  <si>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</si>
  <si>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</si>
  <si>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</si>
  <si>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</si>
  <si>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</si>
  <si>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</si>
  <si>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</si>
  <si>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</si>
  <si>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</si>
  <si>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</si>
  <si>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</si>
  <si>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</si>
  <si>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</si>
  <si>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</si>
  <si>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</si>
  <si>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</si>
  <si>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</si>
  <si>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</si>
  <si>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</si>
  <si>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</si>
  <si>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</si>
  <si>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</si>
  <si>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</si>
  <si>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</si>
  <si>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</si>
  <si>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</si>
  <si>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</si>
  <si>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</si>
  <si>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</si>
  <si>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</si>
  <si>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</si>
  <si>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</si>
  <si>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</si>
  <si>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</si>
  <si>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</si>
  <si>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</si>
  <si>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</si>
  <si>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</si>
  <si>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</si>
  <si>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</si>
  <si>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</si>
  <si>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</si>
  <si>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</si>
  <si>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</si>
  <si>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</si>
  <si>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</si>
  <si>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</si>
  <si>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</si>
  <si>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</si>
  <si>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</si>
  <si>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</si>
  <si>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</si>
  <si>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</si>
  <si>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</si>
  <si>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</si>
  <si>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</si>
  <si>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</si>
  <si>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</si>
  <si>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</si>
  <si>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</si>
  <si>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</si>
  <si>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</si>
  <si>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</si>
  <si>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</si>
  <si>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</si>
  <si>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</si>
  <si>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</si>
  <si>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</si>
  <si>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</si>
  <si>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</si>
  <si>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</si>
  <si>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</si>
  <si>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</si>
  <si>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</si>
  <si>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</si>
  <si>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</si>
  <si>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</si>
  <si>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</si>
  <si>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</si>
  <si>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</si>
  <si>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</si>
  <si>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</si>
  <si>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</si>
  <si>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</si>
  <si>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</si>
  <si>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</si>
  <si>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</si>
  <si>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</si>
  <si>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</si>
  <si>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</si>
  <si>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</si>
  <si>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</si>
  <si>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</si>
  <si>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</si>
  <si>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</si>
  <si>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</si>
  <si>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</si>
  <si>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</si>
  <si>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</si>
  <si>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</si>
  <si>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</si>
  <si>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</si>
  <si>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</si>
  <si>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</si>
  <si>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</si>
  <si>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</si>
  <si>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</si>
  <si>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</si>
  <si>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</si>
  <si>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</si>
  <si>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</si>
  <si>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</si>
  <si>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</si>
  <si>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</si>
  <si>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</si>
  <si>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</si>
  <si>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</si>
  <si>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</si>
  <si>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</si>
  <si>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</si>
  <si>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</si>
  <si>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</si>
  <si>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</si>
  <si>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</si>
  <si>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</si>
  <si>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</si>
  <si>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</si>
  <si>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</si>
  <si>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</si>
  <si>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</si>
  <si>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</si>
  <si>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</si>
  <si>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</si>
  <si>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</si>
  <si>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</si>
  <si>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</si>
  <si>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</si>
  <si>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</si>
  <si>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</si>
  <si>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</si>
  <si>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</si>
  <si>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</si>
  <si>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</si>
  <si>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</si>
  <si>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</si>
  <si>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</si>
  <si>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</si>
  <si>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</si>
  <si>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</si>
  <si>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</si>
  <si>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</si>
  <si>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</si>
  <si>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</si>
  <si>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</si>
  <si>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</si>
  <si>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</si>
  <si>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</si>
  <si>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</si>
  <si>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</si>
  <si>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</si>
  <si>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</si>
  <si>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</si>
  <si>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</si>
  <si>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</si>
  <si>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</si>
  <si>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</si>
  <si>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</si>
  <si>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</si>
  <si>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</si>
  <si>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</si>
  <si>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</si>
  <si>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</si>
  <si>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</si>
  <si>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</si>
  <si>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</si>
  <si>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</si>
  <si>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</si>
  <si>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</si>
  <si>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</si>
  <si>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</si>
  <si>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</si>
  <si>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</si>
  <si>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</si>
  <si>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</si>
  <si>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</si>
  <si>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</si>
  <si>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</si>
  <si>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</si>
  <si>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</si>
  <si>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</si>
  <si>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</si>
  <si>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</si>
  <si>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</si>
  <si>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</si>
  <si>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</si>
  <si>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</si>
  <si>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</si>
  <si>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</si>
  <si>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</si>
  <si>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</si>
  <si>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</si>
  <si>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</si>
  <si>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</si>
  <si>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</si>
  <si>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</si>
  <si>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</si>
  <si>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</si>
  <si>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</si>
  <si>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</si>
  <si>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</si>
  <si>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</si>
  <si>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</si>
  <si>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</si>
  <si>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</si>
  <si>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</si>
  <si>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</si>
  <si>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</si>
  <si>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</si>
  <si>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</si>
  <si>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</si>
  <si>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</si>
  <si>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</si>
  <si>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</si>
  <si>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</si>
  <si>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</si>
  <si>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</si>
  <si>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</si>
  <si>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</si>
  <si>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</si>
  <si>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</si>
  <si>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</si>
  <si>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</si>
  <si>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</si>
  <si>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</si>
  <si>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</si>
  <si>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</si>
  <si>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</si>
  <si>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</si>
  <si>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</si>
  <si>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</si>
  <si>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</si>
  <si>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</si>
  <si>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</si>
  <si>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</si>
  <si>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</si>
  <si>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</si>
  <si>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</si>
  <si>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</si>
  <si>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</si>
  <si>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</si>
  <si>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</si>
  <si>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</si>
  <si>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</si>
  <si>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</si>
  <si>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</si>
  <si>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</si>
  <si>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</si>
  <si>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</si>
  <si>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</si>
  <si>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</si>
  <si>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</si>
  <si>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</si>
  <si>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</si>
  <si>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</si>
  <si>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</si>
  <si>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</si>
  <si>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</si>
  <si>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</si>
  <si>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</si>
  <si>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</si>
  <si>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</si>
  <si>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</si>
  <si>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</si>
  <si>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</si>
  <si>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</si>
  <si>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</si>
  <si>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</si>
  <si>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</si>
  <si>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</si>
  <si>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</si>
  <si>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</si>
  <si>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</si>
  <si>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</si>
  <si>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</si>
  <si>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</si>
  <si>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</si>
  <si>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</si>
  <si>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</si>
  <si>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</si>
  <si>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</si>
  <si>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</si>
  <si>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</si>
  <si>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</si>
  <si>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</si>
  <si>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</si>
  <si>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</si>
  <si>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</si>
  <si>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</si>
  <si>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</si>
  <si>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</si>
  <si>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</si>
  <si>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</si>
  <si>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</si>
  <si>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</si>
  <si>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</si>
  <si>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</si>
  <si>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</si>
  <si>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</si>
  <si>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</si>
  <si>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</si>
  <si>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</si>
  <si>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</si>
  <si>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</si>
  <si>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</si>
  <si>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</si>
  <si>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</si>
  <si>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</si>
  <si>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</si>
  <si>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</si>
  <si>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</si>
  <si>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</si>
  <si>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</si>
  <si>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</si>
  <si>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</si>
  <si>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</si>
  <si>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</si>
  <si>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</si>
  <si>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</si>
  <si>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</si>
  <si>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</si>
  <si>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</si>
  <si>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</si>
  <si>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</si>
  <si>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</si>
  <si>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</si>
  <si>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</si>
  <si>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</si>
  <si>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</si>
  <si>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</si>
  <si>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</si>
  <si>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</si>
  <si>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</si>
  <si>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</si>
  <si>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</si>
  <si>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</si>
  <si>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</si>
  <si>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</si>
  <si>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</si>
  <si>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</si>
  <si>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</si>
  <si>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</si>
  <si>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</si>
  <si>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</si>
  <si>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</si>
  <si>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</si>
  <si>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</si>
  <si>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</si>
  <si>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</si>
  <si>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</si>
  <si>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</si>
  <si>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</si>
  <si>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</si>
  <si>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</si>
  <si>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</si>
  <si>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</si>
  <si>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</si>
  <si>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</si>
  <si>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</si>
  <si>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</si>
  <si>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</si>
  <si>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</si>
  <si>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</si>
  <si>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</si>
  <si>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</si>
  <si>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</si>
  <si>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</si>
  <si>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</si>
  <si>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</si>
  <si>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</si>
  <si>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</si>
  <si>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</si>
  <si>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</si>
  <si>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</si>
  <si>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</si>
  <si>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</si>
  <si>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</si>
  <si>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</si>
  <si>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</si>
  <si>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</si>
  <si>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</si>
  <si>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</si>
  <si>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</si>
  <si>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</si>
  <si>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</si>
  <si>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</si>
  <si>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</si>
  <si>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</si>
  <si>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</si>
  <si>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</si>
  <si>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</si>
  <si>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</si>
  <si>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</si>
  <si>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</si>
  <si>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</si>
  <si>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</si>
  <si>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</si>
  <si>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</si>
  <si>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</si>
  <si>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</si>
  <si>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</si>
  <si>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</si>
  <si>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</si>
  <si>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</si>
  <si>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</si>
  <si>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</si>
  <si>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</si>
  <si>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</si>
  <si>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</si>
  <si>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</si>
  <si>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</si>
  <si>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</si>
  <si>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</si>
  <si>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</si>
  <si>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</si>
  <si>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</si>
  <si>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</si>
  <si>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</si>
  <si>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</si>
  <si>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</si>
  <si>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</si>
  <si>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</si>
  <si>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</si>
  <si>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</si>
  <si>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</si>
  <si>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</si>
  <si>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</si>
  <si>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</si>
  <si>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</si>
  <si>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</si>
  <si>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</si>
  <si>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</si>
  <si>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</si>
  <si>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</si>
  <si>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</si>
  <si>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</si>
  <si>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</si>
  <si>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</si>
  <si>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</si>
  <si>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</si>
  <si>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</si>
  <si>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</si>
  <si>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</si>
  <si>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</si>
  <si>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</si>
  <si>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</si>
  <si>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</si>
  <si>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</si>
  <si>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</si>
  <si>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</si>
  <si>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</si>
  <si>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</si>
  <si>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</si>
  <si>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</si>
  <si>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</si>
  <si>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</si>
  <si>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</si>
  <si>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</si>
  <si>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</si>
  <si>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</si>
  <si>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</si>
  <si>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</si>
  <si>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</si>
  <si>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</si>
  <si>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</si>
  <si>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</si>
  <si>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</si>
  <si>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</si>
  <si>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</si>
  <si>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</si>
  <si>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</si>
  <si>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</si>
  <si>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</si>
  <si>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</si>
  <si>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</si>
  <si>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</si>
  <si>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</si>
  <si>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</si>
  <si>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</si>
  <si>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</si>
  <si>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</si>
  <si>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</si>
  <si>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</si>
  <si>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</si>
  <si>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</si>
  <si>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</si>
  <si>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</si>
  <si>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</si>
  <si>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</si>
  <si>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</si>
  <si>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</si>
  <si>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</si>
  <si>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</si>
  <si>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</si>
  <si>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</si>
  <si>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</si>
  <si>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</si>
  <si>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</si>
  <si>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</si>
  <si>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</si>
  <si>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</si>
  <si>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</si>
  <si>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</si>
  <si>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</si>
  <si>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</si>
  <si>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</si>
  <si>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</si>
  <si>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</si>
  <si>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</si>
  <si>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</si>
  <si>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</si>
  <si>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</si>
  <si>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</si>
  <si>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</si>
  <si>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</si>
  <si>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</si>
  <si>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</si>
  <si>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</si>
  <si>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</si>
  <si>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</si>
  <si>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</si>
  <si>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</si>
  <si>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</si>
  <si>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</si>
  <si>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</si>
  <si>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</si>
  <si>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</si>
  <si>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</si>
  <si>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</si>
  <si>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</si>
  <si>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</si>
  <si>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</si>
  <si>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</si>
  <si>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</si>
  <si>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</si>
  <si>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</si>
  <si>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</si>
  <si>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</si>
  <si>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</si>
  <si>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</si>
  <si>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</si>
  <si>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</si>
  <si>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</si>
  <si>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</si>
  <si>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</si>
  <si>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</si>
  <si>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</si>
  <si>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</si>
  <si>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</si>
  <si>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</si>
  <si>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</si>
  <si>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</si>
  <si>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</si>
  <si>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II</t>
  </si>
  <si>
    <t>PEMASANGAN TIANG</t>
  </si>
  <si>
    <t>PEMASANGAN KONSTRUKSI</t>
  </si>
  <si>
    <t>-6.919322834449391, 110.55250849957189</t>
  </si>
  <si>
    <t>SPV. RENSIS</t>
  </si>
  <si>
    <t>MB PERENCANAAN</t>
  </si>
  <si>
    <t>MANAGER</t>
  </si>
  <si>
    <t>III</t>
  </si>
  <si>
    <t>IV</t>
  </si>
  <si>
    <t>KOORDINAT :' -6.879541, 110.683535</t>
  </si>
  <si>
    <t>JL DMK KUDUS DS BOLO DEMAK</t>
  </si>
  <si>
    <t>Daya 197.000 VA</t>
  </si>
  <si>
    <t>PEMASANGAN DI TIANG</t>
  </si>
  <si>
    <t>Pemasangan APP Di Tiang</t>
  </si>
  <si>
    <t>EDHI WIDARTO</t>
  </si>
  <si>
    <t>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</si>
</sst>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9" fillId="0" borderId="0"/>
    <xf numFmtId="165" fontId="24" fillId="0" borderId="0" applyFont="0" applyFill="0" applyBorder="0" applyAlignment="0" applyProtection="0"/>
    <xf numFmtId="0" fontId="9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93"/>
    <xf numFmtId="0" fontId="91" fillId="0" borderId="94"/>
    <xf numFmtId="166" fontId="24" fillId="0" borderId="0" applyFont="0" applyFill="0" applyBorder="0" applyAlignment="0" applyProtection="0"/>
    <xf numFmtId="0" fontId="39" fillId="20" borderId="99" applyNumberFormat="0" applyAlignment="0" applyProtection="0"/>
    <xf numFmtId="0" fontId="18" fillId="27" borderId="98" applyNumberFormat="0" applyFont="0" applyAlignment="0" applyProtection="0"/>
    <xf numFmtId="0" fontId="24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9" fillId="21" borderId="95" applyNumberFormat="0" applyAlignment="0" applyProtection="0"/>
    <xf numFmtId="0" fontId="35" fillId="7" borderId="103" applyNumberFormat="0" applyAlignment="0" applyProtection="0"/>
    <xf numFmtId="0" fontId="41" fillId="0" borderId="100" applyNumberFormat="0" applyFill="0" applyAlignment="0" applyProtection="0"/>
    <xf numFmtId="0" fontId="8" fillId="0" borderId="0"/>
    <xf numFmtId="0" fontId="8" fillId="0" borderId="0"/>
    <xf numFmtId="0" fontId="90" fillId="0" borderId="102"/>
    <xf numFmtId="0" fontId="24" fillId="27" borderId="104" applyNumberFormat="0" applyFont="0" applyAlignment="0" applyProtection="0"/>
    <xf numFmtId="0" fontId="39" fillId="20" borderId="105" applyNumberFormat="0" applyAlignment="0" applyProtection="0"/>
    <xf numFmtId="0" fontId="41" fillId="0" borderId="106" applyNumberFormat="0" applyFill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0" fontId="24" fillId="27" borderId="98" applyNumberFormat="0" applyFont="0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0" fontId="8" fillId="0" borderId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166" fontId="8" fillId="0" borderId="0" applyFont="0" applyFill="0" applyBorder="0" applyAlignment="0" applyProtection="0"/>
    <xf numFmtId="0" fontId="81" fillId="23" borderId="101"/>
    <xf numFmtId="0" fontId="81" fillId="0" borderId="101"/>
    <xf numFmtId="0" fontId="81" fillId="0" borderId="96"/>
    <xf numFmtId="0" fontId="81" fillId="0" borderId="96"/>
    <xf numFmtId="0" fontId="76" fillId="0" borderId="101"/>
    <xf numFmtId="0" fontId="76" fillId="0" borderId="101"/>
    <xf numFmtId="0" fontId="76" fillId="0" borderId="107"/>
    <xf numFmtId="0" fontId="76" fillId="0" borderId="107"/>
    <xf numFmtId="0" fontId="81" fillId="0" borderId="107"/>
    <xf numFmtId="0" fontId="81" fillId="23" borderId="107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8" fillId="0" borderId="0"/>
    <xf numFmtId="0" fontId="8" fillId="0" borderId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18" fillId="27" borderId="104" applyNumberFormat="0" applyFont="0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193" fontId="45" fillId="28" borderId="104" applyAlignment="0" applyProtection="0"/>
    <xf numFmtId="0" fontId="39" fillId="20" borderId="99" applyNumberFormat="0" applyAlignment="0" applyProtection="0"/>
    <xf numFmtId="0" fontId="24" fillId="27" borderId="98" applyNumberFormat="0" applyFont="0" applyAlignment="0" applyProtection="0"/>
    <xf numFmtId="0" fontId="35" fillId="7" borderId="97" applyNumberFormat="0" applyAlignment="0" applyProtection="0"/>
    <xf numFmtId="0" fontId="28" fillId="20" borderId="97" applyNumberFormat="0" applyAlignment="0" applyProtection="0"/>
    <xf numFmtId="193" fontId="45" fillId="28" borderId="104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35" fillId="7" borderId="103" applyNumberFormat="0" applyAlignment="0" applyProtection="0"/>
    <xf numFmtId="0" fontId="28" fillId="20" borderId="103" applyNumberFormat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90" fillId="0" borderId="108"/>
    <xf numFmtId="0" fontId="35" fillId="7" borderId="103" applyNumberFormat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16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5" fillId="7" borderId="103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5" fillId="7" borderId="103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2" fontId="18" fillId="0" borderId="0" applyFont="0" applyFill="0" applyBorder="0" applyAlignment="0" applyProtection="0"/>
    <xf numFmtId="0" fontId="76" fillId="0" borderId="107"/>
    <xf numFmtId="0" fontId="76" fillId="0" borderId="107"/>
    <xf numFmtId="0" fontId="81" fillId="0" borderId="96"/>
    <xf numFmtId="0" fontId="81" fillId="0" borderId="96"/>
    <xf numFmtId="0" fontId="81" fillId="0" borderId="107"/>
    <xf numFmtId="0" fontId="81" fillId="23" borderId="107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2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9" fontId="24" fillId="0" borderId="0" applyFont="0" applyFill="0" applyBorder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9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0" fillId="0" borderId="109"/>
    <xf numFmtId="0" fontId="90" fillId="0" borderId="109"/>
    <xf numFmtId="0" fontId="91" fillId="0" borderId="110"/>
    <xf numFmtId="0" fontId="91" fillId="0" borderId="11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114" fillId="0" borderId="0"/>
    <xf numFmtId="166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7" borderId="127" applyNumberFormat="0" applyFont="0" applyAlignment="0" applyProtection="0"/>
    <xf numFmtId="0" fontId="24" fillId="27" borderId="127" applyNumberFormat="0" applyFont="0" applyAlignment="0" applyProtection="0"/>
    <xf numFmtId="0" fontId="28" fillId="20" borderId="113" applyNumberFormat="0" applyAlignment="0" applyProtection="0"/>
    <xf numFmtId="0" fontId="76" fillId="0" borderId="136"/>
    <xf numFmtId="0" fontId="35" fillId="7" borderId="103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35" fillId="7" borderId="113" applyNumberFormat="0" applyAlignment="0" applyProtection="0"/>
    <xf numFmtId="0" fontId="18" fillId="27" borderId="121" applyNumberFormat="0" applyFont="0" applyAlignment="0" applyProtection="0"/>
    <xf numFmtId="0" fontId="6" fillId="0" borderId="0"/>
    <xf numFmtId="0" fontId="35" fillId="7" borderId="113" applyNumberFormat="0" applyAlignment="0" applyProtection="0"/>
    <xf numFmtId="0" fontId="28" fillId="20" borderId="120" applyNumberFormat="0" applyAlignment="0" applyProtection="0"/>
    <xf numFmtId="0" fontId="35" fillId="7" borderId="113" applyNumberFormat="0" applyAlignment="0" applyProtection="0"/>
    <xf numFmtId="0" fontId="28" fillId="20" borderId="132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6" fillId="0" borderId="0"/>
    <xf numFmtId="193" fontId="45" fillId="28" borderId="121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24" fillId="0" borderId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28" fillId="20" borderId="120" applyNumberFormat="0" applyAlignment="0" applyProtection="0"/>
    <xf numFmtId="0" fontId="35" fillId="7" borderId="120" applyNumberFormat="0" applyAlignment="0" applyProtection="0"/>
    <xf numFmtId="0" fontId="35" fillId="7" borderId="132" applyNumberFormat="0" applyAlignment="0" applyProtection="0"/>
    <xf numFmtId="0" fontId="24" fillId="27" borderId="121" applyNumberFormat="0" applyFont="0" applyAlignment="0" applyProtection="0"/>
    <xf numFmtId="0" fontId="39" fillId="20" borderId="122" applyNumberFormat="0" applyAlignment="0" applyProtection="0"/>
    <xf numFmtId="0" fontId="90" fillId="0" borderId="119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0" fontId="24" fillId="27" borderId="127" applyNumberFormat="0" applyFont="0" applyAlignment="0" applyProtection="0"/>
    <xf numFmtId="0" fontId="24" fillId="27" borderId="127" applyNumberFormat="0" applyFont="0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166" fontId="24" fillId="0" borderId="0" applyFont="0" applyFill="0" applyBorder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03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81" fillId="23" borderId="130"/>
    <xf numFmtId="0" fontId="81" fillId="0" borderId="130"/>
    <xf numFmtId="0" fontId="76" fillId="0" borderId="130"/>
    <xf numFmtId="0" fontId="76" fillId="0" borderId="130"/>
    <xf numFmtId="166" fontId="6" fillId="0" borderId="0" applyFont="0" applyFill="0" applyBorder="0" applyAlignment="0" applyProtection="0"/>
    <xf numFmtId="0" fontId="76" fillId="0" borderId="136"/>
    <xf numFmtId="0" fontId="76" fillId="0" borderId="124"/>
    <xf numFmtId="0" fontId="76" fillId="0" borderId="124"/>
    <xf numFmtId="0" fontId="81" fillId="0" borderId="136"/>
    <xf numFmtId="0" fontId="81" fillId="23" borderId="136"/>
    <xf numFmtId="0" fontId="81" fillId="0" borderId="124"/>
    <xf numFmtId="0" fontId="76" fillId="0" borderId="114"/>
    <xf numFmtId="0" fontId="76" fillId="0" borderId="114"/>
    <xf numFmtId="0" fontId="76" fillId="0" borderId="114"/>
    <xf numFmtId="0" fontId="76" fillId="0" borderId="114"/>
    <xf numFmtId="0" fontId="81" fillId="23" borderId="124"/>
    <xf numFmtId="0" fontId="81" fillId="0" borderId="114"/>
    <xf numFmtId="0" fontId="81" fillId="0" borderId="114"/>
    <xf numFmtId="0" fontId="81" fillId="23" borderId="114"/>
    <xf numFmtId="0" fontId="81" fillId="23" borderId="114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4" fillId="27" borderId="133" applyNumberFormat="0" applyFont="0" applyAlignment="0" applyProtection="0"/>
    <xf numFmtId="193" fontId="45" fillId="28" borderId="133" applyAlignment="0" applyProtection="0"/>
    <xf numFmtId="193" fontId="45" fillId="28" borderId="133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35" fillId="7" borderId="113" applyNumberFormat="0" applyAlignment="0" applyProtection="0"/>
    <xf numFmtId="0" fontId="35" fillId="7" borderId="120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35" fillId="7" borderId="132" applyNumberFormat="0" applyAlignment="0" applyProtection="0"/>
    <xf numFmtId="0" fontId="90" fillId="0" borderId="111"/>
    <xf numFmtId="0" fontId="91" fillId="0" borderId="112"/>
    <xf numFmtId="0" fontId="35" fillId="7" borderId="120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35" fillId="7" borderId="126" applyNumberFormat="0" applyAlignment="0" applyProtection="0"/>
    <xf numFmtId="0" fontId="35" fillId="7" borderId="103" applyNumberFormat="0" applyAlignment="0" applyProtection="0"/>
    <xf numFmtId="0" fontId="35" fillId="7" borderId="113" applyNumberFormat="0" applyAlignment="0" applyProtection="0"/>
    <xf numFmtId="0" fontId="24" fillId="27" borderId="133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0" borderId="0"/>
    <xf numFmtId="193" fontId="45" fillId="28" borderId="121" applyAlignment="0" applyProtection="0"/>
    <xf numFmtId="0" fontId="24" fillId="0" borderId="0"/>
    <xf numFmtId="0" fontId="35" fillId="7" borderId="132" applyNumberFormat="0" applyAlignment="0" applyProtection="0"/>
    <xf numFmtId="0" fontId="35" fillId="7" borderId="132" applyNumberForma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6" fillId="0" borderId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0" fontId="24" fillId="27" borderId="133" applyNumberFormat="0" applyFont="0" applyAlignment="0" applyProtection="0"/>
    <xf numFmtId="0" fontId="24" fillId="27" borderId="133" applyNumberFormat="0" applyFont="0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6" fillId="0" borderId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193" fontId="45" fillId="28" borderId="133" applyAlignment="0" applyProtection="0"/>
    <xf numFmtId="0" fontId="39" fillId="20" borderId="128" applyNumberFormat="0" applyAlignment="0" applyProtection="0"/>
    <xf numFmtId="0" fontId="24" fillId="27" borderId="127" applyNumberFormat="0" applyFont="0" applyAlignment="0" applyProtection="0"/>
    <xf numFmtId="0" fontId="90" fillId="0" borderId="125"/>
    <xf numFmtId="0" fontId="6" fillId="0" borderId="0"/>
    <xf numFmtId="0" fontId="28" fillId="20" borderId="126" applyNumberFormat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193" fontId="45" fillId="28" borderId="133" applyAlignment="0" applyProtection="0"/>
    <xf numFmtId="193" fontId="45" fillId="28" borderId="133" applyAlignment="0" applyProtection="0"/>
    <xf numFmtId="0" fontId="90" fillId="0" borderId="118"/>
    <xf numFmtId="0" fontId="90" fillId="0" borderId="118"/>
    <xf numFmtId="0" fontId="18" fillId="27" borderId="133" applyNumberFormat="0" applyFont="0" applyAlignment="0" applyProtection="0"/>
    <xf numFmtId="0" fontId="24" fillId="0" borderId="0"/>
    <xf numFmtId="0" fontId="24" fillId="27" borderId="127" applyNumberFormat="0" applyFont="0" applyAlignment="0" applyProtection="0"/>
    <xf numFmtId="0" fontId="35" fillId="7" borderId="120" applyNumberFormat="0" applyAlignment="0" applyProtection="0"/>
    <xf numFmtId="0" fontId="41" fillId="0" borderId="123" applyNumberFormat="0" applyFill="0" applyAlignment="0" applyProtection="0"/>
    <xf numFmtId="0" fontId="28" fillId="20" borderId="132" applyNumberFormat="0" applyAlignment="0" applyProtection="0"/>
    <xf numFmtId="0" fontId="35" fillId="7" borderId="103" applyNumberFormat="0" applyAlignment="0" applyProtection="0"/>
    <xf numFmtId="0" fontId="90" fillId="0" borderId="111"/>
    <xf numFmtId="0" fontId="24" fillId="27" borderId="133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24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39" fillId="20" borderId="122" applyNumberFormat="0" applyAlignment="0" applyProtection="0"/>
    <xf numFmtId="0" fontId="24" fillId="27" borderId="133" applyNumberFormat="0" applyFont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29" applyNumberFormat="0" applyFill="0" applyAlignment="0" applyProtection="0"/>
    <xf numFmtId="0" fontId="35" fillId="7" borderId="126" applyNumberFormat="0" applyAlignment="0" applyProtection="0"/>
    <xf numFmtId="0" fontId="41" fillId="0" borderId="123" applyNumberFormat="0" applyFill="0" applyAlignment="0" applyProtection="0"/>
    <xf numFmtId="0" fontId="18" fillId="27" borderId="133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6" fillId="0" borderId="0"/>
    <xf numFmtId="0" fontId="41" fillId="0" borderId="123" applyNumberFormat="0" applyFill="0" applyAlignment="0" applyProtection="0"/>
    <xf numFmtId="166" fontId="13" fillId="0" borderId="0" applyFont="0" applyFill="0" applyBorder="0" applyAlignment="0" applyProtection="0"/>
    <xf numFmtId="0" fontId="6" fillId="0" borderId="0"/>
    <xf numFmtId="165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41" fillId="0" borderId="135" applyNumberFormat="0" applyFill="0" applyAlignment="0" applyProtection="0"/>
    <xf numFmtId="0" fontId="39" fillId="20" borderId="134" applyNumberFormat="0" applyAlignment="0" applyProtection="0"/>
    <xf numFmtId="0" fontId="24" fillId="27" borderId="133" applyNumberFormat="0" applyFont="0" applyAlignment="0" applyProtection="0"/>
    <xf numFmtId="0" fontId="90" fillId="0" borderId="131"/>
    <xf numFmtId="0" fontId="35" fillId="7" borderId="132" applyNumberFormat="0" applyAlignment="0" applyProtection="0"/>
    <xf numFmtId="0" fontId="28" fillId="20" borderId="132" applyNumberFormat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24" fillId="0" borderId="0"/>
    <xf numFmtId="0" fontId="18" fillId="27" borderId="127" applyNumberFormat="0" applyFont="0" applyAlignment="0" applyProtection="0"/>
    <xf numFmtId="0" fontId="24" fillId="0" borderId="0"/>
    <xf numFmtId="0" fontId="24" fillId="27" borderId="12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24" fillId="0" borderId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90" fillId="0" borderId="137"/>
    <xf numFmtId="0" fontId="35" fillId="7" borderId="132" applyNumberFormat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24" fillId="0" borderId="0"/>
    <xf numFmtId="0" fontId="179" fillId="0" borderId="0"/>
  </cellStyleXfs>
  <cellXfs count="694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49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7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0" xfId="2670" applyFont="1" applyFill="1" applyBorder="1" applyAlignment="1">
      <alignment horizontal="left" vertical="center"/>
    </xf>
    <xf numFmtId="0" fontId="162" fillId="39" borderId="76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83" xfId="2670" applyFont="1" applyFill="1" applyBorder="1" applyAlignment="1">
      <alignment horizontal="center" vertical="center"/>
    </xf>
    <xf numFmtId="43" fontId="143" fillId="40" borderId="79" xfId="2672" applyFont="1" applyFill="1" applyBorder="1" applyAlignment="1" applyProtection="1">
      <alignment horizontal="right" vertical="center" wrapText="1"/>
      <protection locked="0"/>
    </xf>
    <xf numFmtId="43" fontId="143" fillId="40" borderId="81" xfId="2672" applyFont="1" applyFill="1" applyBorder="1" applyAlignment="1" applyProtection="1">
      <alignment horizontal="right" vertical="center"/>
      <protection locked="0"/>
    </xf>
    <xf numFmtId="168" fontId="143" fillId="40" borderId="81" xfId="2672" applyNumberFormat="1" applyFont="1" applyFill="1" applyBorder="1" applyAlignment="1" applyProtection="1">
      <alignment horizontal="right" vertical="center"/>
      <protection locked="0"/>
    </xf>
    <xf numFmtId="168" fontId="143" fillId="40" borderId="84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0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0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88" xfId="2673" applyFont="1" applyFill="1" applyBorder="1" applyAlignment="1">
      <alignment vertical="center" wrapText="1"/>
    </xf>
    <xf numFmtId="0" fontId="149" fillId="43" borderId="88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8" fillId="0" borderId="56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2" xfId="2673" applyFont="1" applyFill="1" applyBorder="1" applyAlignment="1">
      <alignment vertical="center" wrapText="1"/>
    </xf>
    <xf numFmtId="0" fontId="109" fillId="0" borderId="62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5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46" fillId="0" borderId="20" xfId="1615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118" fillId="0" borderId="0" xfId="2677" applyFont="1" applyAlignment="1">
      <alignment horizontal="center"/>
    </xf>
    <xf numFmtId="0" fontId="118" fillId="0" borderId="26" xfId="2677" applyFont="1" applyBorder="1" applyAlignment="1">
      <alignment horizontal="center"/>
    </xf>
    <xf numFmtId="0" fontId="118" fillId="0" borderId="36" xfId="2677" applyFont="1" applyBorder="1" applyAlignment="1">
      <alignment horizontal="center"/>
    </xf>
    <xf numFmtId="0" fontId="118" fillId="0" borderId="28" xfId="2677" applyFont="1" applyBorder="1" applyAlignment="1">
      <alignment horizontal="center"/>
    </xf>
    <xf numFmtId="0" fontId="119" fillId="0" borderId="18" xfId="2677" applyFont="1" applyBorder="1" applyAlignment="1">
      <alignment horizontal="left"/>
    </xf>
    <xf numFmtId="0" fontId="118" fillId="0" borderId="37" xfId="2677" applyFont="1" applyBorder="1" applyAlignment="1">
      <alignment horizontal="center"/>
    </xf>
    <xf numFmtId="0" fontId="177" fillId="0" borderId="0" xfId="2677" quotePrefix="1" applyFont="1" applyAlignment="1">
      <alignment horizontal="left" vertical="center"/>
    </xf>
    <xf numFmtId="0" fontId="118" fillId="0" borderId="3" xfId="2677" applyFont="1" applyBorder="1" applyAlignment="1">
      <alignment horizontal="center"/>
    </xf>
    <xf numFmtId="0" fontId="118" fillId="0" borderId="39" xfId="2677" applyFont="1" applyBorder="1" applyAlignment="1">
      <alignment horizontal="center"/>
    </xf>
    <xf numFmtId="0" fontId="118" fillId="0" borderId="0" xfId="2677" applyFont="1" applyAlignment="1">
      <alignment horizontal="left"/>
    </xf>
    <xf numFmtId="0" fontId="120" fillId="0" borderId="28" xfId="2677" applyFont="1" applyBorder="1" applyAlignment="1">
      <alignment horizontal="center"/>
    </xf>
    <xf numFmtId="0" fontId="120" fillId="0" borderId="0" xfId="2677" applyFont="1" applyAlignment="1">
      <alignment horizontal="center"/>
    </xf>
    <xf numFmtId="0" fontId="118" fillId="0" borderId="138" xfId="2677" applyFont="1" applyBorder="1" applyAlignment="1">
      <alignment horizontal="center"/>
    </xf>
    <xf numFmtId="0" fontId="95" fillId="0" borderId="40" xfId="2677" applyFont="1" applyBorder="1" applyAlignment="1">
      <alignment horizontal="center" vertical="center"/>
    </xf>
    <xf numFmtId="0" fontId="95" fillId="0" borderId="47" xfId="2677" applyFont="1" applyBorder="1" applyAlignment="1">
      <alignment horizontal="center" vertical="center"/>
    </xf>
    <xf numFmtId="0" fontId="118" fillId="0" borderId="3" xfId="2677" applyFont="1" applyBorder="1" applyAlignment="1">
      <alignment horizontal="center" vertical="center"/>
    </xf>
    <xf numFmtId="0" fontId="118" fillId="0" borderId="39" xfId="2677" applyFont="1" applyBorder="1" applyAlignment="1">
      <alignment horizontal="center" vertical="center"/>
    </xf>
    <xf numFmtId="0" fontId="121" fillId="0" borderId="0" xfId="2677" applyFont="1" applyAlignment="1">
      <alignment horizontal="center"/>
    </xf>
    <xf numFmtId="0" fontId="95" fillId="0" borderId="144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top" wrapText="1"/>
    </xf>
    <xf numFmtId="49" fontId="118" fillId="0" borderId="41" xfId="2677" applyNumberFormat="1" applyFont="1" applyBorder="1" applyAlignment="1">
      <alignment horizontal="center" vertical="top" wrapText="1"/>
    </xf>
    <xf numFmtId="0" fontId="118" fillId="0" borderId="3" xfId="2677" applyFont="1" applyBorder="1" applyAlignment="1">
      <alignment vertical="top" wrapText="1"/>
    </xf>
    <xf numFmtId="0" fontId="118" fillId="0" borderId="39" xfId="2677" applyFont="1" applyBorder="1" applyAlignment="1">
      <alignment vertical="top" wrapText="1"/>
    </xf>
    <xf numFmtId="0" fontId="122" fillId="0" borderId="66" xfId="2677" applyFont="1" applyBorder="1" applyAlignment="1">
      <alignment horizontal="center" vertical="center"/>
    </xf>
    <xf numFmtId="0" fontId="122" fillId="0" borderId="67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top" wrapText="1"/>
    </xf>
    <xf numFmtId="0" fontId="118" fillId="0" borderId="41" xfId="2677" applyFont="1" applyBorder="1" applyAlignment="1">
      <alignment horizontal="center" vertical="top" wrapText="1"/>
    </xf>
    <xf numFmtId="0" fontId="123" fillId="0" borderId="68" xfId="2677" applyFont="1" applyBorder="1" applyAlignment="1">
      <alignment horizontal="center" vertical="top" wrapText="1"/>
    </xf>
    <xf numFmtId="0" fontId="123" fillId="0" borderId="69" xfId="2677" applyFont="1" applyBorder="1" applyAlignment="1">
      <alignment horizontal="center" vertical="top" wrapText="1"/>
    </xf>
    <xf numFmtId="0" fontId="118" fillId="0" borderId="0" xfId="2677" applyFont="1" applyAlignment="1">
      <alignment vertical="top" wrapText="1"/>
    </xf>
    <xf numFmtId="0" fontId="118" fillId="0" borderId="37" xfId="2677" applyFont="1" applyBorder="1" applyAlignment="1">
      <alignment vertical="top" wrapText="1"/>
    </xf>
    <xf numFmtId="0" fontId="118" fillId="0" borderId="42" xfId="2677" applyFont="1" applyBorder="1" applyAlignment="1">
      <alignment horizontal="center"/>
    </xf>
    <xf numFmtId="0" fontId="118" fillId="0" borderId="43" xfId="2677" applyFont="1" applyBorder="1" applyAlignment="1">
      <alignment vertical="top" wrapText="1"/>
    </xf>
    <xf numFmtId="0" fontId="118" fillId="0" borderId="44" xfId="2677" applyFont="1" applyBorder="1" applyAlignment="1">
      <alignment vertical="top" wrapText="1"/>
    </xf>
    <xf numFmtId="0" fontId="118" fillId="0" borderId="45" xfId="2677" applyFont="1" applyBorder="1" applyAlignment="1">
      <alignment vertical="top" wrapText="1"/>
    </xf>
    <xf numFmtId="0" fontId="123" fillId="0" borderId="28" xfId="2677" applyFont="1" applyBorder="1" applyAlignment="1">
      <alignment horizontal="center"/>
    </xf>
    <xf numFmtId="0" fontId="123" fillId="0" borderId="0" xfId="2677" applyFont="1" applyAlignment="1">
      <alignment horizontal="center"/>
    </xf>
    <xf numFmtId="20" fontId="118" fillId="0" borderId="39" xfId="2677" applyNumberFormat="1" applyFont="1" applyBorder="1" applyAlignment="1">
      <alignment horizontal="center"/>
    </xf>
    <xf numFmtId="0" fontId="118" fillId="0" borderId="42" xfId="2677" applyFont="1" applyBorder="1" applyAlignment="1">
      <alignment horizontal="center" vertical="center" wrapText="1"/>
    </xf>
    <xf numFmtId="0" fontId="123" fillId="0" borderId="34" xfId="2677" applyFont="1" applyBorder="1" applyAlignment="1">
      <alignment horizontal="center"/>
    </xf>
    <xf numFmtId="0" fontId="123" fillId="0" borderId="19" xfId="2677" applyFont="1" applyBorder="1" applyAlignment="1">
      <alignment horizontal="center"/>
    </xf>
    <xf numFmtId="0" fontId="118" fillId="0" borderId="19" xfId="2677" applyFont="1" applyBorder="1" applyAlignment="1">
      <alignment horizontal="center"/>
    </xf>
    <xf numFmtId="0" fontId="118" fillId="0" borderId="46" xfId="2677" applyFont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4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5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6" fillId="42" borderId="85" xfId="2673" applyFont="1" applyFill="1" applyBorder="1" applyAlignment="1">
      <alignment horizontal="center" vertical="center" wrapText="1"/>
    </xf>
    <xf numFmtId="0" fontId="166" fillId="42" borderId="86" xfId="2673" applyFont="1" applyFill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6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6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6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8" fillId="43" borderId="60" xfId="2673" applyNumberFormat="1" applyFont="1" applyFill="1" applyBorder="1" applyAlignment="1">
      <alignment horizontal="center" vertical="center" wrapText="1"/>
    </xf>
    <xf numFmtId="2" fontId="138" fillId="43" borderId="8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6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2" xfId="2675" applyFont="1" applyFill="1" applyBorder="1" applyAlignment="1">
      <alignment horizontal="center" vertical="center" wrapText="1"/>
    </xf>
    <xf numFmtId="9" fontId="138" fillId="35" borderId="63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0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1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6" xfId="2673" applyFont="1" applyFill="1" applyBorder="1" applyAlignment="1">
      <alignment horizontal="center" vertical="center" wrapText="1"/>
    </xf>
    <xf numFmtId="2" fontId="138" fillId="35" borderId="60" xfId="2673" applyNumberFormat="1" applyFont="1" applyFill="1" applyBorder="1" applyAlignment="1">
      <alignment horizontal="center" vertical="center" wrapText="1"/>
    </xf>
    <xf numFmtId="2" fontId="138" fillId="35" borderId="89" xfId="2673" applyNumberFormat="1" applyFont="1" applyFill="1" applyBorder="1" applyAlignment="1">
      <alignment horizontal="center" vertical="center" wrapText="1"/>
    </xf>
    <xf numFmtId="0" fontId="166" fillId="41" borderId="85" xfId="2673" applyFont="1" applyFill="1" applyBorder="1" applyAlignment="1">
      <alignment horizontal="center" vertical="center" wrapText="1"/>
    </xf>
    <xf numFmtId="0" fontId="166" fillId="41" borderId="86" xfId="2673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6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6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8" fillId="0" borderId="62" xfId="2675" applyFont="1" applyFill="1" applyBorder="1" applyAlignment="1">
      <alignment horizontal="center" vertical="center" wrapText="1"/>
    </xf>
    <xf numFmtId="9" fontId="138" fillId="0" borderId="63" xfId="2675" applyFont="1" applyFill="1" applyBorder="1" applyAlignment="1">
      <alignment horizontal="center" vertical="center" wrapText="1"/>
    </xf>
    <xf numFmtId="0" fontId="12" fillId="34" borderId="74" xfId="2670" applyFill="1" applyBorder="1" applyAlignment="1">
      <alignment horizontal="center" vertical="center"/>
    </xf>
    <xf numFmtId="0" fontId="141" fillId="0" borderId="75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8" fillId="0" borderId="3" xfId="2677" applyFont="1" applyBorder="1" applyAlignment="1">
      <alignment horizontal="center"/>
    </xf>
    <xf numFmtId="0" fontId="118" fillId="0" borderId="39" xfId="2677" applyFont="1" applyBorder="1" applyAlignment="1">
      <alignment horizontal="center"/>
    </xf>
    <xf numFmtId="0" fontId="134" fillId="0" borderId="55" xfId="2677" applyFont="1" applyBorder="1" applyAlignment="1">
      <alignment horizontal="center" vertical="center"/>
    </xf>
    <xf numFmtId="0" fontId="134" fillId="0" borderId="36" xfId="2677" applyFont="1" applyBorder="1" applyAlignment="1">
      <alignment horizontal="center" vertical="center"/>
    </xf>
    <xf numFmtId="0" fontId="134" fillId="0" borderId="48" xfId="2677" applyFont="1" applyBorder="1" applyAlignment="1">
      <alignment horizontal="center" vertical="center"/>
    </xf>
    <xf numFmtId="0" fontId="134" fillId="0" borderId="43" xfId="2677" applyFont="1" applyBorder="1" applyAlignment="1">
      <alignment horizontal="center" vertical="center"/>
    </xf>
    <xf numFmtId="0" fontId="134" fillId="0" borderId="44" xfId="2677" applyFont="1" applyBorder="1" applyAlignment="1">
      <alignment horizontal="center" vertical="center"/>
    </xf>
    <xf numFmtId="0" fontId="134" fillId="0" borderId="45" xfId="2677" applyFont="1" applyBorder="1" applyAlignment="1">
      <alignment horizontal="center" vertical="center"/>
    </xf>
    <xf numFmtId="0" fontId="118" fillId="0" borderId="139" xfId="2677" applyFont="1" applyBorder="1" applyAlignment="1">
      <alignment horizontal="center"/>
    </xf>
    <xf numFmtId="0" fontId="118" fillId="0" borderId="140" xfId="2677" applyFont="1" applyBorder="1" applyAlignment="1">
      <alignment horizontal="center"/>
    </xf>
    <xf numFmtId="0" fontId="119" fillId="0" borderId="18" xfId="2677" applyFont="1" applyBorder="1" applyAlignment="1">
      <alignment horizontal="left"/>
    </xf>
    <xf numFmtId="0" fontId="119" fillId="0" borderId="0" xfId="2677" applyFont="1" applyAlignment="1">
      <alignment horizontal="left"/>
    </xf>
    <xf numFmtId="0" fontId="119" fillId="0" borderId="37" xfId="2677" applyFont="1" applyBorder="1" applyAlignment="1">
      <alignment horizontal="left"/>
    </xf>
    <xf numFmtId="0" fontId="135" fillId="0" borderId="50" xfId="2677" applyFont="1" applyBorder="1" applyAlignment="1">
      <alignment horizontal="center" vertical="center"/>
    </xf>
    <xf numFmtId="0" fontId="135" fillId="0" borderId="7" xfId="2677" applyFont="1" applyBorder="1" applyAlignment="1">
      <alignment horizontal="center" vertical="center"/>
    </xf>
    <xf numFmtId="0" fontId="135" fillId="0" borderId="41" xfId="2677" applyFont="1" applyBorder="1" applyAlignment="1">
      <alignment horizontal="center" vertical="center"/>
    </xf>
    <xf numFmtId="0" fontId="119" fillId="0" borderId="50" xfId="2677" applyFont="1" applyBorder="1" applyAlignment="1">
      <alignment horizontal="center" vertical="center"/>
    </xf>
    <xf numFmtId="0" fontId="119" fillId="0" borderId="7" xfId="2677" applyFont="1" applyBorder="1" applyAlignment="1">
      <alignment horizontal="center" vertical="center"/>
    </xf>
    <xf numFmtId="0" fontId="119" fillId="0" borderId="56" xfId="2677" applyFont="1" applyBorder="1" applyAlignment="1">
      <alignment horizontal="center" vertical="center"/>
    </xf>
    <xf numFmtId="0" fontId="95" fillId="0" borderId="57" xfId="2677" applyFont="1" applyBorder="1" applyAlignment="1">
      <alignment horizontal="center" vertical="center"/>
    </xf>
    <xf numFmtId="0" fontId="95" fillId="0" borderId="40" xfId="2677" applyFont="1" applyBorder="1" applyAlignment="1">
      <alignment horizontal="center" vertical="center"/>
    </xf>
    <xf numFmtId="49" fontId="118" fillId="0" borderId="50" xfId="2677" applyNumberFormat="1" applyFont="1" applyBorder="1" applyAlignment="1">
      <alignment horizontal="center" vertical="center"/>
    </xf>
    <xf numFmtId="49" fontId="118" fillId="0" borderId="41" xfId="2677" applyNumberFormat="1" applyFont="1" applyBorder="1" applyAlignment="1">
      <alignment horizontal="center" vertical="center"/>
    </xf>
    <xf numFmtId="49" fontId="178" fillId="0" borderId="57" xfId="2677" applyNumberFormat="1" applyFont="1" applyBorder="1" applyAlignment="1">
      <alignment horizontal="left" vertical="center"/>
    </xf>
    <xf numFmtId="49" fontId="178" fillId="0" borderId="40" xfId="2677" applyNumberFormat="1" applyFont="1" applyBorder="1" applyAlignment="1">
      <alignment horizontal="left" vertical="center"/>
    </xf>
    <xf numFmtId="49" fontId="136" fillId="0" borderId="57" xfId="2677" applyNumberFormat="1" applyFont="1" applyBorder="1" applyAlignment="1">
      <alignment horizontal="center" vertical="center"/>
    </xf>
    <xf numFmtId="49" fontId="136" fillId="0" borderId="40" xfId="2677" applyNumberFormat="1" applyFont="1" applyBorder="1" applyAlignment="1">
      <alignment horizontal="center" vertical="center"/>
    </xf>
    <xf numFmtId="0" fontId="95" fillId="0" borderId="57" xfId="2677" applyFont="1" applyBorder="1" applyAlignment="1">
      <alignment horizontal="left" vertical="center"/>
    </xf>
    <xf numFmtId="0" fontId="95" fillId="0" borderId="40" xfId="2677" applyFont="1" applyBorder="1" applyAlignment="1">
      <alignment horizontal="left" vertical="center"/>
    </xf>
    <xf numFmtId="0" fontId="95" fillId="0" borderId="58" xfId="2677" applyFont="1" applyBorder="1" applyAlignment="1">
      <alignment horizontal="left" vertical="center"/>
    </xf>
    <xf numFmtId="0" fontId="95" fillId="0" borderId="141" xfId="2677" applyFont="1" applyBorder="1" applyAlignment="1">
      <alignment horizontal="left" vertical="center"/>
    </xf>
    <xf numFmtId="0" fontId="136" fillId="0" borderId="58" xfId="2677" applyFont="1" applyBorder="1" applyAlignment="1">
      <alignment horizontal="center" vertical="center"/>
    </xf>
    <xf numFmtId="0" fontId="136" fillId="0" borderId="59" xfId="2677" applyFont="1" applyBorder="1" applyAlignment="1">
      <alignment horizontal="center" vertical="center"/>
    </xf>
    <xf numFmtId="0" fontId="95" fillId="0" borderId="58" xfId="2677" applyFont="1" applyBorder="1" applyAlignment="1">
      <alignment horizontal="center" vertical="center"/>
    </xf>
    <xf numFmtId="0" fontId="95" fillId="0" borderId="141" xfId="2677" applyFont="1" applyBorder="1" applyAlignment="1">
      <alignment horizontal="center" vertical="center"/>
    </xf>
    <xf numFmtId="49" fontId="95" fillId="0" borderId="57" xfId="2677" applyNumberFormat="1" applyFont="1" applyBorder="1" applyAlignment="1">
      <alignment horizontal="center" vertical="center"/>
    </xf>
    <xf numFmtId="49" fontId="95" fillId="0" borderId="40" xfId="2677" applyNumberFormat="1" applyFont="1" applyBorder="1" applyAlignment="1">
      <alignment horizontal="center" vertical="center"/>
    </xf>
    <xf numFmtId="0" fontId="123" fillId="0" borderId="70" xfId="2677" applyFont="1" applyBorder="1" applyAlignment="1">
      <alignment horizontal="center" vertical="center"/>
    </xf>
    <xf numFmtId="0" fontId="123" fillId="0" borderId="145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top" wrapText="1"/>
    </xf>
    <xf numFmtId="49" fontId="118" fillId="0" borderId="41" xfId="2677" applyNumberFormat="1" applyFont="1" applyBorder="1" applyAlignment="1">
      <alignment horizontal="center" vertical="top" wrapText="1"/>
    </xf>
    <xf numFmtId="0" fontId="122" fillId="0" borderId="70" xfId="2677" applyFont="1" applyBorder="1" applyAlignment="1">
      <alignment horizontal="center" vertical="center"/>
    </xf>
    <xf numFmtId="0" fontId="122" fillId="0" borderId="71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top" wrapText="1"/>
    </xf>
    <xf numFmtId="0" fontId="118" fillId="0" borderId="41" xfId="2677" applyFont="1" applyBorder="1" applyAlignment="1">
      <alignment horizontal="center" vertical="top" wrapText="1"/>
    </xf>
    <xf numFmtId="0" fontId="95" fillId="0" borderId="142" xfId="2677" applyFont="1" applyBorder="1" applyAlignment="1">
      <alignment horizontal="center" vertical="center"/>
    </xf>
    <xf numFmtId="0" fontId="95" fillId="0" borderId="143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center"/>
    </xf>
    <xf numFmtId="0" fontId="118" fillId="0" borderId="7" xfId="2677" applyFont="1" applyBorder="1" applyAlignment="1">
      <alignment horizontal="center"/>
    </xf>
    <xf numFmtId="0" fontId="118" fillId="0" borderId="41" xfId="2677" applyFont="1" applyBorder="1" applyAlignment="1">
      <alignment horizontal="center"/>
    </xf>
    <xf numFmtId="15" fontId="118" fillId="0" borderId="3" xfId="2677" applyNumberFormat="1" applyFont="1" applyBorder="1" applyAlignment="1">
      <alignment horizontal="center"/>
    </xf>
    <xf numFmtId="0" fontId="118" fillId="0" borderId="139" xfId="2677" applyFont="1" applyBorder="1" applyAlignment="1">
      <alignment horizontal="center" vertical="center"/>
    </xf>
    <xf numFmtId="0" fontId="118" fillId="0" borderId="140" xfId="2677" applyFont="1" applyBorder="1" applyAlignment="1">
      <alignment horizontal="center" vertical="center"/>
    </xf>
    <xf numFmtId="0" fontId="118" fillId="0" borderId="0" xfId="2677" applyFont="1" applyAlignment="1">
      <alignment horizontal="center" vertical="center" wrapText="1"/>
    </xf>
    <xf numFmtId="0" fontId="118" fillId="0" borderId="37" xfId="2677" applyFont="1" applyBorder="1" applyAlignment="1">
      <alignment horizontal="center" vertical="center" wrapText="1"/>
    </xf>
    <xf numFmtId="0" fontId="118" fillId="0" borderId="44" xfId="2677" applyFont="1" applyBorder="1" applyAlignment="1">
      <alignment horizontal="center" vertical="center" wrapText="1"/>
    </xf>
    <xf numFmtId="0" fontId="118" fillId="0" borderId="45" xfId="2677" applyFont="1" applyBorder="1" applyAlignment="1">
      <alignment horizontal="center" vertical="center" wrapText="1"/>
    </xf>
    <xf numFmtId="0" fontId="123" fillId="0" borderId="72" xfId="2677" applyFont="1" applyBorder="1" applyAlignment="1">
      <alignment horizontal="center" vertical="center" wrapText="1"/>
    </xf>
    <xf numFmtId="0" fontId="123" fillId="0" borderId="73" xfId="2677" applyFont="1" applyBorder="1" applyAlignment="1">
      <alignment horizontal="center" vertical="center" wrapText="1"/>
    </xf>
    <xf numFmtId="0" fontId="119" fillId="0" borderId="18" xfId="2677" applyFont="1" applyBorder="1" applyAlignment="1">
      <alignment horizontal="left" vertical="top" wrapText="1"/>
    </xf>
    <xf numFmtId="0" fontId="119" fillId="0" borderId="0" xfId="2677" applyFont="1" applyAlignment="1">
      <alignment horizontal="left" vertical="top" wrapText="1"/>
    </xf>
    <xf numFmtId="0" fontId="118" fillId="0" borderId="60" xfId="2677" applyFont="1" applyBorder="1" applyAlignment="1">
      <alignment horizontal="center"/>
    </xf>
    <xf numFmtId="0" fontId="118" fillId="0" borderId="61" xfId="2677" applyFont="1" applyBorder="1" applyAlignment="1">
      <alignment horizontal="center"/>
    </xf>
    <xf numFmtId="0" fontId="118" fillId="0" borderId="62" xfId="2677" applyFont="1" applyBorder="1" applyAlignment="1">
      <alignment horizontal="center"/>
    </xf>
    <xf numFmtId="0" fontId="118" fillId="0" borderId="63" xfId="2677" applyFont="1" applyBorder="1" applyAlignment="1">
      <alignment horizont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1.9699999999999998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8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9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65</xdr:row>
      <xdr:rowOff>81642</xdr:rowOff>
    </xdr:from>
    <xdr:to>
      <xdr:col>10</xdr:col>
      <xdr:colOff>1391926</xdr:colOff>
      <xdr:row>68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23</xdr:row>
      <xdr:rowOff>0</xdr:rowOff>
    </xdr:from>
    <xdr:to>
      <xdr:col>15</xdr:col>
      <xdr:colOff>19050</xdr:colOff>
      <xdr:row>23</xdr:row>
      <xdr:rowOff>9525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H="1" flipV="1">
          <a:off x="1971675" y="3543300"/>
          <a:ext cx="3476625" cy="952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176378</xdr:colOff>
      <xdr:row>34</xdr:row>
      <xdr:rowOff>107515</xdr:rowOff>
    </xdr:from>
    <xdr:to>
      <xdr:col>6</xdr:col>
      <xdr:colOff>327933</xdr:colOff>
      <xdr:row>35</xdr:row>
      <xdr:rowOff>90870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2176628" y="5327215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309270</xdr:colOff>
      <xdr:row>25</xdr:row>
      <xdr:rowOff>48453</xdr:rowOff>
    </xdr:from>
    <xdr:to>
      <xdr:col>15</xdr:col>
      <xdr:colOff>285749</xdr:colOff>
      <xdr:row>48</xdr:row>
      <xdr:rowOff>85725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51A0515-35C6-4269-98FF-DC2955BB8E65}"/>
            </a:ext>
          </a:extLst>
        </xdr:cNvPr>
        <xdr:cNvSpPr/>
      </xdr:nvSpPr>
      <xdr:spPr>
        <a:xfrm>
          <a:off x="1928520" y="3896553"/>
          <a:ext cx="3786479" cy="3571047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D" sz="1600" b="1">
              <a:solidFill>
                <a:schemeClr val="tx1"/>
              </a:solidFill>
            </a:rPr>
            <a:t>EDI WIDARTO</a:t>
          </a:r>
        </a:p>
        <a:p>
          <a:pPr algn="ctr"/>
          <a:endParaRPr lang="en-ID" sz="1600" b="1">
            <a:solidFill>
              <a:schemeClr val="tx1"/>
            </a:solidFill>
          </a:endParaRPr>
        </a:p>
        <a:p>
          <a:pPr algn="ctr"/>
          <a:endParaRPr lang="en-ID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371475</xdr:colOff>
      <xdr:row>26</xdr:row>
      <xdr:rowOff>142875</xdr:rowOff>
    </xdr:from>
    <xdr:to>
      <xdr:col>12</xdr:col>
      <xdr:colOff>285750</xdr:colOff>
      <xdr:row>27</xdr:row>
      <xdr:rowOff>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/>
      </xdr:nvCxnSpPr>
      <xdr:spPr>
        <a:xfrm flipH="1">
          <a:off x="1990725" y="4143375"/>
          <a:ext cx="25812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201290</xdr:colOff>
      <xdr:row>26</xdr:row>
      <xdr:rowOff>71612</xdr:rowOff>
    </xdr:from>
    <xdr:to>
      <xdr:col>7</xdr:col>
      <xdr:colOff>352845</xdr:colOff>
      <xdr:row>27</xdr:row>
      <xdr:rowOff>54967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2582540" y="4072112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173895</xdr:colOff>
      <xdr:row>35</xdr:row>
      <xdr:rowOff>135264</xdr:rowOff>
    </xdr:from>
    <xdr:to>
      <xdr:col>6</xdr:col>
      <xdr:colOff>325450</xdr:colOff>
      <xdr:row>36</xdr:row>
      <xdr:rowOff>118619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2174145" y="5507364"/>
          <a:ext cx="151555" cy="1357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340663</xdr:colOff>
      <xdr:row>35</xdr:row>
      <xdr:rowOff>100717</xdr:rowOff>
    </xdr:from>
    <xdr:to>
      <xdr:col>6</xdr:col>
      <xdr:colOff>142543</xdr:colOff>
      <xdr:row>36</xdr:row>
      <xdr:rowOff>36444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1959913" y="5472817"/>
          <a:ext cx="182880" cy="88127"/>
          <a:chOff x="5810250" y="2026920"/>
          <a:chExt cx="182880" cy="91440"/>
        </a:xfrm>
        <a:solidFill>
          <a:srgbClr val="FF0000"/>
        </a:solidFill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365082</xdr:colOff>
      <xdr:row>35</xdr:row>
      <xdr:rowOff>59255</xdr:rowOff>
    </xdr:from>
    <xdr:to>
      <xdr:col>7</xdr:col>
      <xdr:colOff>299139</xdr:colOff>
      <xdr:row>36</xdr:row>
      <xdr:rowOff>38864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2365332" y="5431355"/>
          <a:ext cx="315057" cy="132009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8</xdr:col>
      <xdr:colOff>14494</xdr:colOff>
      <xdr:row>34</xdr:row>
      <xdr:rowOff>53834</xdr:rowOff>
    </xdr:from>
    <xdr:to>
      <xdr:col>10</xdr:col>
      <xdr:colOff>285749</xdr:colOff>
      <xdr:row>41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847BFD-B380-4DDC-B241-783556DCE52A}"/>
            </a:ext>
          </a:extLst>
        </xdr:cNvPr>
        <xdr:cNvSpPr txBox="1"/>
      </xdr:nvSpPr>
      <xdr:spPr>
        <a:xfrm>
          <a:off x="2776744" y="5273534"/>
          <a:ext cx="1033255" cy="117489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C12-350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TRF 3P 160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TRF 200 KVA</a:t>
          </a:r>
          <a:br>
            <a:rPr lang="en-US" sz="800" baseline="0">
              <a:solidFill>
                <a:srgbClr val="FF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APP 197 KVA</a:t>
          </a:r>
        </a:p>
      </xdr:txBody>
    </xdr:sp>
    <xdr:clientData/>
  </xdr:twoCellAnchor>
  <xdr:twoCellAnchor>
    <xdr:from>
      <xdr:col>6</xdr:col>
      <xdr:colOff>246891</xdr:colOff>
      <xdr:row>27</xdr:row>
      <xdr:rowOff>39098</xdr:rowOff>
    </xdr:from>
    <xdr:to>
      <xdr:col>7</xdr:col>
      <xdr:colOff>227369</xdr:colOff>
      <xdr:row>34</xdr:row>
      <xdr:rowOff>107719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36C282E-43E5-4E62-A809-A1878236CF4F}"/>
            </a:ext>
          </a:extLst>
        </xdr:cNvPr>
        <xdr:cNvCxnSpPr>
          <a:stCxn id="15" idx="3"/>
          <a:endCxn id="7" idx="0"/>
        </xdr:cNvCxnSpPr>
      </xdr:nvCxnSpPr>
      <xdr:spPr>
        <a:xfrm flipH="1">
          <a:off x="2247141" y="4191998"/>
          <a:ext cx="361478" cy="11354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519546</xdr:colOff>
      <xdr:row>13</xdr:row>
      <xdr:rowOff>138546</xdr:rowOff>
    </xdr:from>
    <xdr:to>
      <xdr:col>17</xdr:col>
      <xdr:colOff>543077</xdr:colOff>
      <xdr:row>47</xdr:row>
      <xdr:rowOff>59611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CC1957-4269-A28A-F062-E453B3F4B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6273" y="2320637"/>
          <a:ext cx="7297168" cy="5220429"/>
        </a:xfrm>
        <a:prstGeom prst="rect">
          <a:avLst/>
        </a:prstGeom>
      </xdr:spPr>
    </xdr:pic>
    <xdr:clientData/>
  </xdr:twoCellAnchor>
  <xdr:twoCellAnchor>
    <xdr:from>
      <xdr:col>11</xdr:col>
      <xdr:colOff>277090</xdr:colOff>
      <xdr:row>26</xdr:row>
      <xdr:rowOff>34637</xdr:rowOff>
    </xdr:from>
    <xdr:to>
      <xdr:col>13</xdr:col>
      <xdr:colOff>173181</xdr:colOff>
      <xdr:row>32</xdr:row>
      <xdr:rowOff>86591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6130635" y="4242955"/>
          <a:ext cx="1108364" cy="987136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95" t="s">
        <v>1133</v>
      </c>
      <c r="C4" s="495"/>
      <c r="D4" s="495"/>
      <c r="E4" s="495"/>
      <c r="F4" s="495"/>
      <c r="G4" s="495"/>
      <c r="H4" s="49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96" t="s">
        <v>0</v>
      </c>
      <c r="C7" s="496" t="s">
        <v>1</v>
      </c>
      <c r="D7" s="497" t="s">
        <v>42</v>
      </c>
      <c r="E7" s="497" t="s">
        <v>43</v>
      </c>
      <c r="F7" s="497" t="s">
        <v>1134</v>
      </c>
      <c r="G7" s="498" t="s">
        <v>41</v>
      </c>
      <c r="H7" s="494" t="s">
        <v>1041</v>
      </c>
      <c r="I7" s="494" t="s">
        <v>1136</v>
      </c>
      <c r="J7" s="494" t="s">
        <v>1025</v>
      </c>
      <c r="K7" s="488" t="s">
        <v>1023</v>
      </c>
      <c r="L7" s="489"/>
    </row>
    <row r="8" spans="1:12" ht="15" customHeight="1">
      <c r="B8" s="496"/>
      <c r="C8" s="496"/>
      <c r="D8" s="497"/>
      <c r="E8" s="497"/>
      <c r="F8" s="497"/>
      <c r="G8" s="498"/>
      <c r="H8" s="494"/>
      <c r="I8" s="494"/>
      <c r="J8" s="494"/>
      <c r="K8" s="490"/>
      <c r="L8" s="491"/>
    </row>
    <row r="9" spans="1:12" ht="15" customHeight="1">
      <c r="B9" s="496"/>
      <c r="C9" s="496"/>
      <c r="D9" s="497"/>
      <c r="E9" s="497"/>
      <c r="F9" s="497"/>
      <c r="G9" s="498"/>
      <c r="H9" s="494"/>
      <c r="I9" s="494"/>
      <c r="J9" s="494"/>
      <c r="K9" s="492"/>
      <c r="L9" s="49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Kabel NYY 1 x 150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44</v>
      </c>
      <c r="G15" s="41">
        <f ca="1">IF(ISERROR(OFFSET('HARGA SATUAN'!$I$6,MATCH(C15,'HARGA SATUAN'!$C$7:$C$1492,0),0)),"",OFFSET('HARGA SATUAN'!$I$6,MATCH(C15,'HARGA SATUAN'!$C$7:$C$1492,0),0))</f>
        <v>218600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SUMIFS(RAB!$F$15:$F$49,RAB!$C$15:$C$49,C714)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SUMIFS(RAB!$F$15:$F$49,RAB!$C$15:$C$49,C715)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SUMIFS(RAB!$F$15:$F$49,RAB!$C$15:$C$49,C716)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SUMIFS(RAB!$F$15:$F$49,RAB!$C$15:$C$49,C717)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SUMIFS(RAB!$F$15:$F$49,RAB!$C$15:$C$49,C718)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SUMIFS(RAB!$F$15:$F$49,RAB!$C$15:$C$49,C719)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SUMIFS(RAB!$F$15:$F$49,RAB!$C$15:$C$49,C720)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SUMIFS(RAB!$F$15:$F$49,RAB!$C$15:$C$49,C721)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SUMIFS(RAB!$F$15:$F$49,RAB!$C$15:$C$49,C722)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SUMIFS(RAB!$F$15:$F$49,RAB!$C$15:$C$49,C723)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SUMIFS(RAB!$F$15:$F$49,RAB!$C$15:$C$49,C724)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SUMIFS(RAB!$F$15:$F$49,RAB!$C$15:$C$49,C725)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SUMIFS(RAB!$F$15:$F$49,RAB!$C$15:$C$49,C726)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SUMIFS(RAB!$F$15:$F$49,RAB!$C$15:$C$49,C727)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SUMIFS(RAB!$F$15:$F$49,RAB!$C$15:$C$49,C728)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SUMIFS(RAB!$F$15:$F$49,RAB!$C$15:$C$49,C729)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SUMIFS(RAB!$F$15:$F$49,RAB!$C$15:$C$49,C730)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SUMIFS(RAB!$F$15:$F$49,RAB!$C$15:$C$49,C731)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SUMIFS(RAB!$F$15:$F$49,RAB!$C$15:$C$49,C732)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SUMIFS(RAB!$F$15:$F$49,RAB!$C$15:$C$49,C733)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SUMIFS(RAB!$F$15:$F$49,RAB!$C$15:$C$49,C734)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SUMIFS(RAB!$F$15:$F$49,RAB!$C$15:$C$49,C735)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SUMIFS(RAB!$F$15:$F$49,RAB!$C$15:$C$49,C736)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SUMIFS(RAB!$F$15:$F$49,RAB!$C$15:$C$49,C737)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SUMIFS(RAB!$F$15:$F$49,RAB!$C$15:$C$49,C738)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SUMIFS(RAB!$F$15:$F$49,RAB!$C$15:$C$49,C739)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SUMIFS(RAB!$F$15:$F$49,RAB!$C$15:$C$49,C740)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SUMIFS(RAB!$F$15:$F$49,RAB!$C$15:$C$49,C741)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SUMIFS(RAB!$F$15:$F$49,RAB!$C$15:$C$49,C742)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SUMIFS(RAB!$F$15:$F$49,RAB!$C$15:$C$49,C743)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SUMIFS(RAB!$F$15:$F$49,RAB!$C$15:$C$49,C744)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SUMIFS(RAB!$F$15:$F$49,RAB!$C$15:$C$49,C745)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SUMIFS(RAB!$F$15:$F$49,RAB!$C$15:$C$49,C746)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SUMIFS(RAB!$F$15:$F$49,RAB!$C$15:$C$49,C747)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SUMIFS(RAB!$F$15:$F$49,RAB!$C$15:$C$49,C748)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SUMIFS(RAB!$F$15:$F$49,RAB!$C$15:$C$49,C749)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SUMIFS(RAB!$F$15:$F$49,RAB!$C$15:$C$49,C750)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SUMIFS(RAB!$F$15:$F$49,RAB!$C$15:$C$49,C751)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SUMIFS(RAB!$F$15:$F$49,RAB!$C$15:$C$49,C752)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SUMIFS(RAB!$F$15:$F$49,RAB!$C$15:$C$49,C753)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SUMIFS(RAB!$F$15:$F$49,RAB!$C$15:$C$49,C754)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SUMIFS(RAB!$F$15:$F$49,RAB!$C$15:$C$49,C755)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SUMIFS(RAB!$F$15:$F$49,RAB!$C$15:$C$49,C756)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SUMIFS(RAB!$F$15:$F$49,RAB!$C$15:$C$49,C757)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SUMIFS(RAB!$F$15:$F$49,RAB!$C$15:$C$49,C758)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SUMIFS(RAB!$F$15:$F$49,RAB!$C$15:$C$49,C759)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SUMIFS(RAB!$F$15:$F$49,RAB!$C$15:$C$49,C760)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SUMIFS(RAB!$F$15:$F$49,RAB!$C$15:$C$49,C761)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SUMIFS(RAB!$F$15:$F$49,RAB!$C$15:$C$49,C762)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SUMIFS(RAB!$F$15:$F$49,RAB!$C$15:$C$49,C763)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SUMIFS(RAB!$F$15:$F$49,RAB!$C$15:$C$49,C764)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SUMIFS(RAB!$F$15:$F$49,RAB!$C$15:$C$49,C765)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SUMIFS(RAB!$F$15:$F$49,RAB!$C$15:$C$49,C766)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SUMIFS(RAB!$F$15:$F$49,RAB!$C$15:$C$49,C767)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SUMIFS(RAB!$F$15:$F$49,RAB!$C$15:$C$49,C768)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SUMIFS(RAB!$F$15:$F$49,RAB!$C$15:$C$49,C769)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SUMIFS(RAB!$F$15:$F$49,RAB!$C$15:$C$49,C770)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SUMIFS(RAB!$F$15:$F$49,RAB!$C$15:$C$49,C771)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SUMIFS(RAB!$F$15:$F$49,RAB!$C$15:$C$49,C772)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SUMIFS(RAB!$F$15:$F$49,RAB!$C$15:$C$49,C773)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SUMIFS(RAB!$F$15:$F$49,RAB!$C$15:$C$49,C774)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SUMIFS(RAB!$F$15:$F$49,RAB!$C$15:$C$49,C775)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SUMIFS(RAB!$F$15:$F$49,RAB!$C$15:$C$49,C776)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SUMIFS(RAB!$F$15:$F$49,RAB!$C$15:$C$49,C777)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SUMIFS(RAB!$F$15:$F$49,RAB!$C$15:$C$49,C778)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SUMIFS(RAB!$F$15:$F$49,RAB!$C$15:$C$49,C779)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SUMIFS(RAB!$F$15:$F$49,RAB!$C$15:$C$49,C780)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SUMIFS(RAB!$F$15:$F$49,RAB!$C$15:$C$49,C781)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SUMIFS(RAB!$F$15:$F$49,RAB!$C$15:$C$49,C782)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SUMIFS(RAB!$F$15:$F$49,RAB!$C$15:$C$49,C783)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SUMIFS(RAB!$F$15:$F$49,RAB!$C$15:$C$49,C784)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SUMIFS(RAB!$F$15:$F$49,RAB!$C$15:$C$49,C785)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SUMIFS(RAB!$F$15:$F$49,RAB!$C$15:$C$49,C786)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SUMIFS(RAB!$F$15:$F$49,RAB!$C$15:$C$49,C787)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SUMIFS(RAB!$F$15:$F$49,RAB!$C$15:$C$49,C788)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SUMIFS(RAB!$F$15:$F$49,RAB!$C$15:$C$49,C789)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SUMIFS(RAB!$F$15:$F$49,RAB!$C$15:$C$49,C790)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SUMIFS(RAB!$F$15:$F$49,RAB!$C$15:$C$49,C791)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SUMIFS(RAB!$F$15:$F$49,RAB!$C$15:$C$49,C792)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SUMIFS(RAB!$F$15:$F$49,RAB!$C$15:$C$49,C793)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SUMIFS(RAB!$F$15:$F$49,RAB!$C$15:$C$49,C794)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SUMIFS(RAB!$F$15:$F$49,RAB!$C$15:$C$49,C795)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SUMIFS(RAB!$F$15:$F$49,RAB!$C$15:$C$49,C796)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SUMIFS(RAB!$F$15:$F$49,RAB!$C$15:$C$49,C797)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SUMIFS(RAB!$F$15:$F$49,RAB!$C$15:$C$49,C798)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SUMIFS(RAB!$F$15:$F$49,RAB!$C$15:$C$49,C799)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SUMIFS(RAB!$F$15:$F$49,RAB!$C$15:$C$49,C800)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SUMIFS(RAB!$F$15:$F$49,RAB!$C$15:$C$49,C801)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SUMIFS(RAB!$F$15:$F$49,RAB!$C$15:$C$49,C802)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SUMIFS(RAB!$F$15:$F$49,RAB!$C$15:$C$49,C803)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SUMIFS(RAB!$F$15:$F$49,RAB!$C$15:$C$49,C804)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SUMIFS(RAB!$F$15:$F$49,RAB!$C$15:$C$49,C805)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SUMIFS(RAB!$F$15:$F$49,RAB!$C$15:$C$49,C806)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SUMIFS(RAB!$F$15:$F$49,RAB!$C$15:$C$49,C807)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SUMIFS(RAB!$F$15:$F$49,RAB!$C$15:$C$49,C808)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SUMIFS(RAB!$F$15:$F$49,RAB!$C$15:$C$49,C809)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SUMIFS(RAB!$F$15:$F$49,RAB!$C$15:$C$49,C810)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SUMIFS(RAB!$F$15:$F$49,RAB!$C$15:$C$49,C811)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SUMIFS(RAB!$F$15:$F$49,RAB!$C$15:$C$49,C812)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SUMIFS(RAB!$F$15:$F$49,RAB!$C$15:$C$49,C813)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SUMIFS(RAB!$F$15:$F$49,RAB!$C$15:$C$49,C814)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SUMIFS(RAB!$F$15:$F$49,RAB!$C$15:$C$49,C815)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SUMIFS(RAB!$F$15:$F$49,RAB!$C$15:$C$49,C816)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SUMIFS(RAB!$F$15:$F$49,RAB!$C$15:$C$49,C817)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SUMIFS(RAB!$F$15:$F$49,RAB!$C$15:$C$49,C818)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SUMIFS(RAB!$F$15:$F$49,RAB!$C$15:$C$49,C819)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SUMIFS(RAB!$F$15:$F$49,RAB!$C$15:$C$49,C820)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SUMIFS(RAB!$F$15:$F$49,RAB!$C$15:$C$49,C821)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SUMIFS(RAB!$F$15:$F$49,RAB!$C$15:$C$49,C822)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SUMIFS(RAB!$F$15:$F$49,RAB!$C$15:$C$49,C823)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SUMIFS(RAB!$F$15:$F$49,RAB!$C$15:$C$49,C824)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SUMIFS(RAB!$F$15:$F$49,RAB!$C$15:$C$49,C825)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SUMIFS(RAB!$F$15:$F$49,RAB!$C$15:$C$49,C826)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SUMIFS(RAB!$F$15:$F$49,RAB!$C$15:$C$49,C827)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SUMIFS(RAB!$F$15:$F$49,RAB!$C$15:$C$49,C828)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SUMIFS(RAB!$F$15:$F$49,RAB!$C$15:$C$49,C829)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SUMIFS(RAB!$F$15:$F$49,RAB!$C$15:$C$49,C830)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SUMIFS(RAB!$F$15:$F$49,RAB!$C$15:$C$49,C831)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SUMIFS(RAB!$F$15:$F$49,RAB!$C$15:$C$49,C832)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SUMIFS(RAB!$F$15:$F$49,RAB!$C$15:$C$49,C833)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SUMIFS(RAB!$F$15:$F$49,RAB!$C$15:$C$49,C834)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SUMIFS(RAB!$F$15:$F$49,RAB!$C$15:$C$49,C835)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SUMIFS(RAB!$F$15:$F$49,RAB!$C$15:$C$49,C836)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SUMIFS(RAB!$F$15:$F$49,RAB!$C$15:$C$49,C837)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SUMIFS(RAB!$F$15:$F$49,RAB!$C$15:$C$49,C838)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SUMIFS(RAB!$F$15:$F$49,RAB!$C$15:$C$49,C839)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SUMIFS(RAB!$F$15:$F$49,RAB!$C$15:$C$49,C840)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SUMIFS(RAB!$F$15:$F$49,RAB!$C$15:$C$49,C841)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SUMIFS(RAB!$F$15:$F$49,RAB!$C$15:$C$49,C842)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SUMIFS(RAB!$F$15:$F$49,RAB!$C$15:$C$49,C843)</f>
        <v>44</v>
      </c>
      <c r="E843" s="26">
        <f t="shared" ref="E843:E906" ca="1" si="35">IF(D843=0,0,1)</f>
        <v>1</v>
      </c>
      <c r="F843" s="26">
        <f ca="1">IF(D843=0,0,SUM($E$713:E843))</f>
        <v>4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SUMIFS(RAB!$F$15:$F$49,RAB!$C$15:$C$49,C844)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SUMIFS(RAB!$F$15:$F$49,RAB!$C$15:$C$49,C845)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SUMIFS(RAB!$F$15:$F$49,RAB!$C$15:$C$49,C846)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SUMIFS(RAB!$F$15:$F$49,RAB!$C$15:$C$49,C847)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SUMIFS(RAB!$F$15:$F$49,RAB!$C$15:$C$49,C848)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SUMIFS(RAB!$F$15:$F$49,RAB!$C$15:$C$49,C849)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SUMIFS(RAB!$F$15:$F$49,RAB!$C$15:$C$49,C850)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SUMIFS(RAB!$F$15:$F$49,RAB!$C$15:$C$49,C851)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SUMIFS(RAB!$F$15:$F$49,RAB!$C$15:$C$49,C852)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SUMIFS(RAB!$F$15:$F$49,RAB!$C$15:$C$49,C853)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SUMIFS(RAB!$F$15:$F$49,RAB!$C$15:$C$49,C854)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SUMIFS(RAB!$F$15:$F$49,RAB!$C$15:$C$49,C855)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SUMIFS(RAB!$F$15:$F$49,RAB!$C$15:$C$49,C856)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SUMIFS(RAB!$F$15:$F$49,RAB!$C$15:$C$49,C857)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SUMIFS(RAB!$F$15:$F$49,RAB!$C$15:$C$49,C858)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SUMIFS(RAB!$F$15:$F$49,RAB!$C$15:$C$49,C859)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SUMIFS(RAB!$F$15:$F$49,RAB!$C$15:$C$49,C860)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SUMIFS(RAB!$F$15:$F$49,RAB!$C$15:$C$49,C861)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SUMIFS(RAB!$F$15:$F$49,RAB!$C$15:$C$49,C862)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SUMIFS(RAB!$F$15:$F$49,RAB!$C$15:$C$49,C863)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SUMIFS(RAB!$F$15:$F$49,RAB!$C$15:$C$49,C864)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SUMIFS(RAB!$F$15:$F$49,RAB!$C$15:$C$49,C865)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SUMIFS(RAB!$F$15:$F$49,RAB!$C$15:$C$49,C866)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SUMIFS(RAB!$F$15:$F$49,RAB!$C$15:$C$49,C867)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SUMIFS(RAB!$F$15:$F$49,RAB!$C$15:$C$49,C868)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SUMIFS(RAB!$F$15:$F$49,RAB!$C$15:$C$49,C869)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SUMIFS(RAB!$F$15:$F$49,RAB!$C$15:$C$49,C870)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SUMIFS(RAB!$F$15:$F$49,RAB!$C$15:$C$49,C871)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SUMIFS(RAB!$F$15:$F$49,RAB!$C$15:$C$49,C872)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SUMIFS(RAB!$F$15:$F$49,RAB!$C$15:$C$49,C873)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SUMIFS(RAB!$F$15:$F$49,RAB!$C$15:$C$49,C874)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SUMIFS(RAB!$F$15:$F$49,RAB!$C$15:$C$49,C875)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SUMIFS(RAB!$F$15:$F$49,RAB!$C$15:$C$49,C876)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SUMIFS(RAB!$F$15:$F$49,RAB!$C$15:$C$49,C877)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SUMIFS(RAB!$F$15:$F$49,RAB!$C$15:$C$49,C878)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SUMIFS(RAB!$F$15:$F$49,RAB!$C$15:$C$49,C879)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SUMIFS(RAB!$F$15:$F$49,RAB!$C$15:$C$49,C880)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SUMIFS(RAB!$F$15:$F$49,RAB!$C$15:$C$49,C881)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SUMIFS(RAB!$F$15:$F$49,RAB!$C$15:$C$49,C882)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SUMIFS(RAB!$F$15:$F$49,RAB!$C$15:$C$49,C883)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SUMIFS(RAB!$F$15:$F$49,RAB!$C$15:$C$49,C884)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SUMIFS(RAB!$F$15:$F$49,RAB!$C$15:$C$49,C885)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SUMIFS(RAB!$F$15:$F$49,RAB!$C$15:$C$49,C886)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SUMIFS(RAB!$F$15:$F$49,RAB!$C$15:$C$49,C887)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SUMIFS(RAB!$F$15:$F$49,RAB!$C$15:$C$49,C888)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SUMIFS(RAB!$F$15:$F$49,RAB!$C$15:$C$49,C889)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SUMIFS(RAB!$F$15:$F$49,RAB!$C$15:$C$49,C890)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SUMIFS(RAB!$F$15:$F$49,RAB!$C$15:$C$49,C891)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SUMIFS(RAB!$F$15:$F$49,RAB!$C$15:$C$49,C892)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SUMIFS(RAB!$F$15:$F$49,RAB!$C$15:$C$49,C893)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SUMIFS(RAB!$F$15:$F$49,RAB!$C$15:$C$49,C894)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SUMIFS(RAB!$F$15:$F$49,RAB!$C$15:$C$49,C895)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SUMIFS(RAB!$F$15:$F$49,RAB!$C$15:$C$49,C896)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SUMIFS(RAB!$F$15:$F$49,RAB!$C$15:$C$49,C897)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SUMIFS(RAB!$F$15:$F$49,RAB!$C$15:$C$49,C898)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SUMIFS(RAB!$F$15:$F$49,RAB!$C$15:$C$49,C899)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SUMIFS(RAB!$F$15:$F$49,RAB!$C$15:$C$49,C900)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SUMIFS(RAB!$F$15:$F$49,RAB!$C$15:$C$49,C901)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SUMIFS(RAB!$F$15:$F$49,RAB!$C$15:$C$49,C902)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SUMIFS(RAB!$F$15:$F$49,RAB!$C$15:$C$49,C903)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SUMIFS(RAB!$F$15:$F$49,RAB!$C$15:$C$49,C904)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SUMIFS(RAB!$F$15:$F$49,RAB!$C$15:$C$49,C905)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SUMIFS(RAB!$F$15:$F$49,RAB!$C$15:$C$49,C906)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SUMIFS(RAB!$F$15:$F$49,RAB!$C$15:$C$49,C907)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SUMIFS(RAB!$F$15:$F$49,RAB!$C$15:$C$49,C908)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SUMIFS(RAB!$F$15:$F$49,RAB!$C$15:$C$49,C909)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SUMIFS(RAB!$F$15:$F$49,RAB!$C$15:$C$49,C910)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SUMIFS(RAB!$F$15:$F$49,RAB!$C$15:$C$49,C911)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SUMIFS(RAB!$F$15:$F$49,RAB!$C$15:$C$49,C912)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SUMIFS(RAB!$F$15:$F$49,RAB!$C$15:$C$49,C913)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SUMIFS(RAB!$F$15:$F$49,RAB!$C$15:$C$49,C914)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SUMIFS(RAB!$F$15:$F$49,RAB!$C$15:$C$49,C915)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SUMIFS(RAB!$F$15:$F$49,RAB!$C$15:$C$49,C916)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SUMIFS(RAB!$F$15:$F$49,RAB!$C$15:$C$49,C917)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SUMIFS(RAB!$F$15:$F$49,RAB!$C$15:$C$49,C918)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SUMIFS(RAB!$F$15:$F$49,RAB!$C$15:$C$49,C919)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SUMIFS(RAB!$F$15:$F$49,RAB!$C$15:$C$49,C920)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SUMIFS(RAB!$F$15:$F$49,RAB!$C$15:$C$49,C921)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SUMIFS(RAB!$F$15:$F$49,RAB!$C$15:$C$49,C922)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SUMIFS(RAB!$F$15:$F$49,RAB!$C$15:$C$49,C923)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SUMIFS(RAB!$F$15:$F$49,RAB!$C$15:$C$49,C924)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SUMIFS(RAB!$F$15:$F$49,RAB!$C$15:$C$49,C925)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SUMIFS(RAB!$F$15:$F$49,RAB!$C$15:$C$49,C926)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SUMIFS(RAB!$F$15:$F$49,RAB!$C$15:$C$49,C927)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SUMIFS(RAB!$F$15:$F$49,RAB!$C$15:$C$49,C928)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SUMIFS(RAB!$F$15:$F$49,RAB!$C$15:$C$49,C929)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SUMIFS(RAB!$F$15:$F$49,RAB!$C$15:$C$49,C930)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SUMIFS(RAB!$F$15:$F$49,RAB!$C$15:$C$49,C931)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SUMIFS(RAB!$F$15:$F$49,RAB!$C$15:$C$49,C932)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SUMIFS(RAB!$F$15:$F$49,RAB!$C$15:$C$49,C933)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SUMIFS(RAB!$F$15:$F$49,RAB!$C$15:$C$49,C934)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SUMIFS(RAB!$F$15:$F$49,RAB!$C$15:$C$49,C935)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SUMIFS(RAB!$F$15:$F$49,RAB!$C$15:$C$49,C936)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SUMIFS(RAB!$F$15:$F$49,RAB!$C$15:$C$49,C937)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SUMIFS(RAB!$F$15:$F$49,RAB!$C$15:$C$49,C938)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SUMIFS(RAB!$F$15:$F$49,RAB!$C$15:$C$49,C939)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SUMIFS(RAB!$F$15:$F$49,RAB!$C$15:$C$49,C940)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SUMIFS(RAB!$F$15:$F$49,RAB!$C$15:$C$49,C941)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SUMIFS(RAB!$F$15:$F$49,RAB!$C$15:$C$49,C942)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SUMIFS(RAB!$F$15:$F$49,RAB!$C$15:$C$49,C943)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SUMIFS(RAB!$F$15:$F$49,RAB!$C$15:$C$49,C944)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SUMIFS(RAB!$F$15:$F$49,RAB!$C$15:$C$49,C945)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SUMIFS(RAB!$F$15:$F$49,RAB!$C$15:$C$49,C946)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SUMIFS(RAB!$F$15:$F$49,RAB!$C$15:$C$49,C947)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SUMIFS(RAB!$F$15:$F$49,RAB!$C$15:$C$49,C948)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SUMIFS(RAB!$F$15:$F$49,RAB!$C$15:$C$49,C949)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SUMIFS(RAB!$F$15:$F$49,RAB!$C$15:$C$49,C950)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SUMIFS(RAB!$F$15:$F$49,RAB!$C$15:$C$49,C951)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SUMIFS(RAB!$F$15:$F$49,RAB!$C$15:$C$49,C952)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SUMIFS(RAB!$F$15:$F$49,RAB!$C$15:$C$49,C953)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SUMIFS(RAB!$F$15:$F$49,RAB!$C$15:$C$49,C954)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SUMIFS(RAB!$F$15:$F$49,RAB!$C$15:$C$49,C955)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SUMIFS(RAB!$F$15:$F$49,RAB!$C$15:$C$49,C956)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SUMIFS(RAB!$F$15:$F$49,RAB!$C$15:$C$49,C957)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SUMIFS(RAB!$F$15:$F$49,RAB!$C$15:$C$49,C958)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SUMIFS(RAB!$F$15:$F$49,RAB!$C$15:$C$49,C959)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SUMIFS(RAB!$F$15:$F$49,RAB!$C$15:$C$49,C960)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SUMIFS(RAB!$F$15:$F$49,RAB!$C$15:$C$49,C961)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SUMIFS(RAB!$F$15:$F$49,RAB!$C$15:$C$49,C962)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SUMIFS(RAB!$F$15:$F$49,RAB!$C$15:$C$49,C963)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SUMIFS(RAB!$F$15:$F$49,RAB!$C$15:$C$49,C964)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SUMIFS(RAB!$F$15:$F$49,RAB!$C$15:$C$49,C965)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SUMIFS(RAB!$F$15:$F$49,RAB!$C$15:$C$49,C966)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SUMIFS(RAB!$F$15:$F$49,RAB!$C$15:$C$49,C967)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SUMIFS(RAB!$F$15:$F$49,RAB!$C$15:$C$49,C968)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SUMIFS(RAB!$F$15:$F$49,RAB!$C$15:$C$49,C969)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SUMIFS(RAB!$F$15:$F$49,RAB!$C$15:$C$49,C970)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SUMIFS(RAB!$F$15:$F$49,RAB!$C$15:$C$49,C971)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SUMIFS(RAB!$F$15:$F$49,RAB!$C$15:$C$49,C972)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SUMIFS(RAB!$F$15:$F$49,RAB!$C$15:$C$49,C973)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SUMIFS(RAB!$F$15:$F$49,RAB!$C$15:$C$49,C974)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SUMIFS(RAB!$F$15:$F$49,RAB!$C$15:$C$49,C975)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SUMIFS(RAB!$F$15:$F$49,RAB!$C$15:$C$49,C976)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SUMIFS(RAB!$F$15:$F$49,RAB!$C$15:$C$49,C977)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SUMIFS(RAB!$F$15:$F$49,RAB!$C$15:$C$49,C978)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SUMIFS(RAB!$F$15:$F$49,RAB!$C$15:$C$49,C979)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SUMIFS(RAB!$F$15:$F$49,RAB!$C$15:$C$49,C980)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SUMIFS(RAB!$F$15:$F$49,RAB!$C$15:$C$49,C981)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SUMIFS(RAB!$F$15:$F$49,RAB!$C$15:$C$49,C982)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SUMIFS(RAB!$F$15:$F$49,RAB!$C$15:$C$49,C983)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SUMIFS(RAB!$F$15:$F$49,RAB!$C$15:$C$49,C984)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SUMIFS(RAB!$F$15:$F$49,RAB!$C$15:$C$49,C985)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SUMIFS(RAB!$F$15:$F$49,RAB!$C$15:$C$49,C986)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SUMIFS(RAB!$F$15:$F$49,RAB!$C$15:$C$49,C987)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SUMIFS(RAB!$F$15:$F$49,RAB!$C$15:$C$49,C988)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SUMIFS(RAB!$F$15:$F$49,RAB!$C$15:$C$49,C989)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SUMIFS(RAB!$F$15:$F$49,RAB!$C$15:$C$49,C990)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SUMIFS(RAB!$F$15:$F$49,RAB!$C$15:$C$49,C991)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SUMIFS(RAB!$F$15:$F$49,RAB!$C$15:$C$49,C992)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SUMIFS(RAB!$F$15:$F$49,RAB!$C$15:$C$49,C993)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SUMIFS(RAB!$F$15:$F$49,RAB!$C$15:$C$49,C994)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SUMIFS(RAB!$F$15:$F$49,RAB!$C$15:$C$49,C995)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SUMIFS(RAB!$F$15:$F$49,RAB!$C$15:$C$49,C996)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SUMIFS(RAB!$F$15:$F$49,RAB!$C$15:$C$49,C997)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SUMIFS(RAB!$F$15:$F$49,RAB!$C$15:$C$49,C998)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SUMIFS(RAB!$F$15:$F$49,RAB!$C$15:$C$49,C999)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SUMIFS(RAB!$F$15:$F$49,RAB!$C$15:$C$49,C1000)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SUMIFS(RAB!$F$15:$F$49,RAB!$C$15:$C$49,C1001)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SUMIFS(RAB!$F$15:$F$49,RAB!$C$15:$C$49,C1002)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SUMIFS(RAB!$F$15:$F$49,RAB!$C$15:$C$49,C1003)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SUMIFS(RAB!$F$15:$F$49,RAB!$C$15:$C$49,C1004)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SUMIFS(RAB!$F$15:$F$49,RAB!$C$15:$C$49,C1005)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SUMIFS(RAB!$F$15:$F$49,RAB!$C$15:$C$49,C1006)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SUMIFS(RAB!$F$15:$F$49,RAB!$C$15:$C$49,C1007)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SUMIFS(RAB!$F$15:$F$49,RAB!$C$15:$C$49,C1008)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SUMIFS(RAB!$F$15:$F$49,RAB!$C$15:$C$49,C1009)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SUMIFS(RAB!$F$15:$F$49,RAB!$C$15:$C$49,C1010)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SUMIFS(RAB!$F$15:$F$49,RAB!$C$15:$C$49,C1011)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SUMIFS(RAB!$F$15:$F$49,RAB!$C$15:$C$49,C1012)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SUMIFS(RAB!$F$15:$F$49,RAB!$C$15:$C$49,C1013)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SUMIFS(RAB!$F$15:$F$49,RAB!$C$15:$C$49,C1014)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SUMIFS(RAB!$F$15:$F$49,RAB!$C$15:$C$49,C1015)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SUMIFS(RAB!$F$15:$F$49,RAB!$C$15:$C$49,C1016)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SUMIFS(RAB!$F$15:$F$49,RAB!$C$15:$C$49,C1017)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SUMIFS(RAB!$F$15:$F$49,RAB!$C$15:$C$49,C1018)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SUMIFS(RAB!$F$15:$F$49,RAB!$C$15:$C$49,C1019)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SUMIFS(RAB!$F$15:$F$49,RAB!$C$15:$C$49,C1020)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SUMIFS(RAB!$F$15:$F$49,RAB!$C$15:$C$49,C1021)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SUMIFS(RAB!$F$15:$F$49,RAB!$C$15:$C$49,C1022)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SUMIFS(RAB!$F$15:$F$49,RAB!$C$15:$C$49,C1023)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SUMIFS(RAB!$F$15:$F$49,RAB!$C$15:$C$49,C1024)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SUMIFS(RAB!$F$15:$F$49,RAB!$C$15:$C$49,C1025)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SUMIFS(RAB!$F$15:$F$49,RAB!$C$15:$C$49,C1026)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SUMIFS(RAB!$F$15:$F$49,RAB!$C$15:$C$49,C1027)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SUMIFS(RAB!$F$15:$F$49,RAB!$C$15:$C$49,C1028)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SUMIFS(RAB!$F$15:$F$49,RAB!$C$15:$C$49,C1029)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SUMIFS(RAB!$F$15:$F$49,RAB!$C$15:$C$49,C1030)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SUMIFS(RAB!$F$15:$F$49,RAB!$C$15:$C$49,C1031)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SUMIFS(RAB!$F$15:$F$49,RAB!$C$15:$C$49,C1032)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SUMIFS(RAB!$F$15:$F$49,RAB!$C$15:$C$49,C1033)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SUMIFS(RAB!$F$15:$F$49,RAB!$C$15:$C$49,C1034)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SUMIFS(RAB!$F$15:$F$49,RAB!$C$15:$C$49,C1035)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SUMIFS(RAB!$F$15:$F$49,RAB!$C$15:$C$49,C1036)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SUMIFS(RAB!$F$15:$F$49,RAB!$C$15:$C$49,C1037)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SUMIFS(RAB!$F$15:$F$49,RAB!$C$15:$C$49,C1038)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SUMIFS(RAB!$F$15:$F$49,RAB!$C$15:$C$49,C1039)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SUMIFS(RAB!$F$15:$F$49,RAB!$C$15:$C$49,C1040)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SUMIFS(RAB!$F$15:$F$49,RAB!$C$15:$C$49,C1041)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SUMIFS(RAB!$F$15:$F$49,RAB!$C$15:$C$49,C1042)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SUMIFS(RAB!$F$15:$F$49,RAB!$C$15:$C$49,C1043)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SUMIFS(RAB!$F$15:$F$49,RAB!$C$15:$C$49,C1044)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SUMIFS(RAB!$F$15:$F$49,RAB!$C$15:$C$49,C1045)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SUMIFS(RAB!$F$15:$F$49,RAB!$C$15:$C$49,C1046)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SUMIFS(RAB!$F$15:$F$49,RAB!$C$15:$C$49,C1047)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SUMIFS(RAB!$F$15:$F$49,RAB!$C$15:$C$49,C1048)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SUMIFS(RAB!$F$15:$F$49,RAB!$C$15:$C$49,C1049)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SUMIFS(RAB!$F$15:$F$49,RAB!$C$15:$C$49,C1050)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SUMIFS(RAB!$F$15:$F$49,RAB!$C$15:$C$49,C1051)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SUMIFS(RAB!$F$15:$F$49,RAB!$C$15:$C$49,C1052)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SUMIFS(RAB!$F$15:$F$49,RAB!$C$15:$C$49,C1053)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SUMIFS(RAB!$F$15:$F$49,RAB!$C$15:$C$49,C1054)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SUMIFS(RAB!$F$15:$F$49,RAB!$C$15:$C$49,C1055)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SUMIFS(RAB!$F$15:$F$49,RAB!$C$15:$C$49,C1056)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SUMIFS(RAB!$F$15:$F$49,RAB!$C$15:$C$49,C1057)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SUMIFS(RAB!$F$15:$F$49,RAB!$C$15:$C$49,C1058)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SUMIFS(RAB!$F$15:$F$49,RAB!$C$15:$C$49,C1059)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SUMIFS(RAB!$F$15:$F$49,RAB!$C$15:$C$49,C1060)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SUMIFS(RAB!$F$15:$F$49,RAB!$C$15:$C$49,C1061)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SUMIFS(RAB!$F$15:$F$49,RAB!$C$15:$C$49,C1062)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SUMIFS(RAB!$F$15:$F$49,RAB!$C$15:$C$49,C1063)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SUMIFS(RAB!$F$15:$F$49,RAB!$C$15:$C$49,C1064)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SUMIFS(RAB!$F$15:$F$49,RAB!$C$15:$C$49,C1065)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SUMIFS(RAB!$F$15:$F$49,RAB!$C$15:$C$49,C1066)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SUMIFS(RAB!$F$15:$F$49,RAB!$C$15:$C$49,C1067)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SUMIFS(RAB!$F$15:$F$49,RAB!$C$15:$C$49,C1068)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SUMIFS(RAB!$F$15:$F$49,RAB!$C$15:$C$49,C1069)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SUMIFS(RAB!$F$15:$F$49,RAB!$C$15:$C$49,C1070)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SUMIFS(RAB!$F$15:$F$49,RAB!$C$15:$C$49,C1071)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SUMIFS(RAB!$F$15:$F$49,RAB!$C$15:$C$49,C1072)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SUMIFS(RAB!$F$15:$F$49,RAB!$C$15:$C$49,C1073)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SUMIFS(RAB!$F$15:$F$49,RAB!$C$15:$C$49,C1074)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SUMIFS(RAB!$F$15:$F$49,RAB!$C$15:$C$49,C1075)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SUMIFS(RAB!$F$15:$F$49,RAB!$C$15:$C$49,C1076)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SUMIFS(RAB!$F$15:$F$49,RAB!$C$15:$C$49,C1077)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SUMIFS(RAB!$F$15:$F$49,RAB!$C$15:$C$49,C1078)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SUMIFS(RAB!$F$15:$F$49,RAB!$C$15:$C$49,C1079)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SUMIFS(RAB!$F$15:$F$49,RAB!$C$15:$C$49,C1080)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SUMIFS(RAB!$F$15:$F$49,RAB!$C$15:$C$49,C1081)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SUMIFS(RAB!$F$15:$F$49,RAB!$C$15:$C$49,C1082)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SUMIFS(RAB!$F$15:$F$49,RAB!$C$15:$C$49,C1083)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SUMIFS(RAB!$F$15:$F$49,RAB!$C$15:$C$49,C1084)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SUMIFS(RAB!$F$15:$F$49,RAB!$C$15:$C$49,C1085)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SUMIFS(RAB!$F$15:$F$49,RAB!$C$15:$C$49,C1086)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SUMIFS(RAB!$F$15:$F$49,RAB!$C$15:$C$49,C1087)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SUMIFS(RAB!$F$15:$F$49,RAB!$C$15:$C$49,C1088)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SUMIFS(RAB!$F$15:$F$49,RAB!$C$15:$C$49,C1089)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SUMIFS(RAB!$F$15:$F$49,RAB!$C$15:$C$49,C1090)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SUMIFS(RAB!$F$15:$F$49,RAB!$C$15:$C$49,C1091)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SUMIFS(RAB!$F$15:$F$49,RAB!$C$15:$C$49,C1092)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SUMIFS(RAB!$F$15:$F$49,RAB!$C$15:$C$49,C1093)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SUMIFS(RAB!$F$15:$F$49,RAB!$C$15:$C$49,C1094)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SUMIFS(RAB!$F$15:$F$49,RAB!$C$15:$C$49,C1095)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SUMIFS(RAB!$F$15:$F$49,RAB!$C$15:$C$49,C1096)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SUMIFS(RAB!$F$15:$F$49,RAB!$C$15:$C$49,C1097)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SUMIFS(RAB!$F$15:$F$49,RAB!$C$15:$C$49,C1098)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SUMIFS(RAB!$F$15:$F$49,RAB!$C$15:$C$49,C1099)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SUMIFS(RAB!$F$15:$F$49,RAB!$C$15:$C$49,C1100)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SUMIFS(RAB!$F$15:$F$49,RAB!$C$15:$C$49,C1101)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SUMIFS(RAB!$F$15:$F$49,RAB!$C$15:$C$49,C1102)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SUMIFS(RAB!$F$15:$F$49,RAB!$C$15:$C$49,C1103)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SUMIFS(RAB!$F$15:$F$49,RAB!$C$15:$C$49,C1104)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SUMIFS(RAB!$F$15:$F$49,RAB!$C$15:$C$49,C1105)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SUMIFS(RAB!$F$15:$F$49,RAB!$C$15:$C$49,C1106)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SUMIFS(RAB!$F$15:$F$49,RAB!$C$15:$C$49,C1107)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SUMIFS(RAB!$F$15:$F$49,RAB!$C$15:$C$49,C1108)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SUMIFS(RAB!$F$15:$F$49,RAB!$C$15:$C$49,C1109)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SUMIFS(RAB!$F$15:$F$49,RAB!$C$15:$C$49,C1110)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SUMIFS(RAB!$F$15:$F$49,RAB!$C$15:$C$49,C1111)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SUMIFS(RAB!$F$15:$F$49,RAB!$C$15:$C$49,C1112)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SUMIFS(RAB!$F$15:$F$49,RAB!$C$15:$C$49,C1113)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SUMIFS(RAB!$F$15:$F$49,RAB!$C$15:$C$49,C1114)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SUMIFS(RAB!$F$15:$F$49,RAB!$C$15:$C$49,C1115)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SUMIFS(RAB!$F$15:$F$49,RAB!$C$15:$C$49,C1116)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SUMIFS(RAB!$F$15:$F$49,RAB!$C$15:$C$49,C1117)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SUMIFS(RAB!$F$15:$F$49,RAB!$C$15:$C$49,C1118)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SUMIFS(RAB!$F$15:$F$49,RAB!$C$15:$C$49,C1119)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SUMIFS(RAB!$F$15:$F$49,RAB!$C$15:$C$49,C1120)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SUMIFS(RAB!$F$15:$F$49,RAB!$C$15:$C$49,C1121)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SUMIFS(RAB!$F$15:$F$49,RAB!$C$15:$C$49,C1122)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SUMIFS(RAB!$F$15:$F$49,RAB!$C$15:$C$49,C1123)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SUMIFS(RAB!$F$15:$F$49,RAB!$C$15:$C$49,C1124)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SUMIFS(RAB!$F$15:$F$49,RAB!$C$15:$C$49,C1125)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SUMIFS(RAB!$F$15:$F$49,RAB!$C$15:$C$49,C1126)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SUMIFS(RAB!$F$15:$F$49,RAB!$C$15:$C$49,C1127)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SUMIFS(RAB!$F$15:$F$49,RAB!$C$15:$C$49,C1128)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SUMIFS(RAB!$F$15:$F$49,RAB!$C$15:$C$49,C1129)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SUMIFS(RAB!$F$15:$F$49,RAB!$C$15:$C$49,C1130)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SUMIFS(RAB!$F$15:$F$49,RAB!$C$15:$C$49,C1131)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SUMIFS(RAB!$F$15:$F$49,RAB!$C$15:$C$49,C1132)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SUMIFS(RAB!$F$15:$F$49,RAB!$C$15:$C$49,C1133)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SUMIFS(RAB!$F$15:$F$49,RAB!$C$15:$C$49,C1134)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SUMIFS(RAB!$F$15:$F$49,RAB!$C$15:$C$49,C1135)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SUMIFS(RAB!$F$15:$F$49,RAB!$C$15:$C$49,C1136)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SUMIFS(RAB!$F$15:$F$49,RAB!$C$15:$C$49,C1137)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SUMIFS(RAB!$F$15:$F$49,RAB!$C$15:$C$49,C1138)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SUMIFS(RAB!$F$15:$F$49,RAB!$C$15:$C$49,C1139)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SUMIFS(RAB!$F$15:$F$49,RAB!$C$15:$C$49,C1140)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SUMIFS(RAB!$F$15:$F$49,RAB!$C$15:$C$49,C1141)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SUMIFS(RAB!$F$15:$F$49,RAB!$C$15:$C$49,C1142)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SUMIFS(RAB!$F$15:$F$49,RAB!$C$15:$C$49,C1143)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SUMIFS(RAB!$F$15:$F$49,RAB!$C$15:$C$49,C1144)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SUMIFS(RAB!$F$15:$F$49,RAB!$C$15:$C$49,C1145)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SUMIFS(RAB!$F$15:$F$49,RAB!$C$15:$C$49,C1146)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SUMIFS(RAB!$F$15:$F$49,RAB!$C$15:$C$49,C1147)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SUMIFS(RAB!$F$15:$F$49,RAB!$C$15:$C$49,C1148)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SUMIFS(RAB!$F$15:$F$49,RAB!$C$15:$C$49,C1149)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SUMIFS(RAB!$F$15:$F$49,RAB!$C$15:$C$49,C1150)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SUMIFS(RAB!$F$15:$F$49,RAB!$C$15:$C$49,C1151)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SUMIFS(RAB!$F$15:$F$49,RAB!$C$15:$C$49,C1152)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SUMIFS(RAB!$F$15:$F$49,RAB!$C$15:$C$49,C1153)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SUMIFS(RAB!$F$15:$F$49,RAB!$C$15:$C$49,C1154)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SUMIFS(RAB!$F$15:$F$49,RAB!$C$15:$C$49,C1155)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SUMIFS(RAB!$F$15:$F$49,RAB!$C$15:$C$49,C1156)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SUMIFS(RAB!$F$15:$F$49,RAB!$C$15:$C$49,C1157)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SUMIFS(RAB!$F$15:$F$49,RAB!$C$15:$C$49,C1158)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SUMIFS(RAB!$F$15:$F$49,RAB!$C$15:$C$49,C1159)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SUMIFS(RAB!$F$15:$F$49,RAB!$C$15:$C$49,C1160)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SUMIFS(RAB!$F$15:$F$49,RAB!$C$15:$C$49,C1161)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SUMIFS(RAB!$F$15:$F$49,RAB!$C$15:$C$49,C1162)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SUMIFS(RAB!$F$15:$F$49,RAB!$C$15:$C$49,C1163)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SUMIFS(RAB!$F$15:$F$49,RAB!$C$15:$C$49,C1164)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SUMIFS(RAB!$F$15:$F$49,RAB!$C$15:$C$49,C1165)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SUMIFS(RAB!$F$15:$F$49,RAB!$C$15:$C$49,C1166)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SUMIFS(RAB!$F$15:$F$49,RAB!$C$15:$C$49,C1167)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SUMIFS(RAB!$F$15:$F$49,RAB!$C$15:$C$49,C1168)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SUMIFS(RAB!$F$15:$F$49,RAB!$C$15:$C$49,C1169)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SUMIFS(RAB!$F$15:$F$49,RAB!$C$15:$C$49,C1170)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SUMIFS(RAB!$F$15:$F$49,RAB!$C$15:$C$49,C1171)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SUMIFS(RAB!$F$15:$F$49,RAB!$C$15:$C$49,C1172)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SUMIFS(RAB!$F$15:$F$49,RAB!$C$15:$C$49,C1173)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SUMIFS(RAB!$F$15:$F$49,RAB!$C$15:$C$49,C1174)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SUMIFS(RAB!$F$15:$F$49,RAB!$C$15:$C$49,C1175)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SUMIFS(RAB!$F$15:$F$49,RAB!$C$15:$C$49,C1176)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SUMIFS(RAB!$F$15:$F$49,RAB!$C$15:$C$49,C1177)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SUMIFS(RAB!$F$15:$F$49,RAB!$C$15:$C$49,C1178)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SUMIFS(RAB!$F$15:$F$49,RAB!$C$15:$C$49,C1179)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SUMIFS(RAB!$F$15:$F$49,RAB!$C$15:$C$49,C1180)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SUMIFS(RAB!$F$15:$F$49,RAB!$C$15:$C$49,C1181)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SUMIFS(RAB!$F$15:$F$49,RAB!$C$15:$C$49,C1182)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SUMIFS(RAB!$F$15:$F$49,RAB!$C$15:$C$49,C1183)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SUMIFS(RAB!$F$15:$F$49,RAB!$C$15:$C$49,C1184)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SUMIFS(RAB!$F$15:$F$49,RAB!$C$15:$C$49,C1185)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SUMIFS(RAB!$F$15:$F$49,RAB!$C$15:$C$49,C1186)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SUMIFS(RAB!$F$15:$F$49,RAB!$C$15:$C$49,C1187)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SUMIFS(RAB!$F$15:$F$49,RAB!$C$15:$C$49,C1188)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SUMIFS(RAB!$F$15:$F$49,RAB!$C$15:$C$49,C1189)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SUMIFS(RAB!$F$15:$F$49,RAB!$C$15:$C$49,C1190)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SUMIFS(RAB!$F$15:$F$49,RAB!$C$15:$C$49,C1191)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SUMIFS(RAB!$F$15:$F$49,RAB!$C$15:$C$49,C1192)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SUMIFS(RAB!$F$15:$F$49,RAB!$C$15:$C$49,C1193)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SUMIFS(RAB!$F$15:$F$49,RAB!$C$15:$C$49,C1194)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SUMIFS(RAB!$F$15:$F$49,RAB!$C$15:$C$49,C1195)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SUMIFS(RAB!$F$15:$F$49,RAB!$C$15:$C$49,C1196)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SUMIFS(RAB!$F$15:$F$49,RAB!$C$15:$C$49,C1197)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SUMIFS(RAB!$F$15:$F$49,RAB!$C$15:$C$49,C1198)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SUMIFS(RAB!$F$15:$F$49,RAB!$C$15:$C$49,C1199)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SUMIFS(RAB!$F$15:$F$49,RAB!$C$15:$C$49,C1200)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SUMIFS(RAB!$F$15:$F$49,RAB!$C$15:$C$49,C1201)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SUMIFS(RAB!$F$15:$F$49,RAB!$C$15:$C$49,C1202)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SUMIFS(RAB!$F$15:$F$49,RAB!$C$15:$C$49,C1203)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SUMIFS(RAB!$F$15:$F$49,RAB!$C$15:$C$49,C1204)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SUMIFS(RAB!$F$15:$F$49,RAB!$C$15:$C$49,C1205)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SUMIFS(RAB!$F$15:$F$49,RAB!$C$15:$C$49,C1206)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SUMIFS(RAB!$F$15:$F$49,RAB!$C$15:$C$49,C1207)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SUMIFS(RAB!$F$15:$F$49,RAB!$C$15:$C$49,C1208)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SUMIFS(RAB!$F$15:$F$49,RAB!$C$15:$C$49,C1209)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SUMIFS(RAB!$F$15:$F$49,RAB!$C$15:$C$49,C1210)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SUMIFS(RAB!$F$15:$F$49,RAB!$C$15:$C$49,C1211)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SUMIFS(RAB!$F$15:$F$49,RAB!$C$15:$C$49,C1212)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SUMIFS(RAB!$F$15:$F$49,RAB!$C$15:$C$49,C1213)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SUMIFS(RAB!$F$15:$F$49,RAB!$C$15:$C$49,C1214)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SUMIFS(RAB!$F$15:$F$49,RAB!$C$15:$C$49,C1215)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SUMIFS(RAB!$F$15:$F$49,RAB!$C$15:$C$49,C1216)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SUMIFS(RAB!$F$15:$F$49,RAB!$C$15:$C$49,C1217)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SUMIFS(RAB!$F$15:$F$49,RAB!$C$15:$C$49,C1218)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SUMIFS(RAB!$F$15:$F$49,RAB!$C$15:$C$49,C1219)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SUMIFS(RAB!$F$15:$F$49,RAB!$C$15:$C$49,C1220)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SUMIFS(RAB!$F$15:$F$49,RAB!$C$15:$C$49,C1221)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SUMIFS(RAB!$F$15:$F$49,RAB!$C$15:$C$49,C1222)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SUMIFS(RAB!$F$15:$F$49,RAB!$C$15:$C$49,C1223)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SUMIFS(RAB!$F$15:$F$49,RAB!$C$15:$C$49,C1224)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SUMIFS(RAB!$F$15:$F$49,RAB!$C$15:$C$49,C1225)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SUMIFS(RAB!$F$15:$F$49,RAB!$C$15:$C$49,C1226)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SUMIFS(RAB!$F$15:$F$49,RAB!$C$15:$C$49,C1227)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SUMIFS(RAB!$F$15:$F$49,RAB!$C$15:$C$49,C1228)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SUMIFS(RAB!$F$15:$F$49,RAB!$C$15:$C$49,C1229)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SUMIFS(RAB!$F$15:$F$49,RAB!$C$15:$C$49,C1230)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SUMIFS(RAB!$F$15:$F$49,RAB!$C$15:$C$49,C1231)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SUMIFS(RAB!$F$15:$F$49,RAB!$C$15:$C$49,C1232)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SUMIFS(RAB!$F$15:$F$49,RAB!$C$15:$C$49,C1233)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SUMIFS(RAB!$F$15:$F$49,RAB!$C$15:$C$49,C1234)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SUMIFS(RAB!$F$15:$F$49,RAB!$C$15:$C$49,C1235)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SUMIFS(RAB!$F$15:$F$49,RAB!$C$15:$C$49,C1236)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SUMIFS(RAB!$F$15:$F$49,RAB!$C$15:$C$49,C1237)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SUMIFS(RAB!$F$15:$F$49,RAB!$C$15:$C$49,C1238)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SUMIFS(RAB!$F$15:$F$49,RAB!$C$15:$C$49,C1239)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SUMIFS(RAB!$F$15:$F$49,RAB!$C$15:$C$49,C1240)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SUMIFS(RAB!$F$15:$F$49,RAB!$C$15:$C$49,C1241)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SUMIFS(RAB!$F$15:$F$49,RAB!$C$15:$C$49,C1242)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SUMIFS(RAB!$F$15:$F$49,RAB!$C$15:$C$49,C1243)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SUMIFS(RAB!$F$15:$F$49,RAB!$C$15:$C$49,C1244)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SUMIFS(RAB!$F$15:$F$49,RAB!$C$15:$C$49,C1245)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SUMIFS(RAB!$F$15:$F$49,RAB!$C$15:$C$49,C1246)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SUMIFS(RAB!$F$15:$F$49,RAB!$C$15:$C$49,C1247)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SUMIFS(RAB!$F$15:$F$49,RAB!$C$15:$C$49,C1248)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SUMIFS(RAB!$F$15:$F$49,RAB!$C$15:$C$49,C1249)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SUMIFS(RAB!$F$15:$F$49,RAB!$C$15:$C$49,C1250)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SUMIFS(RAB!$F$15:$F$49,RAB!$C$15:$C$49,C1251)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SUMIFS(RAB!$F$15:$F$49,RAB!$C$15:$C$49,C1252)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SUMIFS(RAB!$F$15:$F$49,RAB!$C$15:$C$49,C1253)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SUMIFS(RAB!$F$15:$F$49,RAB!$C$15:$C$49,C1254)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SUMIFS(RAB!$F$15:$F$49,RAB!$C$15:$C$49,C1255)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SUMIFS(RAB!$F$15:$F$49,RAB!$C$15:$C$49,C1256)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SUMIFS(RAB!$F$15:$F$49,RAB!$C$15:$C$49,C1257)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SUMIFS(RAB!$F$15:$F$49,RAB!$C$15:$C$49,C1258)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SUMIFS(RAB!$F$15:$F$49,RAB!$C$15:$C$49,C1259)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SUMIFS(RAB!$F$15:$F$49,RAB!$C$15:$C$49,C1260)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SUMIFS(RAB!$F$15:$F$49,RAB!$C$15:$C$49,C1261)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SUMIFS(RAB!$F$15:$F$49,RAB!$C$15:$C$49,C1262)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SUMIFS(RAB!$F$15:$F$49,RAB!$C$15:$C$49,C1263)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SUMIFS(RAB!$F$15:$F$49,RAB!$C$15:$C$49,C1264)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SUMIFS(RAB!$F$15:$F$49,RAB!$C$15:$C$49,C1265)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SUMIFS(RAB!$F$15:$F$49,RAB!$C$15:$C$49,C1266)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SUMIFS(RAB!$F$15:$F$49,RAB!$C$15:$C$49,C1267)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SUMIFS(RAB!$F$15:$F$49,RAB!$C$15:$C$49,C1268)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SUMIFS(RAB!$F$15:$F$49,RAB!$C$15:$C$49,C1269)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SUMIFS(RAB!$F$15:$F$49,RAB!$C$15:$C$49,C1270)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SUMIFS(RAB!$F$15:$F$49,RAB!$C$15:$C$49,C1271)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SUMIFS(RAB!$F$15:$F$49,RAB!$C$15:$C$49,C1272)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SUMIFS(RAB!$F$15:$F$49,RAB!$C$15:$C$49,C1273)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SUMIFS(RAB!$F$15:$F$49,RAB!$C$15:$C$49,C1274)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SUMIFS(RAB!$F$15:$F$49,RAB!$C$15:$C$49,C1275)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SUMIFS(RAB!$F$15:$F$49,RAB!$C$15:$C$49,C1276)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SUMIFS(RAB!$F$15:$F$49,RAB!$C$15:$C$49,C1277)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SUMIFS(RAB!$F$15:$F$49,RAB!$C$15:$C$49,C1278)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SUMIFS(RAB!$F$15:$F$49,RAB!$C$15:$C$49,C1279)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SUMIFS(RAB!$F$15:$F$49,RAB!$C$15:$C$49,C1280)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SUMIFS(RAB!$F$15:$F$49,RAB!$C$15:$C$49,C1281)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SUMIFS(RAB!$F$15:$F$49,RAB!$C$15:$C$49,C1282)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SUMIFS(RAB!$F$15:$F$49,RAB!$C$15:$C$49,C1283)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SUMIFS(RAB!$F$15:$F$49,RAB!$C$15:$C$49,C1284)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SUMIFS(RAB!$F$15:$F$49,RAB!$C$15:$C$49,C1285)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SUMIFS(RAB!$F$15:$F$49,RAB!$C$15:$C$49,C1286)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SUMIFS(RAB!$F$15:$F$49,RAB!$C$15:$C$49,C1287)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SUMIFS(RAB!$F$15:$F$49,RAB!$C$15:$C$49,C1288)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SUMIFS(RAB!$F$15:$F$49,RAB!$C$15:$C$49,C1289)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SUMIFS(RAB!$F$15:$F$49,RAB!$C$15:$C$49,C1290)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SUMIFS(RAB!$F$15:$F$49,RAB!$C$15:$C$49,C1291)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SUMIFS(RAB!$F$15:$F$49,RAB!$C$15:$C$49,C1292)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SUMIFS(RAB!$F$15:$F$49,RAB!$C$15:$C$49,C1293)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SUMIFS(RAB!$F$15:$F$49,RAB!$C$15:$C$49,C1294)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SUMIFS(RAB!$F$15:$F$49,RAB!$C$15:$C$49,C1295)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SUMIFS(RAB!$F$15:$F$49,RAB!$C$15:$C$49,C1296)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SUMIFS(RAB!$F$15:$F$49,RAB!$C$15:$C$49,C1297)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SUMIFS(RAB!$F$15:$F$49,RAB!$C$15:$C$49,C1298)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SUMIFS(RAB!$F$15:$F$49,RAB!$C$15:$C$49,C1299)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SUMIFS(RAB!$F$15:$F$49,RAB!$C$15:$C$49,C1300)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SUMIFS(RAB!$F$15:$F$49,RAB!$C$15:$C$49,C1301)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SUMIFS(RAB!$F$15:$F$49,RAB!$C$15:$C$49,C1302)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SUMIFS(RAB!$F$15:$F$49,RAB!$C$15:$C$49,C1303)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SUMIFS(RAB!$F$15:$F$49,RAB!$C$15:$C$49,C1304)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SUMIFS(RAB!$F$15:$F$49,RAB!$C$15:$C$49,C1305)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SUMIFS(RAB!$F$15:$F$49,RAB!$C$15:$C$49,C1306)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SUMIFS(RAB!$F$15:$F$49,RAB!$C$15:$C$49,C1307)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SUMIFS(RAB!$F$15:$F$49,RAB!$C$15:$C$49,C1308)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SUMIFS(RAB!$F$15:$F$49,RAB!$C$15:$C$49,C1309)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SUMIFS(RAB!$F$15:$F$49,RAB!$C$15:$C$49,C1310)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SUMIFS(RAB!$F$15:$F$49,RAB!$C$15:$C$49,C1311)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SUMIFS(RAB!$F$15:$F$49,RAB!$C$15:$C$49,C1312)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SUMIFS(RAB!$F$15:$F$49,RAB!$C$15:$C$49,C1313)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SUMIFS(RAB!$F$15:$F$49,RAB!$C$15:$C$49,C1314)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SUMIFS(RAB!$F$15:$F$49,RAB!$C$15:$C$49,C1315)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SUMIFS(RAB!$F$15:$F$49,RAB!$C$15:$C$49,C1316)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SUMIFS(RAB!$F$15:$F$49,RAB!$C$15:$C$49,C1317)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SUMIFS(RAB!$F$15:$F$49,RAB!$C$15:$C$49,C1318)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SUMIFS(RAB!$F$15:$F$49,RAB!$C$15:$C$49,C1319)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SUMIFS(RAB!$F$15:$F$49,RAB!$C$15:$C$49,C1320)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99" t="s">
        <v>1126</v>
      </c>
      <c r="C4" s="499"/>
      <c r="D4" s="499"/>
      <c r="E4" s="499"/>
      <c r="F4" s="499"/>
      <c r="G4" s="499"/>
      <c r="H4" s="499"/>
      <c r="I4" s="499"/>
      <c r="J4" s="499"/>
      <c r="K4" s="49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3" t="str">
        <f>RAB!G6</f>
        <v>EDHI WIDARTO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DMK KUDUS DS BOLO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00" t="s">
        <v>0</v>
      </c>
      <c r="C11" s="502" t="s">
        <v>1</v>
      </c>
      <c r="D11" s="505" t="s">
        <v>42</v>
      </c>
      <c r="E11" s="505" t="s">
        <v>43</v>
      </c>
      <c r="F11" s="505" t="s">
        <v>2</v>
      </c>
      <c r="G11" s="507" t="s">
        <v>41</v>
      </c>
      <c r="H11" s="505" t="s">
        <v>3</v>
      </c>
      <c r="I11" s="505"/>
      <c r="J11" s="505"/>
      <c r="K11" s="510"/>
      <c r="M11" s="33"/>
      <c r="N11" s="33"/>
      <c r="O11" s="33"/>
      <c r="P11" s="33"/>
      <c r="R11" s="34"/>
      <c r="S11" s="74"/>
      <c r="T11" s="74"/>
    </row>
    <row r="12" spans="1:21" ht="15" customHeight="1">
      <c r="B12" s="501"/>
      <c r="C12" s="503"/>
      <c r="D12" s="506"/>
      <c r="E12" s="506"/>
      <c r="F12" s="506"/>
      <c r="G12" s="508"/>
      <c r="H12" s="514" t="s">
        <v>46</v>
      </c>
      <c r="I12" s="514" t="s">
        <v>5</v>
      </c>
      <c r="J12" s="506" t="s">
        <v>47</v>
      </c>
      <c r="K12" s="51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1"/>
      <c r="C13" s="504"/>
      <c r="D13" s="506"/>
      <c r="E13" s="506"/>
      <c r="F13" s="506"/>
      <c r="G13" s="509"/>
      <c r="H13" s="515"/>
      <c r="I13" s="515"/>
      <c r="J13" s="506"/>
      <c r="K13" s="51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4" t="s">
        <v>1007</v>
      </c>
      <c r="D38" s="524"/>
      <c r="E38" s="524"/>
      <c r="F38" s="52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5" t="s">
        <v>462</v>
      </c>
      <c r="D39" s="525"/>
      <c r="E39" s="525"/>
      <c r="F39" s="52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6" t="s">
        <v>463</v>
      </c>
      <c r="D40" s="516"/>
      <c r="E40" s="516"/>
      <c r="F40" s="51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7" t="e">
        <f ca="1">"Terbilang : ( "&amp;L42&amp;" Rupiah )"</f>
        <v>#NAME?</v>
      </c>
      <c r="C41" s="518"/>
      <c r="D41" s="518"/>
      <c r="E41" s="518"/>
      <c r="F41" s="518"/>
      <c r="G41" s="518"/>
      <c r="H41" s="518"/>
      <c r="I41" s="518"/>
      <c r="J41" s="518"/>
      <c r="K41" s="519"/>
      <c r="L41" s="44"/>
      <c r="R41" s="58"/>
      <c r="S41" s="58"/>
      <c r="T41" s="58"/>
    </row>
    <row r="42" spans="1:20" s="36" customFormat="1">
      <c r="A42" s="30"/>
      <c r="B42" s="520"/>
      <c r="C42" s="521"/>
      <c r="D42" s="521"/>
      <c r="E42" s="521"/>
      <c r="F42" s="521"/>
      <c r="G42" s="521"/>
      <c r="H42" s="521"/>
      <c r="I42" s="521"/>
      <c r="J42" s="521"/>
      <c r="K42" s="522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1"/>
      <c r="I45" s="511"/>
      <c r="J45" s="512"/>
      <c r="K45" s="51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1"/>
      <c r="I46" s="511"/>
      <c r="J46" s="512"/>
      <c r="K46" s="51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1"/>
      <c r="I47" s="511"/>
      <c r="J47" s="512"/>
      <c r="K47" s="51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1"/>
      <c r="I52" s="511"/>
      <c r="J52" s="512"/>
      <c r="K52" s="51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SUMIFS(RAB!$F$15:$F$49,RAB!$C$15:$C$49,'REKAP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SUMIFS(RAB!$F$15:$F$49,RAB!$C$15:$C$49,'REKAP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SUMIFS(RAB!$F$15:$F$49,RAB!$C$15:$C$49,'REKAP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SUMIFS(RAB!$F$15:$F$49,RAB!$C$15:$C$49,'REKAP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SUMIFS(RAB!$F$15:$F$49,RAB!$C$15:$C$49,'REKAP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SUMIFS(RAB!$F$15:$F$49,RAB!$C$15:$C$49,'REKAP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SUMIFS(RAB!$F$15:$F$49,RAB!$C$15:$C$49,'REKAP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SUMIFS(RAB!$F$15:$F$49,RAB!$C$15:$C$49,'REKAP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SUMIFS(RAB!$F$15:$F$49,RAB!$C$15:$C$49,'REKAP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SUMIFS(RAB!$F$15:$F$49,RAB!$C$15:$C$49,'REKAP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SUMIFS(RAB!$F$15:$F$49,RAB!$C$15:$C$49,'REKAP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SUMIFS(RAB!$F$15:$F$49,RAB!$C$15:$C$49,'REKAP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SUMIFS(RAB!$F$15:$F$49,RAB!$C$15:$C$49,'REKAP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SUMIFS(RAB!$F$15:$F$49,RAB!$C$15:$C$49,'REKAP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SUMIFS(RAB!$F$15:$F$49,RAB!$C$15:$C$49,'REKAP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SUMIFS(RAB!$F$15:$F$49,RAB!$C$15:$C$49,'REKAP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SUMIFS(RAB!$F$15:$F$49,RAB!$C$15:$C$49,'REKAP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SUMIFS(RAB!$F$15:$F$49,RAB!$C$15:$C$49,'REKAP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SUMIFS(RAB!$F$15:$F$49,RAB!$C$15:$C$49,'REKAP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SUMIFS(RAB!$F$15:$F$49,RAB!$C$15:$C$49,'REKAP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99" t="s">
        <v>1033</v>
      </c>
      <c r="C4" s="499"/>
      <c r="D4" s="499"/>
      <c r="E4" s="499"/>
      <c r="F4" s="499"/>
      <c r="G4" s="499"/>
      <c r="H4" s="499"/>
      <c r="I4" s="499"/>
      <c r="J4" s="499"/>
      <c r="K4" s="49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3" t="str">
        <f>RAB!G6</f>
        <v>EDHI WIDARTO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JL DMK KUDUS DS BOLO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00" t="s">
        <v>0</v>
      </c>
      <c r="C11" s="502" t="s">
        <v>1</v>
      </c>
      <c r="D11" s="505" t="s">
        <v>42</v>
      </c>
      <c r="E11" s="505" t="s">
        <v>43</v>
      </c>
      <c r="F11" s="505" t="s">
        <v>2</v>
      </c>
      <c r="G11" s="507" t="s">
        <v>41</v>
      </c>
      <c r="H11" s="505" t="s">
        <v>3</v>
      </c>
      <c r="I11" s="505"/>
      <c r="J11" s="505"/>
      <c r="K11" s="510"/>
      <c r="M11" s="33"/>
      <c r="N11" s="33"/>
      <c r="O11" s="33"/>
      <c r="P11" s="33"/>
      <c r="R11" s="34"/>
      <c r="S11" s="74"/>
      <c r="T11" s="74"/>
    </row>
    <row r="12" spans="1:21" ht="15" customHeight="1">
      <c r="B12" s="501"/>
      <c r="C12" s="503"/>
      <c r="D12" s="506"/>
      <c r="E12" s="506"/>
      <c r="F12" s="506"/>
      <c r="G12" s="508"/>
      <c r="H12" s="514" t="s">
        <v>46</v>
      </c>
      <c r="I12" s="514" t="s">
        <v>5</v>
      </c>
      <c r="J12" s="506" t="s">
        <v>47</v>
      </c>
      <c r="K12" s="51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1"/>
      <c r="C13" s="504"/>
      <c r="D13" s="506"/>
      <c r="E13" s="506"/>
      <c r="F13" s="506"/>
      <c r="G13" s="509"/>
      <c r="H13" s="515"/>
      <c r="I13" s="515"/>
      <c r="J13" s="506"/>
      <c r="K13" s="51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Kabel NYY 1 x 150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44</v>
      </c>
      <c r="G19" s="41">
        <f ca="1">IF(ISERROR(OFFSET('HARGA SATUAN'!$I$6,MATCH(C19,'HARGA SATUAN'!$C$7:$C$1492,0),0)),"",OFFSET('HARGA SATUAN'!$I$6,MATCH(C19,'HARGA SATUAN'!$C$7:$C$1492,0),0))</f>
        <v>218600</v>
      </c>
      <c r="H19" s="42">
        <f t="shared" ca="1" si="1"/>
        <v>9618400</v>
      </c>
      <c r="I19" s="42">
        <f t="shared" ca="1" si="2"/>
        <v>0</v>
      </c>
      <c r="J19" s="42">
        <f t="shared" ca="1" si="3"/>
        <v>0</v>
      </c>
      <c r="K19" s="43">
        <f t="shared" ca="1" si="0"/>
        <v>9618400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4" t="s">
        <v>1007</v>
      </c>
      <c r="D168" s="524"/>
      <c r="E168" s="524"/>
      <c r="F168" s="524"/>
      <c r="G168" s="77" t="s">
        <v>9</v>
      </c>
      <c r="H168" s="55">
        <f ca="1">SUM(H14:H167)</f>
        <v>89907300</v>
      </c>
      <c r="I168" s="55">
        <f ca="1">SUM(I14:I167)</f>
        <v>0</v>
      </c>
      <c r="J168" s="55">
        <f ca="1">SUM(J14:J167)</f>
        <v>0</v>
      </c>
      <c r="K168" s="55">
        <f ca="1">SUM(K14:K167)</f>
        <v>89907300</v>
      </c>
      <c r="L168" s="44"/>
      <c r="R168" s="99"/>
      <c r="S168" s="99"/>
      <c r="T168" s="99"/>
    </row>
    <row r="169" spans="1:20" s="36" customFormat="1">
      <c r="A169" s="30"/>
      <c r="B169" s="56"/>
      <c r="C169" s="525" t="s">
        <v>462</v>
      </c>
      <c r="D169" s="525"/>
      <c r="E169" s="525"/>
      <c r="F169" s="525"/>
      <c r="G169" s="59" t="s">
        <v>9</v>
      </c>
      <c r="H169" s="60">
        <f ca="1">H168*0.1</f>
        <v>8990730</v>
      </c>
      <c r="I169" s="60">
        <f ca="1">I168*0.1</f>
        <v>0</v>
      </c>
      <c r="J169" s="60">
        <f ca="1">J168*0.1</f>
        <v>0</v>
      </c>
      <c r="K169" s="60">
        <f ca="1">K168*0.1</f>
        <v>8990730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6" t="s">
        <v>463</v>
      </c>
      <c r="D170" s="516"/>
      <c r="E170" s="516"/>
      <c r="F170" s="516"/>
      <c r="G170" s="61" t="s">
        <v>9</v>
      </c>
      <c r="H170" s="78">
        <f ca="1">SUM(H168:H169)</f>
        <v>98898030</v>
      </c>
      <c r="I170" s="78">
        <f ca="1">SUM(I168:I169)</f>
        <v>0</v>
      </c>
      <c r="J170" s="61">
        <f ca="1">SUM(J168:J169)</f>
        <v>0</v>
      </c>
      <c r="K170" s="61">
        <f ca="1">SUM(K168:K169)</f>
        <v>98898030</v>
      </c>
      <c r="L170" s="44"/>
      <c r="R170" s="99"/>
      <c r="S170" s="99"/>
      <c r="T170" s="99"/>
    </row>
    <row r="171" spans="1:20" s="36" customFormat="1">
      <c r="A171" s="30"/>
      <c r="B171" s="517" t="e">
        <f ca="1">"Terbilang : ( "&amp;L172&amp;" Rupiah )"</f>
        <v>#NAME?</v>
      </c>
      <c r="C171" s="518"/>
      <c r="D171" s="518"/>
      <c r="E171" s="518"/>
      <c r="F171" s="518"/>
      <c r="G171" s="518"/>
      <c r="H171" s="518"/>
      <c r="I171" s="518"/>
      <c r="J171" s="518"/>
      <c r="K171" s="519"/>
      <c r="L171" s="44"/>
      <c r="R171" s="58"/>
      <c r="S171" s="58"/>
      <c r="T171" s="58"/>
    </row>
    <row r="172" spans="1:20" s="36" customFormat="1">
      <c r="A172" s="30"/>
      <c r="B172" s="520"/>
      <c r="C172" s="521"/>
      <c r="D172" s="521"/>
      <c r="E172" s="521"/>
      <c r="F172" s="521"/>
      <c r="G172" s="521"/>
      <c r="H172" s="521"/>
      <c r="I172" s="521"/>
      <c r="J172" s="521"/>
      <c r="K172" s="522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1"/>
      <c r="I175" s="511"/>
      <c r="J175" s="512"/>
      <c r="K175" s="51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1"/>
      <c r="I176" s="511"/>
      <c r="J176" s="512"/>
      <c r="K176" s="51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1"/>
      <c r="I177" s="511"/>
      <c r="J177" s="512"/>
      <c r="K177" s="51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1"/>
      <c r="I182" s="511"/>
      <c r="J182" s="512"/>
      <c r="K182" s="51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SUMIFS(RAB!$F$15:$F$49,RAB!$C$15:$C$49,C224)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SUMIFS(RAB!$F$15:$F$49,RAB!$C$15:$C$49,C225)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SUMIFS(RAB!$F$15:$F$49,RAB!$C$15:$C$49,C226)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SUMIFS(RAB!$F$15:$F$49,RAB!$C$15:$C$49,C227)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SUMIFS(RAB!$F$15:$F$49,RAB!$C$15:$C$49,C228)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SUMIFS(RAB!$F$15:$F$49,RAB!$C$15:$C$49,C229)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SUMIFS(RAB!$F$15:$F$49,RAB!$C$15:$C$49,C230)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SUMIFS(RAB!$F$15:$F$49,RAB!$C$15:$C$49,C231)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SUMIFS(RAB!$F$15:$F$49,RAB!$C$15:$C$49,C232)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SUMIFS(RAB!$F$15:$F$49,RAB!$C$15:$C$49,C233)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SUMIFS(RAB!$F$15:$F$49,RAB!$C$15:$C$49,C234)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SUMIFS(RAB!$F$15:$F$49,RAB!$C$15:$C$49,C235)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SUMIFS(RAB!$F$15:$F$49,RAB!$C$15:$C$49,C236)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SUMIFS(RAB!$F$15:$F$49,RAB!$C$15:$C$49,C237)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SUMIFS(RAB!$F$15:$F$49,RAB!$C$15:$C$49,C238)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SUMIFS(RAB!$F$15:$F$49,RAB!$C$15:$C$49,C239)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SUMIFS(RAB!$F$15:$F$49,RAB!$C$15:$C$49,C240)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SUMIFS(RAB!$F$15:$F$49,RAB!$C$15:$C$49,C241)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SUMIFS(RAB!$F$15:$F$49,RAB!$C$15:$C$49,C242)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SUMIFS(RAB!$F$15:$F$49,RAB!$C$15:$C$49,C243)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SUMIFS(RAB!$F$15:$F$49,RAB!$C$15:$C$49,C244)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SUMIFS(RAB!$F$15:$F$49,RAB!$C$15:$C$49,C245)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SUMIFS(RAB!$F$15:$F$49,RAB!$C$15:$C$49,C246)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SUMIFS(RAB!$F$15:$F$49,RAB!$C$15:$C$49,C247)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SUMIFS(RAB!$F$15:$F$49,RAB!$C$15:$C$49,C248)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SUMIFS(RAB!$F$15:$F$49,RAB!$C$15:$C$49,C249)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SUMIFS(RAB!$F$15:$F$49,RAB!$C$15:$C$49,C250)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SUMIFS(RAB!$F$15:$F$49,RAB!$C$15:$C$49,C251)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SUMIFS(RAB!$F$15:$F$49,RAB!$C$15:$C$49,C252)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SUMIFS(RAB!$F$15:$F$49,RAB!$C$15:$C$49,C253)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SUMIFS(RAB!$F$15:$F$49,RAB!$C$15:$C$49,C254)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SUMIFS(RAB!$F$15:$F$49,RAB!$C$15:$C$49,C255)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SUMIFS(RAB!$F$15:$F$49,RAB!$C$15:$C$49,C256)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SUMIFS(RAB!$F$15:$F$49,RAB!$C$15:$C$49,C257)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SUMIFS(RAB!$F$15:$F$49,RAB!$C$15:$C$49,C258)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SUMIFS(RAB!$F$15:$F$49,RAB!$C$15:$C$49,C259)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SUMIFS(RAB!$F$15:$F$49,RAB!$C$15:$C$49,C260)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SUMIFS(RAB!$F$15:$F$49,RAB!$C$15:$C$49,C261)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SUMIFS(RAB!$F$15:$F$49,RAB!$C$15:$C$49,C262)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SUMIFS(RAB!$F$15:$F$49,RAB!$C$15:$C$49,C263)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SUMIFS(RAB!$F$15:$F$49,RAB!$C$15:$C$49,C264)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SUMIFS(RAB!$F$15:$F$49,RAB!$C$15:$C$49,C265)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SUMIFS(RAB!$F$15:$F$49,RAB!$C$15:$C$49,C266)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SUMIFS(RAB!$F$15:$F$49,RAB!$C$15:$C$49,C267)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SUMIFS(RAB!$F$15:$F$49,RAB!$C$15:$C$49,C268)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SUMIFS(RAB!$F$15:$F$49,RAB!$C$15:$C$49,C269)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SUMIFS(RAB!$F$15:$F$49,RAB!$C$15:$C$49,C270)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SUMIFS(RAB!$F$15:$F$49,RAB!$C$15:$C$49,C271)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SUMIFS(RAB!$F$15:$F$49,RAB!$C$15:$C$49,C272)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SUMIFS(RAB!$F$15:$F$49,RAB!$C$15:$C$49,C273)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SUMIFS(RAB!$F$15:$F$49,RAB!$C$15:$C$49,C274)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SUMIFS(RAB!$F$15:$F$49,RAB!$C$15:$C$49,C275)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SUMIFS(RAB!$F$15:$F$49,RAB!$C$15:$C$49,C276)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SUMIFS(RAB!$F$15:$F$49,RAB!$C$15:$C$49,C277)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SUMIFS(RAB!$F$15:$F$49,RAB!$C$15:$C$49,C278)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SUMIFS(RAB!$F$15:$F$49,RAB!$C$15:$C$49,C279)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SUMIFS(RAB!$F$15:$F$49,RAB!$C$15:$C$49,C280)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SUMIFS(RAB!$F$15:$F$49,RAB!$C$15:$C$49,C281)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SUMIFS(RAB!$F$15:$F$49,RAB!$C$15:$C$49,C282)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SUMIFS(RAB!$F$15:$F$49,RAB!$C$15:$C$49,C283)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SUMIFS(RAB!$F$15:$F$49,RAB!$C$15:$C$49,C284)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SUMIFS(RAB!$F$15:$F$49,RAB!$C$15:$C$49,C285)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SUMIFS(RAB!$F$15:$F$49,RAB!$C$15:$C$49,C286)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SUMIFS(RAB!$F$15:$F$49,RAB!$C$15:$C$49,C287)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SUMIFS(RAB!$F$15:$F$49,RAB!$C$15:$C$49,C288)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SUMIFS(RAB!$F$15:$F$49,RAB!$C$15:$C$49,C289)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SUMIFS(RAB!$F$15:$F$49,RAB!$C$15:$C$49,C290)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SUMIFS(RAB!$F$15:$F$49,RAB!$C$15:$C$49,C291)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SUMIFS(RAB!$F$15:$F$49,RAB!$C$15:$C$49,C292)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SUMIFS(RAB!$F$15:$F$49,RAB!$C$15:$C$49,C293)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SUMIFS(RAB!$F$15:$F$49,RAB!$C$15:$C$49,C294)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SUMIFS(RAB!$F$15:$F$49,RAB!$C$15:$C$49,C295)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SUMIFS(RAB!$F$15:$F$49,RAB!$C$15:$C$49,C296)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SUMIFS(RAB!$F$15:$F$49,RAB!$C$15:$C$49,C297)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SUMIFS(RAB!$F$15:$F$49,RAB!$C$15:$C$49,C298)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SUMIFS(RAB!$F$15:$F$49,RAB!$C$15:$C$49,C299)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SUMIFS(RAB!$F$15:$F$49,RAB!$C$15:$C$49,C300)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SUMIFS(RAB!$F$15:$F$49,RAB!$C$15:$C$49,C301)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SUMIFS(RAB!$F$15:$F$49,RAB!$C$15:$C$49,C302)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SUMIFS(RAB!$F$15:$F$49,RAB!$C$15:$C$49,C303)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SUMIFS(RAB!$F$15:$F$49,RAB!$C$15:$C$49,C304)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SUMIFS(RAB!$F$15:$F$49,RAB!$C$15:$C$49,C305)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SUMIFS(RAB!$F$15:$F$49,RAB!$C$15:$C$49,C306)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SUMIFS(RAB!$F$15:$F$49,RAB!$C$15:$C$49,C307)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SUMIFS(RAB!$F$15:$F$49,RAB!$C$15:$C$49,C308)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SUMIFS(RAB!$F$15:$F$49,RAB!$C$15:$C$49,C309)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SUMIFS(RAB!$F$15:$F$49,RAB!$C$15:$C$49,C310)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SUMIFS(RAB!$F$15:$F$49,RAB!$C$15:$C$49,C311)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SUMIFS(RAB!$F$15:$F$49,RAB!$C$15:$C$49,C312)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SUMIFS(RAB!$F$15:$F$49,RAB!$C$15:$C$49,C313)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SUMIFS(RAB!$F$15:$F$49,RAB!$C$15:$C$49,C314)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SUMIFS(RAB!$F$15:$F$49,RAB!$C$15:$C$49,C315)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SUMIFS(RAB!$F$15:$F$49,RAB!$C$15:$C$49,C316)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SUMIFS(RAB!$F$15:$F$49,RAB!$C$15:$C$49,C317)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SUMIFS(RAB!$F$15:$F$49,RAB!$C$15:$C$49,C318)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SUMIFS(RAB!$F$15:$F$49,RAB!$C$15:$C$49,C319)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SUMIFS(RAB!$F$15:$F$49,RAB!$C$15:$C$49,C320)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SUMIFS(RAB!$F$15:$F$49,RAB!$C$15:$C$49,C321)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SUMIFS(RAB!$F$15:$F$49,RAB!$C$15:$C$49,C322)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SUMIFS(RAB!$F$15:$F$49,RAB!$C$15:$C$49,C323)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SUMIFS(RAB!$F$15:$F$49,RAB!$C$15:$C$49,C324)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SUMIFS(RAB!$F$15:$F$49,RAB!$C$15:$C$49,C325)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SUMIFS(RAB!$F$15:$F$49,RAB!$C$15:$C$49,C326)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SUMIFS(RAB!$F$15:$F$49,RAB!$C$15:$C$49,C327)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SUMIFS(RAB!$F$15:$F$49,RAB!$C$15:$C$49,C328)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SUMIFS(RAB!$F$15:$F$49,RAB!$C$15:$C$49,C329)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SUMIFS(RAB!$F$15:$F$49,RAB!$C$15:$C$49,C330)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SUMIFS(RAB!$F$15:$F$49,RAB!$C$15:$C$49,C331)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SUMIFS(RAB!$F$15:$F$49,RAB!$C$15:$C$49,C332)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SUMIFS(RAB!$F$15:$F$49,RAB!$C$15:$C$49,C333)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SUMIFS(RAB!$F$15:$F$49,RAB!$C$15:$C$49,C334)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SUMIFS(RAB!$F$15:$F$49,RAB!$C$15:$C$49,C335)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SUMIFS(RAB!$F$15:$F$49,RAB!$C$15:$C$49,C336)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SUMIFS(RAB!$F$15:$F$49,RAB!$C$15:$C$49,C337)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SUMIFS(RAB!$F$15:$F$49,RAB!$C$15:$C$49,C338)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SUMIFS(RAB!$F$15:$F$49,RAB!$C$15:$C$49,C339)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SUMIFS(RAB!$F$15:$F$49,RAB!$C$15:$C$49,C340)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SUMIFS(RAB!$F$15:$F$49,RAB!$C$15:$C$49,C341)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SUMIFS(RAB!$F$15:$F$49,RAB!$C$15:$C$49,C342)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SUMIFS(RAB!$F$15:$F$49,RAB!$C$15:$C$49,C343)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SUMIFS(RAB!$F$15:$F$49,RAB!$C$15:$C$49,C344)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SUMIFS(RAB!$F$15:$F$49,RAB!$C$15:$C$49,C345)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SUMIFS(RAB!$F$15:$F$49,RAB!$C$15:$C$49,C346)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SUMIFS(RAB!$F$15:$F$49,RAB!$C$15:$C$49,C347)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SUMIFS(RAB!$F$15:$F$49,RAB!$C$15:$C$49,C348)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SUMIFS(RAB!$F$15:$F$49,RAB!$C$15:$C$49,C349)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SUMIFS(RAB!$F$15:$F$49,RAB!$C$15:$C$49,C350)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SUMIFS(RAB!$F$15:$F$49,RAB!$C$15:$C$49,C351)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SUMIFS(RAB!$F$15:$F$49,RAB!$C$15:$C$49,C352)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SUMIFS(RAB!$F$15:$F$49,RAB!$C$15:$C$49,C353)</f>
        <v>44</v>
      </c>
      <c r="E353" s="24">
        <f t="shared" ref="E353:E373" ca="1" si="23">IF(D353=0,0,1)</f>
        <v>1</v>
      </c>
      <c r="F353" s="24">
        <f ca="1">IF(D353=0,0,SUM($E$223:E353))</f>
        <v>4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SUMIFS(RAB!$F$15:$F$49,RAB!$C$15:$C$49,C354)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SUMIFS(RAB!$F$15:$F$49,RAB!$C$15:$C$49,C355)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SUMIFS(RAB!$F$15:$F$49,RAB!$C$15:$C$49,C356)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SUMIFS(RAB!$F$15:$F$49,RAB!$C$15:$C$49,C357)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SUMIFS(RAB!$F$15:$F$49,RAB!$C$15:$C$49,C358)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SUMIFS(RAB!$F$15:$F$49,RAB!$C$15:$C$49,C359)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SUMIFS(RAB!$F$15:$F$49,RAB!$C$15:$C$49,C360)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SUMIFS(RAB!$F$15:$F$49,RAB!$C$15:$C$49,C361)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SUMIFS(RAB!$F$15:$F$49,RAB!$C$15:$C$49,C362)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SUMIFS(RAB!$F$15:$F$49,RAB!$C$15:$C$49,C363)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SUMIFS(RAB!$F$15:$F$49,RAB!$C$15:$C$49,C364)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SUMIFS(RAB!$F$15:$F$49,RAB!$C$15:$C$49,C365)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SUMIFS(RAB!$F$15:$F$49,RAB!$C$15:$C$49,C366)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SUMIFS(RAB!$F$15:$F$49,RAB!$C$15:$C$49,C367)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SUMIFS(RAB!$F$15:$F$49,RAB!$C$15:$C$49,C368)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SUMIFS(RAB!$F$15:$F$49,RAB!$C$15:$C$49,C369)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SUMIFS(RAB!$F$15:$F$49,RAB!$C$15:$C$49,C370)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SUMIFS(RAB!$F$15:$F$49,RAB!$C$15:$C$49,C371)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SUMIFS(RAB!$F$15:$F$49,RAB!$C$15:$C$49,C372)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SUMIFS(RAB!$F$15:$F$49,RAB!$C$15:$C$49,C373)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3" activePane="bottomRight" state="frozen"/>
      <selection activeCell="C28" sqref="C28"/>
      <selection pane="topRight" activeCell="C28" sqref="C28"/>
      <selection pane="bottomLeft" activeCell="C28" sqref="C28"/>
      <selection pane="bottomRight" activeCell="C245" sqref="C24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7" t="s">
        <v>41</v>
      </c>
      <c r="C2" s="52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8" t="s">
        <v>23</v>
      </c>
      <c r="C4" s="529" t="s">
        <v>1011</v>
      </c>
      <c r="D4" s="529" t="s">
        <v>42</v>
      </c>
      <c r="E4" s="528" t="s">
        <v>43</v>
      </c>
      <c r="F4" s="108" t="s">
        <v>1604</v>
      </c>
      <c r="G4" s="108" t="s">
        <v>1603</v>
      </c>
      <c r="H4" s="526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8"/>
      <c r="C5" s="529"/>
      <c r="D5" s="529"/>
      <c r="E5" s="528"/>
      <c r="F5" s="93"/>
      <c r="G5" s="93"/>
      <c r="H5" s="526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1" t="s">
        <v>1452</v>
      </c>
      <c r="C2" s="561"/>
      <c r="D2" s="561"/>
      <c r="E2" s="561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66" t="s">
        <v>1530</v>
      </c>
      <c r="C4" s="567"/>
      <c r="D4" s="567"/>
      <c r="E4" s="568"/>
      <c r="F4" s="388"/>
      <c r="G4" s="388"/>
      <c r="H4" s="389"/>
      <c r="I4" s="530" t="s">
        <v>1531</v>
      </c>
      <c r="J4" s="531"/>
      <c r="K4" s="531"/>
      <c r="L4" s="532"/>
    </row>
    <row r="5" spans="1:12" ht="34.5" customHeight="1">
      <c r="A5" s="204"/>
      <c r="B5" s="391" t="s">
        <v>1378</v>
      </c>
      <c r="C5" s="235" t="s">
        <v>9</v>
      </c>
      <c r="D5" s="562" t="str">
        <f>DATA!D14</f>
        <v>EDHI WIDARTO</v>
      </c>
      <c r="E5" s="563"/>
      <c r="F5" s="208"/>
      <c r="G5" s="208"/>
      <c r="I5" s="392" t="s">
        <v>1378</v>
      </c>
      <c r="J5" s="235" t="s">
        <v>9</v>
      </c>
      <c r="K5" s="533" t="str">
        <f>D5</f>
        <v>EDHI WIDARTO</v>
      </c>
      <c r="L5" s="534"/>
    </row>
    <row r="6" spans="1:12" ht="31.5" customHeight="1">
      <c r="A6" s="204"/>
      <c r="B6" s="391" t="s">
        <v>1527</v>
      </c>
      <c r="C6" s="235" t="s">
        <v>9</v>
      </c>
      <c r="D6" s="571">
        <f>DATA!D17*1000</f>
        <v>164000</v>
      </c>
      <c r="E6" s="572"/>
      <c r="F6" s="208"/>
      <c r="G6" s="208"/>
      <c r="I6" s="392" t="s">
        <v>1528</v>
      </c>
      <c r="J6" s="235" t="s">
        <v>9</v>
      </c>
      <c r="K6" s="535">
        <f>DATA!D20*1000</f>
        <v>197000</v>
      </c>
      <c r="L6" s="536"/>
    </row>
    <row r="7" spans="1:12" ht="30.75" customHeight="1">
      <c r="A7" s="204"/>
      <c r="B7" s="391" t="s">
        <v>1439</v>
      </c>
      <c r="C7" s="235" t="s">
        <v>9</v>
      </c>
      <c r="D7" s="569">
        <f>DATA!D18</f>
        <v>3</v>
      </c>
      <c r="E7" s="570"/>
      <c r="F7" s="390" t="s">
        <v>1451</v>
      </c>
      <c r="I7" s="392" t="s">
        <v>1439</v>
      </c>
      <c r="J7" s="235" t="s">
        <v>9</v>
      </c>
      <c r="K7" s="537">
        <f>DATA!D21</f>
        <v>3</v>
      </c>
      <c r="L7" s="538"/>
    </row>
    <row r="8" spans="1:12" ht="51" customHeight="1">
      <c r="A8" s="204"/>
      <c r="B8" s="391" t="s">
        <v>1440</v>
      </c>
      <c r="C8" s="235" t="s">
        <v>9</v>
      </c>
      <c r="D8" s="569">
        <f>DATA!D19</f>
        <v>380</v>
      </c>
      <c r="E8" s="570"/>
      <c r="F8" s="390" t="s">
        <v>1451</v>
      </c>
      <c r="G8" s="385">
        <v>220</v>
      </c>
      <c r="I8" s="392" t="s">
        <v>1440</v>
      </c>
      <c r="J8" s="235" t="s">
        <v>9</v>
      </c>
      <c r="K8" s="537">
        <f>DATA!D22</f>
        <v>380</v>
      </c>
      <c r="L8" s="538"/>
    </row>
    <row r="9" spans="1:12" ht="30" customHeight="1" thickBot="1">
      <c r="A9" s="204"/>
      <c r="B9" s="397" t="s">
        <v>1539</v>
      </c>
      <c r="C9" s="387" t="s">
        <v>9</v>
      </c>
      <c r="D9" s="564">
        <f>IF(D7=1,D6/(380/3^0.5),(D6/(380*3^0.5)))</f>
        <v>249.17222143973325</v>
      </c>
      <c r="E9" s="565"/>
      <c r="F9" s="207"/>
      <c r="G9" s="386">
        <v>380</v>
      </c>
      <c r="I9" s="398" t="s">
        <v>1539</v>
      </c>
      <c r="J9" s="387" t="s">
        <v>9</v>
      </c>
      <c r="K9" s="541">
        <f>IF(K7=1,K6/(380/3^0.5),(K6/(380*3^0.5)))</f>
        <v>299.31053429041128</v>
      </c>
      <c r="L9" s="542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73"/>
      <c r="E12" s="574"/>
      <c r="F12" s="208"/>
      <c r="G12" s="208"/>
      <c r="I12" s="414" t="s">
        <v>1532</v>
      </c>
      <c r="J12" s="415" t="s">
        <v>9</v>
      </c>
      <c r="K12" s="573"/>
      <c r="L12" s="574"/>
    </row>
    <row r="13" spans="1:12" ht="31.5" customHeight="1">
      <c r="A13" s="204"/>
      <c r="B13" s="422" t="s">
        <v>1379</v>
      </c>
      <c r="C13" s="402" t="s">
        <v>9</v>
      </c>
      <c r="D13" s="539"/>
      <c r="E13" s="540"/>
      <c r="F13" s="208"/>
      <c r="G13" s="208"/>
      <c r="I13" s="416" t="s">
        <v>1379</v>
      </c>
      <c r="J13" s="402" t="s">
        <v>9</v>
      </c>
      <c r="K13" s="539"/>
      <c r="L13" s="540"/>
    </row>
    <row r="14" spans="1:12" ht="30.75" customHeight="1">
      <c r="A14" s="204"/>
      <c r="B14" s="422" t="s">
        <v>1533</v>
      </c>
      <c r="C14" s="402" t="s">
        <v>9</v>
      </c>
      <c r="D14" s="543"/>
      <c r="E14" s="544"/>
      <c r="F14" s="390" t="s">
        <v>1451</v>
      </c>
      <c r="G14" s="394">
        <v>50</v>
      </c>
      <c r="I14" s="416" t="s">
        <v>1533</v>
      </c>
      <c r="J14" s="402" t="s">
        <v>9</v>
      </c>
      <c r="K14" s="545">
        <v>100</v>
      </c>
      <c r="L14" s="546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47">
        <v>35</v>
      </c>
      <c r="E16" s="548"/>
      <c r="F16" s="390"/>
      <c r="G16" s="394">
        <v>160</v>
      </c>
      <c r="I16" s="416" t="s">
        <v>1535</v>
      </c>
      <c r="J16" s="402" t="s">
        <v>9</v>
      </c>
      <c r="K16" s="551">
        <f>K9</f>
        <v>299.31053429041128</v>
      </c>
      <c r="L16" s="552"/>
    </row>
    <row r="17" spans="1:12" ht="34.5" customHeight="1">
      <c r="A17" s="204"/>
      <c r="B17" s="422" t="s">
        <v>1536</v>
      </c>
      <c r="C17" s="402" t="s">
        <v>9</v>
      </c>
      <c r="D17" s="549">
        <f>IF(D15=1,D14/(20/3^0.5),(D14/(20*3^0.5)))</f>
        <v>0</v>
      </c>
      <c r="E17" s="550"/>
      <c r="F17" s="390" t="s">
        <v>1451</v>
      </c>
      <c r="G17" s="395">
        <v>200</v>
      </c>
      <c r="I17" s="416" t="s">
        <v>1536</v>
      </c>
      <c r="J17" s="402" t="s">
        <v>9</v>
      </c>
      <c r="K17" s="555">
        <f>IF(K15=1,K14/(20/3^0.5),(K14/(20*3^0.5)))</f>
        <v>2.8867513459481291</v>
      </c>
      <c r="L17" s="556"/>
    </row>
    <row r="18" spans="1:12" ht="34.5" customHeight="1">
      <c r="A18" s="204"/>
      <c r="B18" s="422" t="s">
        <v>1537</v>
      </c>
      <c r="C18" s="402" t="s">
        <v>9</v>
      </c>
      <c r="D18" s="549">
        <f>IF(D15=1,D14/(380/3^0.5),(D14/(380*3^0.5)))*1000</f>
        <v>0</v>
      </c>
      <c r="E18" s="550"/>
      <c r="F18" s="390" t="s">
        <v>1451</v>
      </c>
      <c r="G18" s="395">
        <v>250</v>
      </c>
      <c r="I18" s="416" t="s">
        <v>1537</v>
      </c>
      <c r="J18" s="402" t="s">
        <v>9</v>
      </c>
      <c r="K18" s="555">
        <f>IF(K15=1,K14/(380/3^0.5),(K14/(380*3^0.5)))*1000</f>
        <v>151.93428136569102</v>
      </c>
      <c r="L18" s="556"/>
    </row>
    <row r="19" spans="1:12" ht="30" customHeight="1">
      <c r="A19" s="204"/>
      <c r="B19" s="423" t="s">
        <v>1529</v>
      </c>
      <c r="C19" s="401" t="s">
        <v>9</v>
      </c>
      <c r="D19" s="549">
        <f>IF(D15=1,D14/(380/3^0.5),(D14/(380*3^0.5)))</f>
        <v>0</v>
      </c>
      <c r="E19" s="550"/>
      <c r="F19" s="207"/>
      <c r="G19" s="386"/>
      <c r="I19" s="418" t="s">
        <v>1529</v>
      </c>
      <c r="J19" s="401" t="s">
        <v>9</v>
      </c>
      <c r="K19" s="555">
        <f>IF(K15=1,K14/(380/3^0.5),(K14/(380*3^0.5)))</f>
        <v>0.15193428136569101</v>
      </c>
      <c r="L19" s="556"/>
    </row>
    <row r="20" spans="1:12" ht="30" customHeight="1" thickBot="1">
      <c r="A20" s="204"/>
      <c r="B20" s="424" t="s">
        <v>1538</v>
      </c>
      <c r="C20" s="420" t="s">
        <v>9</v>
      </c>
      <c r="D20" s="575" t="e">
        <f>D16/D18</f>
        <v>#DIV/0!</v>
      </c>
      <c r="E20" s="576"/>
      <c r="F20" s="207"/>
      <c r="G20" s="386"/>
      <c r="I20" s="419" t="s">
        <v>1529</v>
      </c>
      <c r="J20" s="420" t="s">
        <v>9</v>
      </c>
      <c r="K20" s="553">
        <f>K16/K18</f>
        <v>1.9699999999999998</v>
      </c>
      <c r="L20" s="554"/>
    </row>
    <row r="21" spans="1:12" ht="9.75" customHeight="1">
      <c r="A21" s="204"/>
      <c r="B21" s="409" t="s">
        <v>1538</v>
      </c>
      <c r="C21" s="410" t="s">
        <v>9</v>
      </c>
      <c r="D21" s="560">
        <v>1</v>
      </c>
      <c r="E21" s="560"/>
      <c r="F21" s="411"/>
      <c r="G21" s="412"/>
      <c r="H21" s="413"/>
      <c r="I21" s="409" t="s">
        <v>1529</v>
      </c>
      <c r="J21" s="410" t="s">
        <v>9</v>
      </c>
      <c r="K21" s="560">
        <v>1</v>
      </c>
      <c r="L21" s="560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57"/>
      <c r="C24" s="558"/>
      <c r="D24" s="558"/>
      <c r="E24" s="559"/>
      <c r="I24" s="557"/>
      <c r="J24" s="558"/>
      <c r="K24" s="558"/>
      <c r="L24" s="559"/>
    </row>
    <row r="26" spans="1:12">
      <c r="D26" s="404"/>
    </row>
    <row r="27" spans="1:12">
      <c r="D27" s="40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="85" zoomScaleNormal="85" workbookViewId="0">
      <selection activeCell="F20" sqref="F20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77"/>
      <c r="C1" s="577"/>
      <c r="D1" s="577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33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25575000</v>
      </c>
    </row>
    <row r="10" spans="2:11" ht="20.100000000000001" customHeight="1">
      <c r="B10" s="249" t="s">
        <v>1444</v>
      </c>
      <c r="C10" s="250" t="s">
        <v>9</v>
      </c>
      <c r="D10" s="256">
        <f ca="1">RAB!K55</f>
        <v>113883851.95575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2277677.0391150001</v>
      </c>
    </row>
    <row r="12" spans="2:11" ht="9" customHeight="1">
      <c r="B12" s="578"/>
      <c r="C12" s="578"/>
      <c r="D12" s="578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1624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1625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164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3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380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197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1458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972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775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85" t="s">
        <v>1356</v>
      </c>
      <c r="C3" s="585"/>
      <c r="D3" s="585"/>
      <c r="E3" s="585"/>
      <c r="F3" s="263" t="str">
        <f>DATA!D14</f>
        <v>EDHI WIDARTO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79" t="s">
        <v>1348</v>
      </c>
      <c r="C5" s="579" t="s">
        <v>1357</v>
      </c>
      <c r="D5" s="584" t="s">
        <v>1358</v>
      </c>
      <c r="E5" s="584" t="s">
        <v>1359</v>
      </c>
      <c r="F5" s="579" t="s">
        <v>1360</v>
      </c>
      <c r="G5" s="579"/>
      <c r="H5" s="579"/>
      <c r="I5" s="579"/>
      <c r="J5" s="579"/>
      <c r="K5" s="579" t="s">
        <v>1361</v>
      </c>
      <c r="L5" s="579"/>
      <c r="M5" s="265"/>
      <c r="N5" s="582" t="s">
        <v>1362</v>
      </c>
      <c r="O5" s="584" t="s">
        <v>1363</v>
      </c>
      <c r="P5" s="584" t="s">
        <v>1364</v>
      </c>
      <c r="Q5" s="584" t="s">
        <v>1365</v>
      </c>
      <c r="R5" s="266"/>
      <c r="S5" s="267"/>
      <c r="T5" s="580" t="s">
        <v>1366</v>
      </c>
      <c r="U5" s="268"/>
    </row>
    <row r="6" spans="1:21" ht="20.100000000000001" customHeight="1">
      <c r="B6" s="579"/>
      <c r="C6" s="579"/>
      <c r="D6" s="579"/>
      <c r="E6" s="579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83"/>
      <c r="O6" s="579"/>
      <c r="P6" s="579"/>
      <c r="Q6" s="579"/>
      <c r="R6" s="266"/>
      <c r="S6" s="267"/>
      <c r="T6" s="579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10560</v>
      </c>
      <c r="D7" s="274">
        <f>C7*4/24</f>
        <v>1760</v>
      </c>
      <c r="E7" s="274">
        <f>C7-D7</f>
        <v>8800</v>
      </c>
      <c r="F7" s="275">
        <f ca="1">DATA!D10/1000000</f>
        <v>113.88385195575</v>
      </c>
      <c r="G7" s="276">
        <f ca="1">DATA!$D$11/1000000</f>
        <v>2.2776770391149999</v>
      </c>
      <c r="H7" s="276">
        <f>C7*DATA!$D$5/1000000</f>
        <v>11.448360484562327</v>
      </c>
      <c r="I7" s="276">
        <f>(C7*DATA!$D$5*DATA!$D$7)/1000000</f>
        <v>0.25758811090265238</v>
      </c>
      <c r="J7" s="274">
        <f ca="1">SUM(F7:I7)</f>
        <v>127.86747759032998</v>
      </c>
      <c r="K7" s="277">
        <f>DATA!D9/1000000</f>
        <v>25.574999999999999</v>
      </c>
      <c r="L7" s="274">
        <f>((D7*DATA!$D$23)/1000000)+((E7*DATA!$D$24)/1000000)</f>
        <v>11.119679999999999</v>
      </c>
      <c r="M7" s="274">
        <f>K7+L7</f>
        <v>36.694679999999998</v>
      </c>
      <c r="N7" s="274">
        <f ca="1">M7-J7</f>
        <v>-91.172797590329992</v>
      </c>
      <c r="O7" s="272">
        <v>1</v>
      </c>
      <c r="P7" s="274">
        <f ca="1">O7*N7</f>
        <v>-91.172797590329992</v>
      </c>
      <c r="Q7" s="274">
        <f ca="1">P7</f>
        <v>-91.172797590329992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15840</v>
      </c>
      <c r="D8" s="274">
        <f>C8*4/24</f>
        <v>2640</v>
      </c>
      <c r="E8" s="274">
        <f t="shared" ref="E8:E32" si="0">C8-D8</f>
        <v>13200</v>
      </c>
      <c r="F8" s="272"/>
      <c r="G8" s="276">
        <f ca="1">DATA!$D$11/1000000</f>
        <v>2.2776770391149999</v>
      </c>
      <c r="H8" s="276">
        <f>C8*DATA!$D$5/1000000</f>
        <v>17.17254072684349</v>
      </c>
      <c r="I8" s="276">
        <f>(C8*DATA!$D$5*DATA!$D$7)/1000000</f>
        <v>0.38638216635397854</v>
      </c>
      <c r="J8" s="274">
        <f t="shared" ref="J8:J32" ca="1" si="1">SUM(F8:I8)</f>
        <v>19.83659993231247</v>
      </c>
      <c r="K8" s="279"/>
      <c r="L8" s="274">
        <f>((D8*DATA!$D$23)/1000000)+((E8*DATA!$D$24)/1000000)</f>
        <v>16.67952</v>
      </c>
      <c r="M8" s="274">
        <f t="shared" ref="M8:M32" si="2">K8+L8</f>
        <v>16.67952</v>
      </c>
      <c r="N8" s="274">
        <f ca="1">M8-J8</f>
        <v>-3.1570799323124703</v>
      </c>
      <c r="O8" s="273">
        <f>1/(1+'[87]Asumsi I'!$C$3)^(KKF!A8)</f>
        <v>0.89285714285714279</v>
      </c>
      <c r="P8" s="274">
        <f ca="1">O8*N8</f>
        <v>-2.8188213681361338</v>
      </c>
      <c r="Q8" s="274">
        <f ca="1">Q7+P8</f>
        <v>-93.99161895846612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15840</v>
      </c>
      <c r="D9" s="274">
        <f t="shared" ref="D9:D32" si="5">C9*4/24</f>
        <v>2640</v>
      </c>
      <c r="E9" s="274">
        <f t="shared" si="0"/>
        <v>13200</v>
      </c>
      <c r="F9" s="272"/>
      <c r="G9" s="276">
        <f ca="1">DATA!$D$11/1000000</f>
        <v>2.2776770391149999</v>
      </c>
      <c r="H9" s="276">
        <f>C9*DATA!$D$5/1000000</f>
        <v>17.17254072684349</v>
      </c>
      <c r="I9" s="276">
        <f>(C9*DATA!$D$5*DATA!$D$7)/1000000</f>
        <v>0.38638216635397854</v>
      </c>
      <c r="J9" s="274">
        <f t="shared" ca="1" si="1"/>
        <v>19.83659993231247</v>
      </c>
      <c r="K9" s="274"/>
      <c r="L9" s="274">
        <f>((D9*DATA!$D$23)/1000000)+((E9*DATA!$D$24)/1000000)</f>
        <v>16.67952</v>
      </c>
      <c r="M9" s="274">
        <f t="shared" si="2"/>
        <v>16.67952</v>
      </c>
      <c r="N9" s="274">
        <f t="shared" ref="N9:N32" ca="1" si="6">M9-J9</f>
        <v>-3.1570799323124703</v>
      </c>
      <c r="O9" s="280">
        <f>1/(1+'[87]Asumsi I'!$C$3)^(KKF!A9)</f>
        <v>0.79719387755102034</v>
      </c>
      <c r="P9" s="274">
        <f t="shared" ref="P9:P32" ca="1" si="7">O9*N9</f>
        <v>-2.5168047929786912</v>
      </c>
      <c r="Q9" s="274">
        <f ca="1">Q8+P9</f>
        <v>-96.508423751444809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15840</v>
      </c>
      <c r="D10" s="274">
        <f t="shared" si="5"/>
        <v>2640</v>
      </c>
      <c r="E10" s="274">
        <f t="shared" si="0"/>
        <v>13200</v>
      </c>
      <c r="F10" s="272"/>
      <c r="G10" s="276">
        <f ca="1">DATA!$D$11/1000000</f>
        <v>2.2776770391149999</v>
      </c>
      <c r="H10" s="276">
        <f>C10*DATA!$D$5/1000000</f>
        <v>17.17254072684349</v>
      </c>
      <c r="I10" s="276">
        <f>(C10*DATA!$D$5*DATA!$D$7)/1000000</f>
        <v>0.38638216635397854</v>
      </c>
      <c r="J10" s="274">
        <f t="shared" ca="1" si="1"/>
        <v>19.83659993231247</v>
      </c>
      <c r="K10" s="272"/>
      <c r="L10" s="274">
        <f>((D10*DATA!$D$23)/1000000)+((E10*DATA!$D$24)/1000000)</f>
        <v>16.67952</v>
      </c>
      <c r="M10" s="274">
        <f t="shared" si="2"/>
        <v>16.67952</v>
      </c>
      <c r="N10" s="274">
        <f t="shared" ca="1" si="6"/>
        <v>-3.1570799323124703</v>
      </c>
      <c r="O10" s="273">
        <f>1/(1+'[87]Asumsi I'!$C$3)^(KKF!A10)</f>
        <v>0.71178024781341087</v>
      </c>
      <c r="P10" s="274">
        <f t="shared" ca="1" si="7"/>
        <v>-2.2471471365881164</v>
      </c>
      <c r="Q10" s="274">
        <f t="shared" ref="Q10:Q30" ca="1" si="9">Q9+P10</f>
        <v>-98.755570888032921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15840</v>
      </c>
      <c r="D11" s="274">
        <f t="shared" si="5"/>
        <v>2640</v>
      </c>
      <c r="E11" s="274">
        <f t="shared" si="0"/>
        <v>13200</v>
      </c>
      <c r="F11" s="272"/>
      <c r="G11" s="276">
        <f ca="1">DATA!$D$11/1000000</f>
        <v>2.2776770391149999</v>
      </c>
      <c r="H11" s="276">
        <f>C11*DATA!$D$5/1000000</f>
        <v>17.17254072684349</v>
      </c>
      <c r="I11" s="276">
        <f>(C11*DATA!$D$5*DATA!$D$7)/1000000</f>
        <v>0.38638216635397854</v>
      </c>
      <c r="J11" s="274">
        <f t="shared" ca="1" si="1"/>
        <v>19.83659993231247</v>
      </c>
      <c r="K11" s="272"/>
      <c r="L11" s="274">
        <f>((D11*DATA!$D$23)/1000000)+((E11*DATA!$D$24)/1000000)</f>
        <v>16.67952</v>
      </c>
      <c r="M11" s="274">
        <f t="shared" si="2"/>
        <v>16.67952</v>
      </c>
      <c r="N11" s="274">
        <f t="shared" ca="1" si="6"/>
        <v>-3.1570799323124703</v>
      </c>
      <c r="O11" s="273">
        <f>1/(1+'[87]Asumsi I'!$C$3)^(KKF!A11)</f>
        <v>0.63551807840483121</v>
      </c>
      <c r="P11" s="274">
        <f t="shared" ca="1" si="7"/>
        <v>-2.0063813719536756</v>
      </c>
      <c r="Q11" s="274">
        <f t="shared" ca="1" si="9"/>
        <v>-100.7619522599866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15840</v>
      </c>
      <c r="D12" s="274">
        <f t="shared" si="5"/>
        <v>2640</v>
      </c>
      <c r="E12" s="274">
        <f t="shared" si="0"/>
        <v>13200</v>
      </c>
      <c r="F12" s="272"/>
      <c r="G12" s="276">
        <f ca="1">DATA!$D$11/1000000</f>
        <v>2.2776770391149999</v>
      </c>
      <c r="H12" s="276">
        <f>C12*DATA!$D$5/1000000</f>
        <v>17.17254072684349</v>
      </c>
      <c r="I12" s="276">
        <f>(C12*DATA!$D$5*DATA!$D$7)/1000000</f>
        <v>0.38638216635397854</v>
      </c>
      <c r="J12" s="274">
        <f t="shared" ca="1" si="1"/>
        <v>19.83659993231247</v>
      </c>
      <c r="K12" s="272"/>
      <c r="L12" s="274">
        <f>((D12*DATA!$D$23)/1000000)+((E12*DATA!$D$24)/1000000)</f>
        <v>16.67952</v>
      </c>
      <c r="M12" s="274">
        <f t="shared" si="2"/>
        <v>16.67952</v>
      </c>
      <c r="N12" s="274">
        <f t="shared" ca="1" si="6"/>
        <v>-3.1570799323124703</v>
      </c>
      <c r="O12" s="273">
        <f>1/(1+'[87]Asumsi I'!$C$3)^(KKF!A12)</f>
        <v>0.56742685571859919</v>
      </c>
      <c r="P12" s="274">
        <f t="shared" ca="1" si="7"/>
        <v>-1.791411939244353</v>
      </c>
      <c r="Q12" s="274">
        <f t="shared" ca="1" si="9"/>
        <v>-102.55336419923096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15840</v>
      </c>
      <c r="D13" s="274">
        <f t="shared" si="5"/>
        <v>2640</v>
      </c>
      <c r="E13" s="274">
        <f t="shared" si="0"/>
        <v>13200</v>
      </c>
      <c r="F13" s="272"/>
      <c r="G13" s="276">
        <f ca="1">DATA!$D$11/1000000</f>
        <v>2.2776770391149999</v>
      </c>
      <c r="H13" s="276">
        <f>C13*DATA!$D$5/1000000</f>
        <v>17.17254072684349</v>
      </c>
      <c r="I13" s="276">
        <f>(C13*DATA!$D$5*DATA!$D$7)/1000000</f>
        <v>0.38638216635397854</v>
      </c>
      <c r="J13" s="274">
        <f t="shared" ca="1" si="1"/>
        <v>19.83659993231247</v>
      </c>
      <c r="K13" s="272"/>
      <c r="L13" s="274">
        <f>((D13*DATA!$D$23)/1000000)+((E13*DATA!$D$24)/1000000)</f>
        <v>16.67952</v>
      </c>
      <c r="M13" s="274">
        <f t="shared" si="2"/>
        <v>16.67952</v>
      </c>
      <c r="N13" s="274">
        <f t="shared" ca="1" si="6"/>
        <v>-3.1570799323124703</v>
      </c>
      <c r="O13" s="273">
        <f>1/(1+'[87]Asumsi I'!$C$3)^(KKF!A13)</f>
        <v>0.50663112117732068</v>
      </c>
      <c r="P13" s="274">
        <f t="shared" ca="1" si="7"/>
        <v>-1.5994749457538866</v>
      </c>
      <c r="Q13" s="274">
        <f t="shared" ca="1" si="9"/>
        <v>-104.15283914498484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15840</v>
      </c>
      <c r="D14" s="274">
        <f t="shared" si="5"/>
        <v>2640</v>
      </c>
      <c r="E14" s="274">
        <f t="shared" si="0"/>
        <v>13200</v>
      </c>
      <c r="F14" s="272"/>
      <c r="G14" s="276">
        <f ca="1">DATA!$D$11/1000000</f>
        <v>2.2776770391149999</v>
      </c>
      <c r="H14" s="276">
        <f>C14*DATA!$D$5/1000000</f>
        <v>17.17254072684349</v>
      </c>
      <c r="I14" s="276">
        <f>(C14*DATA!$D$5*DATA!$D$7)/1000000</f>
        <v>0.38638216635397854</v>
      </c>
      <c r="J14" s="274">
        <f t="shared" ca="1" si="1"/>
        <v>19.83659993231247</v>
      </c>
      <c r="K14" s="272"/>
      <c r="L14" s="274">
        <f>((D14*DATA!$D$23)/1000000)+((E14*DATA!$D$24)/1000000)</f>
        <v>16.67952</v>
      </c>
      <c r="M14" s="274">
        <f t="shared" si="2"/>
        <v>16.67952</v>
      </c>
      <c r="N14" s="274">
        <f t="shared" ca="1" si="6"/>
        <v>-3.1570799323124703</v>
      </c>
      <c r="O14" s="273">
        <f>1/(1+'[87]Asumsi I'!$C$3)^(KKF!A14)</f>
        <v>0.45234921533689343</v>
      </c>
      <c r="P14" s="274">
        <f t="shared" ca="1" si="7"/>
        <v>-1.4281026301373985</v>
      </c>
      <c r="Q14" s="274">
        <f t="shared" ca="1" si="9"/>
        <v>-105.58094177512224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15840</v>
      </c>
      <c r="D15" s="274">
        <f t="shared" si="5"/>
        <v>2640</v>
      </c>
      <c r="E15" s="274">
        <f t="shared" si="0"/>
        <v>13200</v>
      </c>
      <c r="F15" s="272"/>
      <c r="G15" s="276">
        <f ca="1">DATA!$D$11/1000000</f>
        <v>2.2776770391149999</v>
      </c>
      <c r="H15" s="276">
        <f>C15*DATA!$D$5/1000000</f>
        <v>17.17254072684349</v>
      </c>
      <c r="I15" s="276">
        <f>(C15*DATA!$D$5*DATA!$D$7)/1000000</f>
        <v>0.38638216635397854</v>
      </c>
      <c r="J15" s="274">
        <f t="shared" ca="1" si="1"/>
        <v>19.83659993231247</v>
      </c>
      <c r="K15" s="272"/>
      <c r="L15" s="274">
        <f>((D15*DATA!$D$23)/1000000)+((E15*DATA!$D$24)/1000000)</f>
        <v>16.67952</v>
      </c>
      <c r="M15" s="274">
        <f t="shared" si="2"/>
        <v>16.67952</v>
      </c>
      <c r="N15" s="274">
        <f t="shared" ca="1" si="6"/>
        <v>-3.1570799323124703</v>
      </c>
      <c r="O15" s="273">
        <f>1/(1+'[87]Asumsi I'!$C$3)^(KKF!A15)</f>
        <v>0.4038832279793691</v>
      </c>
      <c r="P15" s="274">
        <f t="shared" ca="1" si="7"/>
        <v>-1.2750916340512486</v>
      </c>
      <c r="Q15" s="274">
        <f t="shared" ca="1" si="9"/>
        <v>-106.85603340917349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15840</v>
      </c>
      <c r="D16" s="274">
        <f t="shared" si="5"/>
        <v>2640</v>
      </c>
      <c r="E16" s="274">
        <f t="shared" si="0"/>
        <v>13200</v>
      </c>
      <c r="F16" s="272"/>
      <c r="G16" s="276">
        <f ca="1">DATA!$D$11/1000000</f>
        <v>2.2776770391149999</v>
      </c>
      <c r="H16" s="276">
        <f>C16*DATA!$D$5/1000000</f>
        <v>17.17254072684349</v>
      </c>
      <c r="I16" s="276">
        <f>(C16*DATA!$D$5*DATA!$D$7)/1000000</f>
        <v>0.38638216635397854</v>
      </c>
      <c r="J16" s="274">
        <f t="shared" ca="1" si="1"/>
        <v>19.83659993231247</v>
      </c>
      <c r="K16" s="272"/>
      <c r="L16" s="274">
        <f>((D16*DATA!$D$23)/1000000)+((E16*DATA!$D$24)/1000000)</f>
        <v>16.67952</v>
      </c>
      <c r="M16" s="274">
        <f t="shared" si="2"/>
        <v>16.67952</v>
      </c>
      <c r="N16" s="274">
        <f t="shared" ca="1" si="6"/>
        <v>-3.1570799323124703</v>
      </c>
      <c r="O16" s="273">
        <f>1/(1+'[87]Asumsi I'!$C$3)^(KKF!A16)</f>
        <v>0.36061002498157957</v>
      </c>
      <c r="P16" s="274">
        <f t="shared" ca="1" si="7"/>
        <v>-1.1384746732600435</v>
      </c>
      <c r="Q16" s="274">
        <f t="shared" ca="1" si="9"/>
        <v>-107.99450808243354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15840</v>
      </c>
      <c r="D17" s="274">
        <f t="shared" si="5"/>
        <v>2640</v>
      </c>
      <c r="E17" s="274">
        <f t="shared" si="0"/>
        <v>13200</v>
      </c>
      <c r="F17" s="272"/>
      <c r="G17" s="276">
        <f ca="1">DATA!$D$11/1000000</f>
        <v>2.2776770391149999</v>
      </c>
      <c r="H17" s="276">
        <f>C17*DATA!$D$5/1000000</f>
        <v>17.17254072684349</v>
      </c>
      <c r="I17" s="276">
        <f>(C17*DATA!$D$5*DATA!$D$7)/1000000</f>
        <v>0.38638216635397854</v>
      </c>
      <c r="J17" s="274">
        <f t="shared" ca="1" si="1"/>
        <v>19.83659993231247</v>
      </c>
      <c r="K17" s="272"/>
      <c r="L17" s="274">
        <f>((D17*DATA!$D$23)/1000000)+((E17*DATA!$D$24)/1000000)</f>
        <v>16.67952</v>
      </c>
      <c r="M17" s="274">
        <f t="shared" si="2"/>
        <v>16.67952</v>
      </c>
      <c r="N17" s="274">
        <f t="shared" ca="1" si="6"/>
        <v>-3.1570799323124703</v>
      </c>
      <c r="O17" s="273">
        <f>1/(1+'[87]Asumsi I'!$C$3)^(KKF!A17)</f>
        <v>0.32197323659069599</v>
      </c>
      <c r="P17" s="274">
        <f t="shared" ca="1" si="7"/>
        <v>-1.0164952439821815</v>
      </c>
      <c r="Q17" s="274">
        <f t="shared" ca="1" si="9"/>
        <v>-109.01100332641572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15840</v>
      </c>
      <c r="D18" s="274">
        <f t="shared" si="5"/>
        <v>2640</v>
      </c>
      <c r="E18" s="274">
        <f t="shared" si="0"/>
        <v>13200</v>
      </c>
      <c r="F18" s="272"/>
      <c r="G18" s="276">
        <f ca="1">DATA!$D$11/1000000</f>
        <v>2.2776770391149999</v>
      </c>
      <c r="H18" s="276">
        <f>C18*DATA!$D$5/1000000</f>
        <v>17.17254072684349</v>
      </c>
      <c r="I18" s="276">
        <f>(C18*DATA!$D$5*DATA!$D$7)/1000000</f>
        <v>0.38638216635397854</v>
      </c>
      <c r="J18" s="274">
        <f t="shared" ca="1" si="1"/>
        <v>19.83659993231247</v>
      </c>
      <c r="K18" s="272"/>
      <c r="L18" s="274">
        <f>((D18*DATA!$D$23)/1000000)+((E18*DATA!$D$24)/1000000)</f>
        <v>16.67952</v>
      </c>
      <c r="M18" s="274">
        <f t="shared" si="2"/>
        <v>16.67952</v>
      </c>
      <c r="N18" s="274">
        <f t="shared" ca="1" si="6"/>
        <v>-3.1570799323124703</v>
      </c>
      <c r="O18" s="273">
        <f>1/(1+'[87]Asumsi I'!$C$3)^(KKF!A18)</f>
        <v>0.28747610409883567</v>
      </c>
      <c r="P18" s="274">
        <f t="shared" ca="1" si="7"/>
        <v>-0.90758503926980483</v>
      </c>
      <c r="Q18" s="274">
        <f t="shared" ca="1" si="9"/>
        <v>-109.91858836568552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15840</v>
      </c>
      <c r="D19" s="274">
        <f t="shared" si="5"/>
        <v>2640</v>
      </c>
      <c r="E19" s="274">
        <f t="shared" si="0"/>
        <v>13200</v>
      </c>
      <c r="F19" s="272"/>
      <c r="G19" s="276">
        <f ca="1">DATA!$D$11/1000000</f>
        <v>2.2776770391149999</v>
      </c>
      <c r="H19" s="276">
        <f>C19*DATA!$D$5/1000000</f>
        <v>17.17254072684349</v>
      </c>
      <c r="I19" s="276">
        <f>(C19*DATA!$D$5*DATA!$D$7)/1000000</f>
        <v>0.38638216635397854</v>
      </c>
      <c r="J19" s="274">
        <f t="shared" ca="1" si="1"/>
        <v>19.83659993231247</v>
      </c>
      <c r="K19" s="272"/>
      <c r="L19" s="274">
        <f>((D19*DATA!$D$23)/1000000)+((E19*DATA!$D$24)/1000000)</f>
        <v>16.67952</v>
      </c>
      <c r="M19" s="274">
        <f t="shared" si="2"/>
        <v>16.67952</v>
      </c>
      <c r="N19" s="274">
        <f t="shared" ca="1" si="6"/>
        <v>-3.1570799323124703</v>
      </c>
      <c r="O19" s="273">
        <f>1/(1+'[87]Asumsi I'!$C$3)^(KKF!A19)</f>
        <v>0.25667509294538904</v>
      </c>
      <c r="P19" s="274">
        <f t="shared" ca="1" si="7"/>
        <v>-0.81034378506232585</v>
      </c>
      <c r="Q19" s="274">
        <f t="shared" ca="1" si="9"/>
        <v>-110.72893215074785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15840</v>
      </c>
      <c r="D20" s="274">
        <f t="shared" si="5"/>
        <v>2640</v>
      </c>
      <c r="E20" s="274">
        <f t="shared" si="0"/>
        <v>13200</v>
      </c>
      <c r="F20" s="272"/>
      <c r="G20" s="276">
        <f ca="1">DATA!$D$11/1000000</f>
        <v>2.2776770391149999</v>
      </c>
      <c r="H20" s="276">
        <f>C20*DATA!$D$5/1000000</f>
        <v>17.17254072684349</v>
      </c>
      <c r="I20" s="276">
        <f>(C20*DATA!$D$5*DATA!$D$7)/1000000</f>
        <v>0.38638216635397854</v>
      </c>
      <c r="J20" s="274">
        <f t="shared" ca="1" si="1"/>
        <v>19.83659993231247</v>
      </c>
      <c r="K20" s="272"/>
      <c r="L20" s="274">
        <f>((D20*DATA!$D$23)/1000000)+((E20*DATA!$D$24)/1000000)</f>
        <v>16.67952</v>
      </c>
      <c r="M20" s="274">
        <f t="shared" si="2"/>
        <v>16.67952</v>
      </c>
      <c r="N20" s="274">
        <f t="shared" ca="1" si="6"/>
        <v>-3.1570799323124703</v>
      </c>
      <c r="O20" s="273">
        <f>1/(1+'[87]Asumsi I'!$C$3)^(KKF!A20)</f>
        <v>0.22917419012981158</v>
      </c>
      <c r="P20" s="274">
        <f t="shared" ca="1" si="7"/>
        <v>-0.72352123666279078</v>
      </c>
      <c r="Q20" s="274">
        <f t="shared" ca="1" si="9"/>
        <v>-111.45245338741064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15840</v>
      </c>
      <c r="D21" s="274">
        <f t="shared" si="5"/>
        <v>2640</v>
      </c>
      <c r="E21" s="274">
        <f t="shared" si="0"/>
        <v>13200</v>
      </c>
      <c r="F21" s="272"/>
      <c r="G21" s="276">
        <f ca="1">DATA!$D$11/1000000</f>
        <v>2.2776770391149999</v>
      </c>
      <c r="H21" s="276">
        <f>C21*DATA!$D$5/1000000</f>
        <v>17.17254072684349</v>
      </c>
      <c r="I21" s="276">
        <f>(C21*DATA!$D$5*DATA!$D$7)/1000000</f>
        <v>0.38638216635397854</v>
      </c>
      <c r="J21" s="274">
        <f t="shared" ca="1" si="1"/>
        <v>19.83659993231247</v>
      </c>
      <c r="K21" s="272"/>
      <c r="L21" s="274">
        <f>((D21*DATA!$D$23)/1000000)+((E21*DATA!$D$24)/1000000)</f>
        <v>16.67952</v>
      </c>
      <c r="M21" s="274">
        <f t="shared" si="2"/>
        <v>16.67952</v>
      </c>
      <c r="N21" s="274">
        <f t="shared" ca="1" si="6"/>
        <v>-3.1570799323124703</v>
      </c>
      <c r="O21" s="273">
        <f>1/(1+'[87]Asumsi I'!$C$3)^(KKF!A21)</f>
        <v>0.20461981261590317</v>
      </c>
      <c r="P21" s="274">
        <f t="shared" ca="1" si="7"/>
        <v>-0.646001104163206</v>
      </c>
      <c r="Q21" s="274">
        <f t="shared" ca="1" si="9"/>
        <v>-112.09845449157385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15840</v>
      </c>
      <c r="D22" s="274">
        <f t="shared" si="5"/>
        <v>2640</v>
      </c>
      <c r="E22" s="274">
        <f t="shared" si="0"/>
        <v>13200</v>
      </c>
      <c r="F22" s="272"/>
      <c r="G22" s="276">
        <f ca="1">DATA!$D$11/1000000</f>
        <v>2.2776770391149999</v>
      </c>
      <c r="H22" s="276">
        <f>C22*DATA!$D$5/1000000</f>
        <v>17.17254072684349</v>
      </c>
      <c r="I22" s="276">
        <f>(C22*DATA!$D$5*DATA!$D$7)/1000000</f>
        <v>0.38638216635397854</v>
      </c>
      <c r="J22" s="274">
        <f t="shared" ca="1" si="1"/>
        <v>19.83659993231247</v>
      </c>
      <c r="K22" s="272"/>
      <c r="L22" s="274">
        <f>((D22*DATA!$D$23)/1000000)+((E22*DATA!$D$24)/1000000)</f>
        <v>16.67952</v>
      </c>
      <c r="M22" s="274">
        <f t="shared" si="2"/>
        <v>16.67952</v>
      </c>
      <c r="N22" s="274">
        <f t="shared" ca="1" si="6"/>
        <v>-3.1570799323124703</v>
      </c>
      <c r="O22" s="273">
        <f>1/(1+'[87]Asumsi I'!$C$3)^(KKF!A22)</f>
        <v>0.18269626126419927</v>
      </c>
      <c r="P22" s="274">
        <f t="shared" ca="1" si="7"/>
        <v>-0.57678670014571964</v>
      </c>
      <c r="Q22" s="274">
        <f t="shared" ca="1" si="9"/>
        <v>-112.67524119171956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15840</v>
      </c>
      <c r="D23" s="274">
        <f t="shared" si="5"/>
        <v>2640</v>
      </c>
      <c r="E23" s="274">
        <f t="shared" si="0"/>
        <v>13200</v>
      </c>
      <c r="F23" s="272"/>
      <c r="G23" s="276">
        <f ca="1">DATA!$D$11/1000000</f>
        <v>2.2776770391149999</v>
      </c>
      <c r="H23" s="276">
        <f>C23*DATA!$D$5/1000000</f>
        <v>17.17254072684349</v>
      </c>
      <c r="I23" s="276">
        <f>(C23*DATA!$D$5*DATA!$D$7)/1000000</f>
        <v>0.38638216635397854</v>
      </c>
      <c r="J23" s="274">
        <f t="shared" ca="1" si="1"/>
        <v>19.83659993231247</v>
      </c>
      <c r="K23" s="272"/>
      <c r="L23" s="274">
        <f>((D23*DATA!$D$23)/1000000)+((E23*DATA!$D$24)/1000000)</f>
        <v>16.67952</v>
      </c>
      <c r="M23" s="274">
        <f t="shared" si="2"/>
        <v>16.67952</v>
      </c>
      <c r="N23" s="274">
        <f t="shared" ca="1" si="6"/>
        <v>-3.1570799323124703</v>
      </c>
      <c r="O23" s="273">
        <f>1/(1+'[87]Asumsi I'!$C$3)^(KKF!A23)</f>
        <v>0.16312166184303503</v>
      </c>
      <c r="P23" s="274">
        <f t="shared" ca="1" si="7"/>
        <v>-0.51498812513010672</v>
      </c>
      <c r="Q23" s="274">
        <f t="shared" ca="1" si="9"/>
        <v>-113.19022931684967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15840</v>
      </c>
      <c r="D24" s="274">
        <f t="shared" si="5"/>
        <v>2640</v>
      </c>
      <c r="E24" s="274">
        <f t="shared" si="0"/>
        <v>13200</v>
      </c>
      <c r="F24" s="272"/>
      <c r="G24" s="276">
        <f ca="1">DATA!$D$11/1000000</f>
        <v>2.2776770391149999</v>
      </c>
      <c r="H24" s="276">
        <f>C24*DATA!$D$5/1000000</f>
        <v>17.17254072684349</v>
      </c>
      <c r="I24" s="276">
        <f>(C24*DATA!$D$5*DATA!$D$7)/1000000</f>
        <v>0.38638216635397854</v>
      </c>
      <c r="J24" s="274">
        <f t="shared" ca="1" si="1"/>
        <v>19.83659993231247</v>
      </c>
      <c r="K24" s="272"/>
      <c r="L24" s="274">
        <f>((D24*DATA!$D$23)/1000000)+((E24*DATA!$D$24)/1000000)</f>
        <v>16.67952</v>
      </c>
      <c r="M24" s="274">
        <f t="shared" si="2"/>
        <v>16.67952</v>
      </c>
      <c r="N24" s="274">
        <f t="shared" ca="1" si="6"/>
        <v>-3.1570799323124703</v>
      </c>
      <c r="O24" s="273">
        <f>1/(1+'[87]Asumsi I'!$C$3)^(KKF!A24)</f>
        <v>0.14564434093128129</v>
      </c>
      <c r="P24" s="274">
        <f t="shared" ca="1" si="7"/>
        <v>-0.45981082600902384</v>
      </c>
      <c r="Q24" s="274">
        <f t="shared" ca="1" si="9"/>
        <v>-113.65004014285869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15840</v>
      </c>
      <c r="D25" s="274">
        <f t="shared" si="5"/>
        <v>2640</v>
      </c>
      <c r="E25" s="274">
        <f t="shared" si="0"/>
        <v>13200</v>
      </c>
      <c r="F25" s="272"/>
      <c r="G25" s="276">
        <f ca="1">DATA!$D$11/1000000</f>
        <v>2.2776770391149999</v>
      </c>
      <c r="H25" s="276">
        <f>C25*DATA!$D$5/1000000</f>
        <v>17.17254072684349</v>
      </c>
      <c r="I25" s="276">
        <f>(C25*DATA!$D$5*DATA!$D$7)/1000000</f>
        <v>0.38638216635397854</v>
      </c>
      <c r="J25" s="274">
        <f t="shared" ca="1" si="1"/>
        <v>19.83659993231247</v>
      </c>
      <c r="K25" s="272"/>
      <c r="L25" s="274">
        <f>((D25*DATA!$D$23)/1000000)+((E25*DATA!$D$24)/1000000)</f>
        <v>16.67952</v>
      </c>
      <c r="M25" s="274">
        <f t="shared" si="2"/>
        <v>16.67952</v>
      </c>
      <c r="N25" s="274">
        <f t="shared" ca="1" si="6"/>
        <v>-3.1570799323124703</v>
      </c>
      <c r="O25" s="273">
        <f>1/(1+'[87]Asumsi I'!$C$3)^(KKF!A25)</f>
        <v>0.13003959011721541</v>
      </c>
      <c r="P25" s="274">
        <f t="shared" ca="1" si="7"/>
        <v>-0.41054538036519983</v>
      </c>
      <c r="Q25" s="274">
        <f t="shared" ca="1" si="9"/>
        <v>-114.06058552322389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15840</v>
      </c>
      <c r="D26" s="274">
        <f t="shared" si="5"/>
        <v>2640</v>
      </c>
      <c r="E26" s="274">
        <f t="shared" si="0"/>
        <v>13200</v>
      </c>
      <c r="F26" s="272"/>
      <c r="G26" s="276">
        <f ca="1">DATA!$D$11/1000000</f>
        <v>2.2776770391149999</v>
      </c>
      <c r="H26" s="276">
        <f>C26*DATA!$D$5/1000000</f>
        <v>17.17254072684349</v>
      </c>
      <c r="I26" s="276">
        <f>(C26*DATA!$D$5*DATA!$D$7)/1000000</f>
        <v>0.38638216635397854</v>
      </c>
      <c r="J26" s="274">
        <f t="shared" ca="1" si="1"/>
        <v>19.83659993231247</v>
      </c>
      <c r="K26" s="272"/>
      <c r="L26" s="274">
        <f>((D26*DATA!$D$23)/1000000)+((E26*DATA!$D$24)/1000000)</f>
        <v>16.67952</v>
      </c>
      <c r="M26" s="274">
        <f t="shared" si="2"/>
        <v>16.67952</v>
      </c>
      <c r="N26" s="274">
        <f t="shared" ca="1" si="6"/>
        <v>-3.1570799323124703</v>
      </c>
      <c r="O26" s="273">
        <f>1/(1+'[87]Asumsi I'!$C$3)^(KKF!A26)</f>
        <v>0.1161067768903709</v>
      </c>
      <c r="P26" s="274">
        <f t="shared" ca="1" si="7"/>
        <v>-0.36655837532607122</v>
      </c>
      <c r="Q26" s="274">
        <f t="shared" ca="1" si="9"/>
        <v>-114.42714389854996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15840</v>
      </c>
      <c r="D27" s="274">
        <f t="shared" si="5"/>
        <v>2640</v>
      </c>
      <c r="E27" s="274">
        <f t="shared" si="0"/>
        <v>13200</v>
      </c>
      <c r="F27" s="272"/>
      <c r="G27" s="276">
        <f ca="1">DATA!$D$11/1000000</f>
        <v>2.2776770391149999</v>
      </c>
      <c r="H27" s="276">
        <f>C27*DATA!$D$5/1000000</f>
        <v>17.17254072684349</v>
      </c>
      <c r="I27" s="276">
        <f>(C27*DATA!$D$5*DATA!$D$7)/1000000</f>
        <v>0.38638216635397854</v>
      </c>
      <c r="J27" s="274">
        <f t="shared" ca="1" si="1"/>
        <v>19.83659993231247</v>
      </c>
      <c r="K27" s="272"/>
      <c r="L27" s="274">
        <f>((D27*DATA!$D$23)/1000000)+((E27*DATA!$D$24)/1000000)</f>
        <v>16.67952</v>
      </c>
      <c r="M27" s="274">
        <f t="shared" si="2"/>
        <v>16.67952</v>
      </c>
      <c r="N27" s="274">
        <f t="shared" ca="1" si="6"/>
        <v>-3.1570799323124703</v>
      </c>
      <c r="O27" s="273">
        <f>1/(1+'[87]Asumsi I'!$C$3)^(KKF!A27)</f>
        <v>0.1036667650806883</v>
      </c>
      <c r="P27" s="274">
        <f t="shared" ca="1" si="7"/>
        <v>-0.32728426368399216</v>
      </c>
      <c r="Q27" s="274">
        <f t="shared" ca="1" si="9"/>
        <v>-114.75442816223395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15840</v>
      </c>
      <c r="D28" s="274">
        <f t="shared" si="5"/>
        <v>2640</v>
      </c>
      <c r="E28" s="274">
        <f t="shared" si="0"/>
        <v>13200</v>
      </c>
      <c r="F28" s="272"/>
      <c r="G28" s="276">
        <f ca="1">DATA!$D$11/1000000</f>
        <v>2.2776770391149999</v>
      </c>
      <c r="H28" s="276">
        <f>C28*DATA!$D$5/1000000</f>
        <v>17.17254072684349</v>
      </c>
      <c r="I28" s="276">
        <f>(C28*DATA!$D$5*DATA!$D$7)/1000000</f>
        <v>0.38638216635397854</v>
      </c>
      <c r="J28" s="274">
        <f t="shared" ca="1" si="1"/>
        <v>19.83659993231247</v>
      </c>
      <c r="K28" s="272"/>
      <c r="L28" s="274">
        <f>((D28*DATA!$D$23)/1000000)+((E28*DATA!$D$24)/1000000)</f>
        <v>16.67952</v>
      </c>
      <c r="M28" s="274">
        <f t="shared" si="2"/>
        <v>16.67952</v>
      </c>
      <c r="N28" s="274">
        <f t="shared" ca="1" si="6"/>
        <v>-3.1570799323124703</v>
      </c>
      <c r="O28" s="273">
        <f>1/(1+'[87]Asumsi I'!$C$3)^(KKF!A28)</f>
        <v>9.2559611679185971E-2</v>
      </c>
      <c r="P28" s="274">
        <f t="shared" ca="1" si="7"/>
        <v>-0.29221809257499298</v>
      </c>
      <c r="Q28" s="274">
        <f t="shared" ca="1" si="9"/>
        <v>-115.04664625480895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15840</v>
      </c>
      <c r="D29" s="274">
        <f t="shared" si="5"/>
        <v>2640</v>
      </c>
      <c r="E29" s="274">
        <f t="shared" si="0"/>
        <v>13200</v>
      </c>
      <c r="F29" s="272"/>
      <c r="G29" s="276">
        <f ca="1">DATA!$D$11/1000000</f>
        <v>2.2776770391149999</v>
      </c>
      <c r="H29" s="276">
        <f>C29*DATA!$D$5/1000000</f>
        <v>17.17254072684349</v>
      </c>
      <c r="I29" s="276">
        <f>(C29*DATA!$D$5*DATA!$D$7)/1000000</f>
        <v>0.38638216635397854</v>
      </c>
      <c r="J29" s="274">
        <f t="shared" ca="1" si="1"/>
        <v>19.83659993231247</v>
      </c>
      <c r="K29" s="272"/>
      <c r="L29" s="274">
        <f>((D29*DATA!$D$23)/1000000)+((E29*DATA!$D$24)/1000000)</f>
        <v>16.67952</v>
      </c>
      <c r="M29" s="274">
        <f t="shared" si="2"/>
        <v>16.67952</v>
      </c>
      <c r="N29" s="274">
        <f t="shared" ca="1" si="6"/>
        <v>-3.1570799323124703</v>
      </c>
      <c r="O29" s="273">
        <f>1/(1+'[87]Asumsi I'!$C$3)^(KKF!A29)</f>
        <v>8.2642510427844609E-2</v>
      </c>
      <c r="P29" s="274">
        <f t="shared" ca="1" si="7"/>
        <v>-0.26090901122767229</v>
      </c>
      <c r="Q29" s="274">
        <f t="shared" ca="1" si="9"/>
        <v>-115.30755526603662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15840</v>
      </c>
      <c r="D30" s="274">
        <f t="shared" si="5"/>
        <v>2640</v>
      </c>
      <c r="E30" s="274">
        <f t="shared" si="0"/>
        <v>13200</v>
      </c>
      <c r="F30" s="272"/>
      <c r="G30" s="276">
        <f ca="1">DATA!$D$11/1000000</f>
        <v>2.2776770391149999</v>
      </c>
      <c r="H30" s="276">
        <f>C30*DATA!$D$5/1000000</f>
        <v>17.17254072684349</v>
      </c>
      <c r="I30" s="276">
        <f>(C30*DATA!$D$5*DATA!$D$7)/1000000</f>
        <v>0.38638216635397854</v>
      </c>
      <c r="J30" s="274">
        <f t="shared" ca="1" si="1"/>
        <v>19.83659993231247</v>
      </c>
      <c r="K30" s="272"/>
      <c r="L30" s="274">
        <f>((D30*DATA!$D$23)/1000000)+((E30*DATA!$D$24)/1000000)</f>
        <v>16.67952</v>
      </c>
      <c r="M30" s="274">
        <f t="shared" si="2"/>
        <v>16.67952</v>
      </c>
      <c r="N30" s="274">
        <f t="shared" ca="1" si="6"/>
        <v>-3.1570799323124703</v>
      </c>
      <c r="O30" s="273">
        <f>1/(1+'[87]Asumsi I'!$C$3)^(KKF!A30)</f>
        <v>7.3787955739146982E-2</v>
      </c>
      <c r="P30" s="274">
        <f t="shared" ca="1" si="7"/>
        <v>-0.23295447431042171</v>
      </c>
      <c r="Q30" s="274">
        <f t="shared" ca="1" si="9"/>
        <v>-115.54050974034703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15840</v>
      </c>
      <c r="D31" s="274">
        <f t="shared" si="5"/>
        <v>2640</v>
      </c>
      <c r="E31" s="274">
        <f t="shared" si="0"/>
        <v>13200</v>
      </c>
      <c r="F31" s="272"/>
      <c r="G31" s="276">
        <f ca="1">DATA!$D$11/1000000</f>
        <v>2.2776770391149999</v>
      </c>
      <c r="H31" s="276">
        <f>C31*DATA!$D$5/1000000</f>
        <v>17.17254072684349</v>
      </c>
      <c r="I31" s="276">
        <f>(C31*DATA!$D$5*DATA!$D$7)/1000000</f>
        <v>0.38638216635397854</v>
      </c>
      <c r="J31" s="274">
        <f t="shared" ca="1" si="1"/>
        <v>19.83659993231247</v>
      </c>
      <c r="K31" s="272"/>
      <c r="L31" s="274">
        <f>((D31*DATA!$D$23)/1000000)+((E31*DATA!$D$24)/1000000)</f>
        <v>16.67952</v>
      </c>
      <c r="M31" s="274">
        <f t="shared" si="2"/>
        <v>16.67952</v>
      </c>
      <c r="N31" s="274">
        <f t="shared" ca="1" si="6"/>
        <v>-3.1570799323124703</v>
      </c>
      <c r="O31" s="273">
        <f>1/(1+'[87]Asumsi I'!$C$3)^(KKF!A31)</f>
        <v>6.5882103338524081E-2</v>
      </c>
      <c r="P31" s="274">
        <f t="shared" ca="1" si="7"/>
        <v>-0.20799506634859077</v>
      </c>
      <c r="Q31" s="274">
        <f ca="1">Q30+P31</f>
        <v>-115.74850480669562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15840</v>
      </c>
      <c r="D32" s="274">
        <f t="shared" si="5"/>
        <v>2640</v>
      </c>
      <c r="E32" s="274">
        <f t="shared" si="0"/>
        <v>13200</v>
      </c>
      <c r="F32" s="272"/>
      <c r="G32" s="276">
        <f ca="1">DATA!$D$11/1000000</f>
        <v>2.2776770391149999</v>
      </c>
      <c r="H32" s="276">
        <f>C32*DATA!$D$5/1000000</f>
        <v>17.17254072684349</v>
      </c>
      <c r="I32" s="276">
        <f>(C32*DATA!$D$5*DATA!$D$7)/1000000</f>
        <v>0.38638216635397854</v>
      </c>
      <c r="J32" s="274">
        <f t="shared" ca="1" si="1"/>
        <v>19.83659993231247</v>
      </c>
      <c r="K32" s="272"/>
      <c r="L32" s="274">
        <f>((D32*DATA!$D$23)/1000000)+((E32*DATA!$D$24)/1000000)</f>
        <v>16.67952</v>
      </c>
      <c r="M32" s="274">
        <f t="shared" si="2"/>
        <v>16.67952</v>
      </c>
      <c r="N32" s="274">
        <f t="shared" ca="1" si="6"/>
        <v>-3.1570799323124703</v>
      </c>
      <c r="O32" s="273">
        <f>1/(1+'[87]Asumsi I'!$C$3)^(KKF!A32)</f>
        <v>5.8823306552253637E-2</v>
      </c>
      <c r="P32" s="274">
        <f t="shared" ca="1" si="7"/>
        <v>-0.18570988066838459</v>
      </c>
      <c r="Q32" s="274">
        <f ca="1">Q31+P32</f>
        <v>-115.934214687364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81" t="s">
        <v>1373</v>
      </c>
      <c r="G33" s="581"/>
      <c r="H33" s="581"/>
      <c r="I33" s="282"/>
      <c r="J33" s="283">
        <f ca="1">SUM(J7:J32)</f>
        <v>623.78247589814168</v>
      </c>
      <c r="K33" s="581" t="s">
        <v>1374</v>
      </c>
      <c r="L33" s="581"/>
      <c r="M33" s="283">
        <f>SUM(M7:M32)</f>
        <v>453.68268000000023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-40.501818240842177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0.72730911420166722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-103.51269168514641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70"/>
  <sheetViews>
    <sheetView showGridLines="0" tabSelected="1" zoomScale="85" zoomScaleNormal="85" zoomScaleSheetLayoutView="70" workbookViewId="0">
      <pane ySplit="13" topLeftCell="A35" activePane="bottomLeft" state="frozen"/>
      <selection activeCell="H1093" sqref="H1093"/>
      <selection pane="bottomLeft" activeCell="N50" sqref="N49:N50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604" t="s">
        <v>1035</v>
      </c>
      <c r="P3" s="604"/>
      <c r="Q3" s="304"/>
      <c r="T3" s="302"/>
      <c r="U3" s="303" t="s">
        <v>1040</v>
      </c>
      <c r="V3" s="302"/>
    </row>
    <row r="4" spans="1:22" ht="15.75" customHeight="1">
      <c r="B4" s="605" t="s">
        <v>1022</v>
      </c>
      <c r="C4" s="605"/>
      <c r="D4" s="605"/>
      <c r="E4" s="605"/>
      <c r="F4" s="605"/>
      <c r="G4" s="605"/>
      <c r="H4" s="605"/>
      <c r="I4" s="605"/>
      <c r="J4" s="605"/>
      <c r="K4" s="605"/>
      <c r="O4" s="604"/>
      <c r="P4" s="604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588" t="str">
        <f>DATA!D14</f>
        <v>EDHI WIDARTO</v>
      </c>
      <c r="H6" s="588"/>
      <c r="I6" s="588"/>
      <c r="J6" s="588"/>
      <c r="K6" s="588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JL DMK KUDUS DS BOLO DEMAK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07" t="s">
        <v>0</v>
      </c>
      <c r="C11" s="609" t="s">
        <v>1</v>
      </c>
      <c r="D11" s="598" t="s">
        <v>42</v>
      </c>
      <c r="E11" s="598" t="s">
        <v>43</v>
      </c>
      <c r="F11" s="598" t="s">
        <v>2</v>
      </c>
      <c r="G11" s="612" t="s">
        <v>41</v>
      </c>
      <c r="H11" s="598" t="s">
        <v>3</v>
      </c>
      <c r="I11" s="598"/>
      <c r="J11" s="598"/>
      <c r="K11" s="599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08"/>
      <c r="C12" s="610"/>
      <c r="D12" s="602"/>
      <c r="E12" s="602"/>
      <c r="F12" s="602"/>
      <c r="G12" s="613"/>
      <c r="H12" s="600" t="s">
        <v>46</v>
      </c>
      <c r="I12" s="600" t="s">
        <v>5</v>
      </c>
      <c r="J12" s="602" t="s">
        <v>47</v>
      </c>
      <c r="K12" s="603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08"/>
      <c r="C13" s="611"/>
      <c r="D13" s="602"/>
      <c r="E13" s="602"/>
      <c r="F13" s="602"/>
      <c r="G13" s="614"/>
      <c r="H13" s="601"/>
      <c r="I13" s="601"/>
      <c r="J13" s="602"/>
      <c r="K13" s="603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1611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3"/>
      <c r="C15" s="109"/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:H16" ca="1" si="4">IF(OR(D15="MDU",D15="MDU-KD"),(IF($O$3="RAB NON MDU","PLN KD",G15*F15)),0)</f>
        <v>0</v>
      </c>
      <c r="I15" s="317">
        <f t="shared" ref="I15:I16" ca="1" si="5">IF(D15="HDW",G15*F15,0)</f>
        <v>0</v>
      </c>
      <c r="J15" s="317">
        <f t="shared" ref="J15:J16" ca="1" si="6">IF(D15="JASA",G15*F15,0)</f>
        <v>0</v>
      </c>
      <c r="K15" s="318">
        <f t="shared" ref="K15:K16" ca="1" si="7">SUM(H15:J15)</f>
        <v>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4" customFormat="1">
      <c r="A16" s="294" t="e">
        <f>IF(AND(C16=0,#REF!=0,#REF!=0),"BLANKS",1)</f>
        <v>#REF!</v>
      </c>
      <c r="B16" s="437" t="s">
        <v>1610</v>
      </c>
      <c r="C16" s="438" t="s">
        <v>1608</v>
      </c>
      <c r="D16" s="314" t="str">
        <f ca="1">IF(ISERROR(OFFSET('HARGA SATUAN'!$D$6,MATCH(RAB!C16,'HARGA SATUAN'!$C$7:$C$1492,0),0)),"",OFFSET('HARGA SATUAN'!$D$6,MATCH(RAB!C16,'HARGA SATUAN'!$C$7:$C$1492,0),0))</f>
        <v/>
      </c>
      <c r="E16" s="315" t="str">
        <f ca="1">IF(B16="+","Unit",IF(ISERROR(OFFSET('HARGA SATUAN'!$E$6,MATCH(RAB!C16,'HARGA SATUAN'!$C$7:$C$1492,0),0)),"",OFFSET('HARGA SATUAN'!$E$6,MATCH(RAB!C16,'HARGA SATUAN'!$C$7:$C$1492,0),0)))</f>
        <v/>
      </c>
      <c r="F16" s="322"/>
      <c r="G16" s="316">
        <f ca="1">IF(ISERROR(OFFSET('HARGA SATUAN'!$I$6,MATCH(RAB!C16,'HARGA SATUAN'!$C$7:$C$1492,0),0)),0,OFFSET('HARGA SATUAN'!$I$6,MATCH(RAB!C16,'HARGA SATUAN'!$C$7:$C$1492,0),0))</f>
        <v>0</v>
      </c>
      <c r="H16" s="317">
        <f t="shared" ca="1" si="4"/>
        <v>0</v>
      </c>
      <c r="I16" s="317">
        <f t="shared" ca="1" si="5"/>
        <v>0</v>
      </c>
      <c r="J16" s="317">
        <f t="shared" ca="1" si="6"/>
        <v>0</v>
      </c>
      <c r="K16" s="318">
        <f t="shared" ca="1" si="7"/>
        <v>0</v>
      </c>
      <c r="L16" s="323"/>
      <c r="M16" s="323"/>
      <c r="N16" s="323"/>
      <c r="O16" s="319"/>
      <c r="P16" s="319"/>
      <c r="Q16" s="302"/>
      <c r="R16" s="294"/>
      <c r="S16" s="320"/>
      <c r="T16" s="299"/>
      <c r="U16" s="299"/>
      <c r="V16" s="299"/>
    </row>
    <row r="17" spans="1:22" s="324" customFormat="1">
      <c r="A17" s="294"/>
      <c r="B17" s="437"/>
      <c r="C17" s="438"/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ref="H17:H25" ca="1" si="8">IF(OR(D17="MDU",D17="MDU-KD"),(IF($O$3="RAB NON MDU","PLN KD",G17*F17)),0)</f>
        <v>0</v>
      </c>
      <c r="I17" s="317">
        <f t="shared" ref="I17:I25" ca="1" si="9">IF(D17="HDW",G17*F17,0)</f>
        <v>0</v>
      </c>
      <c r="J17" s="317">
        <f t="shared" ref="J17:J25" ca="1" si="10">IF(D17="JASA",G17*F17,0)</f>
        <v>0</v>
      </c>
      <c r="K17" s="318">
        <f t="shared" ref="K17:K25" ca="1" si="11">SUM(H17:J17)</f>
        <v>0</v>
      </c>
      <c r="L17" s="323"/>
      <c r="M17" s="323"/>
      <c r="N17" s="323"/>
      <c r="O17" s="319"/>
      <c r="P17" s="319"/>
      <c r="Q17" s="302"/>
      <c r="R17" s="294"/>
      <c r="S17" s="320"/>
      <c r="T17" s="299"/>
      <c r="U17" s="299"/>
      <c r="V17" s="299"/>
    </row>
    <row r="18" spans="1:22" s="324" customFormat="1">
      <c r="A18" s="294"/>
      <c r="B18" s="437">
        <v>1</v>
      </c>
      <c r="C18" s="109" t="s">
        <v>1456</v>
      </c>
      <c r="D18" s="314" t="str">
        <f ca="1">IF(ISERROR(OFFSET('HARGA SATUAN'!$D$6,MATCH(RAB!C18,'HARGA SATUAN'!$C$7:$C$1492,0),0)),"",OFFSET('HARGA SATUAN'!$D$6,MATCH(RAB!C18,'HARGA SATUAN'!$C$7:$C$1492,0),0))</f>
        <v>MDU-KD</v>
      </c>
      <c r="E18" s="315" t="str">
        <f ca="1">IF(B18="+","Unit",IF(ISERROR(OFFSET('HARGA SATUAN'!$E$6,MATCH(RAB!C18,'HARGA SATUAN'!$C$7:$C$1492,0),0)),"",OFFSET('HARGA SATUAN'!$E$6,MATCH(RAB!C18,'HARGA SATUAN'!$C$7:$C$1492,0),0)))</f>
        <v>Bh</v>
      </c>
      <c r="F18" s="322">
        <v>1</v>
      </c>
      <c r="G18" s="316">
        <f ca="1">IF(ISERROR(OFFSET('HARGA SATUAN'!$I$6,MATCH(RAB!C18,'HARGA SATUAN'!$C$7:$C$1492,0),0)),0,OFFSET('HARGA SATUAN'!$I$6,MATCH(RAB!C18,'HARGA SATUAN'!$C$7:$C$1492,0),0))</f>
        <v>63057400</v>
      </c>
      <c r="H18" s="317">
        <f t="shared" ca="1" si="8"/>
        <v>63057400</v>
      </c>
      <c r="I18" s="317">
        <f t="shared" ca="1" si="9"/>
        <v>0</v>
      </c>
      <c r="J18" s="317">
        <f t="shared" ca="1" si="10"/>
        <v>0</v>
      </c>
      <c r="K18" s="318">
        <f t="shared" ca="1" si="11"/>
        <v>63057400</v>
      </c>
      <c r="L18" s="323"/>
      <c r="M18" s="323"/>
      <c r="N18" s="323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/>
      <c r="B19" s="437">
        <v>2</v>
      </c>
      <c r="C19" s="109" t="s">
        <v>786</v>
      </c>
      <c r="D19" s="314" t="str">
        <f ca="1">IF(ISERROR(OFFSET('HARGA SATUAN'!$D$6,MATCH(RAB!C19,'HARGA SATUAN'!$C$7:$C$1492,0),0)),"",OFFSET('HARGA SATUAN'!$D$6,MATCH(RAB!C19,'HARGA SATUAN'!$C$7:$C$1492,0),0))</f>
        <v>JASA</v>
      </c>
      <c r="E19" s="315" t="str">
        <f ca="1">IF(B19="+","Unit",IF(ISERROR(OFFSET('HARGA SATUAN'!$E$6,MATCH(RAB!C19,'HARGA SATUAN'!$C$7:$C$1492,0),0)),"",OFFSET('HARGA SATUAN'!$E$6,MATCH(RAB!C19,'HARGA SATUAN'!$C$7:$C$1492,0),0)))</f>
        <v>Unit</v>
      </c>
      <c r="F19" s="322">
        <v>1</v>
      </c>
      <c r="G19" s="316">
        <f ca="1">IF(ISERROR(OFFSET('HARGA SATUAN'!$I$6,MATCH(RAB!C19,'HARGA SATUAN'!$C$7:$C$1492,0),0)),0,OFFSET('HARGA SATUAN'!$I$6,MATCH(RAB!C19,'HARGA SATUAN'!$C$7:$C$1492,0),0))</f>
        <v>3784400</v>
      </c>
      <c r="H19" s="317">
        <f t="shared" ca="1" si="8"/>
        <v>0</v>
      </c>
      <c r="I19" s="317">
        <f t="shared" ca="1" si="9"/>
        <v>0</v>
      </c>
      <c r="J19" s="317">
        <f t="shared" ca="1" si="10"/>
        <v>3784400</v>
      </c>
      <c r="K19" s="318">
        <f t="shared" ca="1" si="11"/>
        <v>3784400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37">
        <v>3</v>
      </c>
      <c r="C20" s="109" t="s">
        <v>1600</v>
      </c>
      <c r="D20" s="314" t="str">
        <f ca="1">IF(ISERROR(OFFSET('HARGA SATUAN'!$D$6,MATCH(RAB!C20,'HARGA SATUAN'!$C$7:$C$1492,0),0)),"",OFFSET('HARGA SATUAN'!$D$6,MATCH(RAB!C20,'HARGA SATUAN'!$C$7:$C$1492,0),0))</f>
        <v>JASA</v>
      </c>
      <c r="E20" s="315" t="str">
        <f ca="1">IF(B20="+","Unit",IF(ISERROR(OFFSET('HARGA SATUAN'!$E$6,MATCH(RAB!C20,'HARGA SATUAN'!$C$7:$C$1492,0),0)),"",OFFSET('HARGA SATUAN'!$E$6,MATCH(RAB!C20,'HARGA SATUAN'!$C$7:$C$1492,0),0)))</f>
        <v>Unit</v>
      </c>
      <c r="F20" s="322">
        <v>1</v>
      </c>
      <c r="G20" s="316">
        <f ca="1">IF(ISERROR(OFFSET('HARGA SATUAN'!$I$6,MATCH(RAB!C20,'HARGA SATUAN'!$C$7:$C$1492,0),0)),0,OFFSET('HARGA SATUAN'!$I$6,MATCH(RAB!C20,'HARGA SATUAN'!$C$7:$C$1492,0),0))</f>
        <v>4127900</v>
      </c>
      <c r="H20" s="317">
        <f t="shared" ca="1" si="8"/>
        <v>0</v>
      </c>
      <c r="I20" s="317">
        <f t="shared" ca="1" si="9"/>
        <v>0</v>
      </c>
      <c r="J20" s="317">
        <f t="shared" ca="1" si="10"/>
        <v>4127900</v>
      </c>
      <c r="K20" s="318">
        <f t="shared" ca="1" si="11"/>
        <v>4127900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37"/>
      <c r="C21" s="438"/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322"/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ca="1" si="8"/>
        <v>0</v>
      </c>
      <c r="I21" s="317">
        <f t="shared" ca="1" si="9"/>
        <v>0</v>
      </c>
      <c r="J21" s="317">
        <f t="shared" ca="1" si="10"/>
        <v>0</v>
      </c>
      <c r="K21" s="318">
        <f t="shared" ca="1" si="11"/>
        <v>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37" t="s">
        <v>1617</v>
      </c>
      <c r="C22" s="438" t="s">
        <v>1612</v>
      </c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/>
      </c>
      <c r="F22" s="322"/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ca="1" si="8"/>
        <v>0</v>
      </c>
      <c r="I22" s="317">
        <f t="shared" ca="1" si="9"/>
        <v>0</v>
      </c>
      <c r="J22" s="317">
        <f t="shared" ca="1" si="10"/>
        <v>0</v>
      </c>
      <c r="K22" s="318">
        <f t="shared" ca="1" si="11"/>
        <v>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37"/>
      <c r="C23" s="438"/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/>
      </c>
      <c r="F23" s="322"/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8"/>
        <v>0</v>
      </c>
      <c r="I23" s="317">
        <f t="shared" ca="1" si="9"/>
        <v>0</v>
      </c>
      <c r="J23" s="317">
        <f t="shared" ca="1" si="10"/>
        <v>0</v>
      </c>
      <c r="K23" s="318">
        <f t="shared" ca="1" si="11"/>
        <v>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37" t="s">
        <v>1618</v>
      </c>
      <c r="C24" s="438" t="s">
        <v>1609</v>
      </c>
      <c r="D24" s="314" t="str">
        <f ca="1">IF(ISERROR(OFFSET('HARGA SATUAN'!$D$6,MATCH(RAB!C24,'HARGA SATUAN'!$C$7:$C$1492,0),0)),"",OFFSET('HARGA SATUAN'!$D$6,MATCH(RAB!C24,'HARGA SATUAN'!$C$7:$C$1492,0),0))</f>
        <v/>
      </c>
      <c r="E24" s="315" t="str">
        <f ca="1">IF(B24="+","Unit",IF(ISERROR(OFFSET('HARGA SATUAN'!$E$6,MATCH(RAB!C24,'HARGA SATUAN'!$C$7:$C$1492,0),0)),"",OFFSET('HARGA SATUAN'!$E$6,MATCH(RAB!C24,'HARGA SATUAN'!$C$7:$C$1492,0),0)))</f>
        <v/>
      </c>
      <c r="F24" s="322"/>
      <c r="G24" s="316">
        <f ca="1">IF(ISERROR(OFFSET('HARGA SATUAN'!$I$6,MATCH(RAB!C24,'HARGA SATUAN'!$C$7:$C$1492,0),0)),0,OFFSET('HARGA SATUAN'!$I$6,MATCH(RAB!C24,'HARGA SATUAN'!$C$7:$C$1492,0),0))</f>
        <v>0</v>
      </c>
      <c r="H24" s="317">
        <f t="shared" ca="1" si="8"/>
        <v>0</v>
      </c>
      <c r="I24" s="317">
        <f t="shared" ca="1" si="9"/>
        <v>0</v>
      </c>
      <c r="J24" s="317">
        <f t="shared" ca="1" si="10"/>
        <v>0</v>
      </c>
      <c r="K24" s="318">
        <f t="shared" ca="1" si="11"/>
        <v>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39"/>
      <c r="C25" s="440"/>
      <c r="D25" s="314" t="str">
        <f ca="1">IF(ISERROR(OFFSET('HARGA SATUAN'!$D$6,MATCH(RAB!C25,'HARGA SATUAN'!$C$7:$C$1492,0),0)),"",OFFSET('HARGA SATUAN'!$D$6,MATCH(RAB!C25,'HARGA SATUAN'!$C$7:$C$1492,0),0))</f>
        <v/>
      </c>
      <c r="E25" s="315" t="str">
        <f ca="1">IF(B25="+","Unit",IF(ISERROR(OFFSET('HARGA SATUAN'!$E$6,MATCH(RAB!C25,'HARGA SATUAN'!$C$7:$C$1492,0),0)),"",OFFSET('HARGA SATUAN'!$E$6,MATCH(RAB!C25,'HARGA SATUAN'!$C$7:$C$1492,0),0)))</f>
        <v/>
      </c>
      <c r="F25" s="322"/>
      <c r="G25" s="316">
        <f ca="1">IF(ISERROR(OFFSET('HARGA SATUAN'!$I$6,MATCH(RAB!C25,'HARGA SATUAN'!$C$7:$C$1492,0),0)),0,OFFSET('HARGA SATUAN'!$I$6,MATCH(RAB!C25,'HARGA SATUAN'!$C$7:$C$1492,0),0))</f>
        <v>0</v>
      </c>
      <c r="H25" s="317">
        <f t="shared" ca="1" si="8"/>
        <v>0</v>
      </c>
      <c r="I25" s="317">
        <f t="shared" ca="1" si="9"/>
        <v>0</v>
      </c>
      <c r="J25" s="317">
        <f t="shared" ca="1" si="10"/>
        <v>0</v>
      </c>
      <c r="K25" s="318">
        <f t="shared" ca="1" si="11"/>
        <v>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35" t="s">
        <v>1034</v>
      </c>
      <c r="C26" s="436" t="s">
        <v>1621</v>
      </c>
      <c r="D26" s="314" t="str">
        <f ca="1">IF(ISERROR(OFFSET('HARGA SATUAN'!$D$6,MATCH(RAB!C26,'HARGA SATUAN'!$C$7:$C$1492,0),0)),"",OFFSET('HARGA SATUAN'!$D$6,MATCH(RAB!C26,'HARGA SATUAN'!$C$7:$C$1492,0),0))</f>
        <v/>
      </c>
      <c r="E26" s="315" t="str">
        <f ca="1">IF(B26="+","Unit",IF(ISERROR(OFFSET('HARGA SATUAN'!$E$6,MATCH(RAB!C26,'HARGA SATUAN'!$C$7:$C$1492,0),0)),"",OFFSET('HARGA SATUAN'!$E$6,MATCH(RAB!C26,'HARGA SATUAN'!$C$7:$C$1492,0),0)))</f>
        <v>Unit</v>
      </c>
      <c r="F26" s="487">
        <v>1</v>
      </c>
      <c r="G26" s="316">
        <f ca="1">IF(ISERROR(OFFSET('HARGA SATUAN'!$I$6,MATCH(RAB!C26,'HARGA SATUAN'!$C$7:$C$1492,0),0)),0,OFFSET('HARGA SATUAN'!$I$6,MATCH(RAB!C26,'HARGA SATUAN'!$C$7:$C$1492,0),0))</f>
        <v>0</v>
      </c>
      <c r="H26" s="317">
        <f t="shared" ref="H26:H32" ca="1" si="12">IF(OR(D26="MDU",D26="MDU-KD"),(IF($O$3="RAB NON MDU","PLN KD",G26*F26)),0)</f>
        <v>0</v>
      </c>
      <c r="I26" s="317">
        <f t="shared" ref="I26:I32" ca="1" si="13">IF(D26="HDW",G26*F26,0)</f>
        <v>0</v>
      </c>
      <c r="J26" s="317">
        <f t="shared" ref="J26:J32" ca="1" si="14">IF(D26="JASA",G26*F26,0)</f>
        <v>0</v>
      </c>
      <c r="K26" s="318">
        <f t="shared" ref="K26:K32" ca="1" si="15">SUM(H26:J26)</f>
        <v>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 ht="30">
      <c r="A27" s="294"/>
      <c r="B27" s="690">
        <v>1</v>
      </c>
      <c r="C27" s="109" t="s">
        <v>1195</v>
      </c>
      <c r="D27" s="314" t="str">
        <f ca="1">IF(ISERROR(OFFSET('HARGA SATUAN'!$D$6,MATCH(RAB!C27,'HARGA SATUAN'!$C$7:$C$1492,0),0)),"",OFFSET('HARGA SATUAN'!$D$6,MATCH(RAB!C27,'HARGA SATUAN'!$C$7:$C$1492,0),0))</f>
        <v>MDU-KD</v>
      </c>
      <c r="E27" s="315" t="str">
        <f ca="1">IF(B27="+","Unit",IF(ISERROR(OFFSET('HARGA SATUAN'!$E$6,MATCH(RAB!C27,'HARGA SATUAN'!$C$7:$C$1492,0),0)),"",OFFSET('HARGA SATUAN'!$E$6,MATCH(RAB!C27,'HARGA SATUAN'!$C$7:$C$1492,0),0)))</f>
        <v>Bh</v>
      </c>
      <c r="F27" s="487">
        <f>F26*1</f>
        <v>1</v>
      </c>
      <c r="G27" s="316">
        <f ca="1">IF(ISERROR(OFFSET('HARGA SATUAN'!$I$6,MATCH(RAB!C27,'HARGA SATUAN'!$C$7:$C$1492,0),0)),0,OFFSET('HARGA SATUAN'!$I$6,MATCH(RAB!C27,'HARGA SATUAN'!$C$7:$C$1492,0),0))</f>
        <v>1504200</v>
      </c>
      <c r="H27" s="317">
        <f t="shared" ca="1" si="12"/>
        <v>1504200</v>
      </c>
      <c r="I27" s="317">
        <f t="shared" ca="1" si="13"/>
        <v>0</v>
      </c>
      <c r="J27" s="317">
        <f t="shared" ca="1" si="14"/>
        <v>0</v>
      </c>
      <c r="K27" s="318">
        <f t="shared" ca="1" si="15"/>
        <v>1504200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690">
        <v>2</v>
      </c>
      <c r="C28" s="691" t="s">
        <v>521</v>
      </c>
      <c r="D28" s="314" t="str">
        <f ca="1">IF(ISERROR(OFFSET('HARGA SATUAN'!$D$6,MATCH(RAB!C28,'HARGA SATUAN'!$C$7:$C$1492,0),0)),"",OFFSET('HARGA SATUAN'!$D$6,MATCH(RAB!C28,'HARGA SATUAN'!$C$7:$C$1492,0),0))</f>
        <v>MDU-KD</v>
      </c>
      <c r="E28" s="315" t="str">
        <f ca="1">IF(B28="+","Unit",IF(ISERROR(OFFSET('HARGA SATUAN'!$E$6,MATCH(RAB!C28,'HARGA SATUAN'!$C$7:$C$1492,0),0)),"",OFFSET('HARGA SATUAN'!$E$6,MATCH(RAB!C28,'HARGA SATUAN'!$C$7:$C$1492,0),0)))</f>
        <v>Unit</v>
      </c>
      <c r="F28" s="487">
        <f>F26*1</f>
        <v>1</v>
      </c>
      <c r="G28" s="316">
        <f ca="1">IF(ISERROR(OFFSET('HARGA SATUAN'!$I$6,MATCH(RAB!C28,'HARGA SATUAN'!$C$7:$C$1492,0),0)),0,OFFSET('HARGA SATUAN'!$I$6,MATCH(RAB!C28,'HARGA SATUAN'!$C$7:$C$1492,0),0))</f>
        <v>15727300</v>
      </c>
      <c r="H28" s="317">
        <f t="shared" ca="1" si="12"/>
        <v>15727300</v>
      </c>
      <c r="I28" s="317">
        <f t="shared" ca="1" si="13"/>
        <v>0</v>
      </c>
      <c r="J28" s="317">
        <f t="shared" ca="1" si="14"/>
        <v>0</v>
      </c>
      <c r="K28" s="318">
        <f t="shared" ca="1" si="15"/>
        <v>15727300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690">
        <v>3</v>
      </c>
      <c r="C29" s="691" t="s">
        <v>1141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Unit</v>
      </c>
      <c r="F29" s="487">
        <f>F26*1</f>
        <v>1</v>
      </c>
      <c r="G29" s="316">
        <f ca="1">IF(ISERROR(OFFSET('HARGA SATUAN'!$I$6,MATCH(RAB!C29,'HARGA SATUAN'!$C$7:$C$1492,0),0)),0,OFFSET('HARGA SATUAN'!$I$6,MATCH(RAB!C29,'HARGA SATUAN'!$C$7:$C$1492,0),0))</f>
        <v>1113900</v>
      </c>
      <c r="H29" s="317">
        <f t="shared" ca="1" si="12"/>
        <v>0</v>
      </c>
      <c r="I29" s="317">
        <f t="shared" ca="1" si="13"/>
        <v>1113900</v>
      </c>
      <c r="J29" s="317">
        <f t="shared" ca="1" si="14"/>
        <v>0</v>
      </c>
      <c r="K29" s="318">
        <f t="shared" ca="1" si="15"/>
        <v>1113900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690">
        <v>4</v>
      </c>
      <c r="C30" s="109" t="s">
        <v>82</v>
      </c>
      <c r="D30" s="314" t="str">
        <f ca="1">IF(ISERROR(OFFSET('HARGA SATUAN'!$D$6,MATCH(RAB!C30,'HARGA SATUAN'!$C$7:$C$1492,0),0)),"",OFFSET('HARGA SATUAN'!$D$6,MATCH(RAB!C30,'HARGA SATUAN'!$C$7:$C$1492,0),0))</f>
        <v>MDU-KD</v>
      </c>
      <c r="E30" s="315" t="str">
        <f ca="1">IF(B30="+","Unit",IF(ISERROR(OFFSET('HARGA SATUAN'!$E$6,MATCH(RAB!C30,'HARGA SATUAN'!$C$7:$C$1492,0),0)),"",OFFSET('HARGA SATUAN'!$E$6,MATCH(RAB!C30,'HARGA SATUAN'!$C$7:$C$1492,0),0)))</f>
        <v>Mtr</v>
      </c>
      <c r="F30" s="487">
        <v>44</v>
      </c>
      <c r="G30" s="316">
        <f ca="1">IF(ISERROR(OFFSET('HARGA SATUAN'!$I$6,MATCH(RAB!C30,'HARGA SATUAN'!$C$7:$C$1492,0),0)),0,OFFSET('HARGA SATUAN'!$I$6,MATCH(RAB!C30,'HARGA SATUAN'!$C$7:$C$1492,0),0))</f>
        <v>218600</v>
      </c>
      <c r="H30" s="317">
        <f t="shared" ca="1" si="12"/>
        <v>9618400</v>
      </c>
      <c r="I30" s="317">
        <f t="shared" ca="1" si="13"/>
        <v>0</v>
      </c>
      <c r="J30" s="317">
        <f t="shared" ca="1" si="14"/>
        <v>0</v>
      </c>
      <c r="K30" s="318">
        <f t="shared" ca="1" si="15"/>
        <v>9618400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690">
        <v>5</v>
      </c>
      <c r="C31" s="691" t="s">
        <v>798</v>
      </c>
      <c r="D31" s="314" t="str">
        <f ca="1">IF(ISERROR(OFFSET('HARGA SATUAN'!$D$6,MATCH(RAB!C31,'HARGA SATUAN'!$C$7:$C$1492,0),0)),"",OFFSET('HARGA SATUAN'!$D$6,MATCH(RAB!C31,'HARGA SATUAN'!$C$7:$C$1492,0),0))</f>
        <v>JASA</v>
      </c>
      <c r="E31" s="315" t="str">
        <f ca="1">IF(B31="+","Unit",IF(ISERROR(OFFSET('HARGA SATUAN'!$E$6,MATCH(RAB!C31,'HARGA SATUAN'!$C$7:$C$1492,0),0)),"",OFFSET('HARGA SATUAN'!$E$6,MATCH(RAB!C31,'HARGA SATUAN'!$C$7:$C$1492,0),0)))</f>
        <v>Unit</v>
      </c>
      <c r="F31" s="486">
        <f>F26*1</f>
        <v>1</v>
      </c>
      <c r="G31" s="316">
        <f ca="1">IF(ISERROR(OFFSET('HARGA SATUAN'!$I$6,MATCH(RAB!C31,'HARGA SATUAN'!$C$7:$C$1492,0),0)),0,OFFSET('HARGA SATUAN'!$I$6,MATCH(RAB!C31,'HARGA SATUAN'!$C$7:$C$1492,0),0))</f>
        <v>106400</v>
      </c>
      <c r="H31" s="317">
        <f t="shared" ca="1" si="12"/>
        <v>0</v>
      </c>
      <c r="I31" s="317">
        <f t="shared" ca="1" si="13"/>
        <v>0</v>
      </c>
      <c r="J31" s="317">
        <f t="shared" ca="1" si="14"/>
        <v>106400</v>
      </c>
      <c r="K31" s="318">
        <f t="shared" ca="1" si="15"/>
        <v>106400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39">
        <v>6</v>
      </c>
      <c r="C32" s="442" t="s">
        <v>981</v>
      </c>
      <c r="D32" s="314" t="str">
        <f ca="1">IF(ISERROR(OFFSET('HARGA SATUAN'!$D$6,MATCH(RAB!C32,'HARGA SATUAN'!$C$7:$C$1492,0),0)),"",OFFSET('HARGA SATUAN'!$D$6,MATCH(RAB!C32,'HARGA SATUAN'!$C$7:$C$1492,0),0))</f>
        <v>JASA</v>
      </c>
      <c r="E32" s="315" t="str">
        <f ca="1">IF(B32="+","Unit",IF(ISERROR(OFFSET('HARGA SATUAN'!$E$6,MATCH(RAB!C32,'HARGA SATUAN'!$C$7:$C$1492,0),0)),"",OFFSET('HARGA SATUAN'!$E$6,MATCH(RAB!C32,'HARGA SATUAN'!$C$7:$C$1492,0),0)))</f>
        <v>Unit</v>
      </c>
      <c r="F32" s="434">
        <v>1</v>
      </c>
      <c r="G32" s="316">
        <f ca="1">IF(ISERROR(OFFSET('HARGA SATUAN'!$I$6,MATCH(RAB!C32,'HARGA SATUAN'!$C$7:$C$1492,0),0)),0,OFFSET('HARGA SATUAN'!$I$6,MATCH(RAB!C32,'HARGA SATUAN'!$C$7:$C$1492,0),0))</f>
        <v>63840</v>
      </c>
      <c r="H32" s="317">
        <f t="shared" ca="1" si="12"/>
        <v>0</v>
      </c>
      <c r="I32" s="317">
        <f t="shared" ca="1" si="13"/>
        <v>0</v>
      </c>
      <c r="J32" s="317">
        <f t="shared" ca="1" si="14"/>
        <v>63840</v>
      </c>
      <c r="K32" s="318">
        <f t="shared" ca="1" si="15"/>
        <v>63840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35"/>
      <c r="C33" s="436"/>
      <c r="D33" s="314" t="str">
        <f ca="1">IF(ISERROR(OFFSET('HARGA SATUAN'!$D$6,MATCH(RAB!C33,'HARGA SATUAN'!$C$7:$C$1492,0),0)),"",OFFSET('HARGA SATUAN'!$D$6,MATCH(RAB!C33,'HARGA SATUAN'!$C$7:$C$1492,0),0))</f>
        <v/>
      </c>
      <c r="E33" s="315" t="str">
        <f ca="1">IF(B33="+","Unit",IF(ISERROR(OFFSET('HARGA SATUAN'!$E$6,MATCH(RAB!C33,'HARGA SATUAN'!$C$7:$C$1492,0),0)),"",OFFSET('HARGA SATUAN'!$E$6,MATCH(RAB!C33,'HARGA SATUAN'!$C$7:$C$1492,0),0)))</f>
        <v/>
      </c>
      <c r="F33" s="441"/>
      <c r="G33" s="316">
        <f ca="1">IF(ISERROR(OFFSET('HARGA SATUAN'!$I$6,MATCH(RAB!C33,'HARGA SATUAN'!$C$7:$C$1492,0),0)),0,OFFSET('HARGA SATUAN'!$I$6,MATCH(RAB!C33,'HARGA SATUAN'!$C$7:$C$1492,0),0))</f>
        <v>0</v>
      </c>
      <c r="H33" s="317">
        <f t="shared" ref="H33:H49" ca="1" si="16">IF(OR(D33="MDU",D33="MDU-KD"),(IF($O$3="RAB NON MDU","PLN KD",G33*F33)),0)</f>
        <v>0</v>
      </c>
      <c r="I33" s="317">
        <f t="shared" ref="I33:I49" ca="1" si="17">IF(D33="HDW",G33*F33,0)</f>
        <v>0</v>
      </c>
      <c r="J33" s="317">
        <f t="shared" ref="J33:J49" ca="1" si="18">IF(D33="JASA",G33*F33,0)</f>
        <v>0</v>
      </c>
      <c r="K33" s="318">
        <f t="shared" ref="K33:K49" ca="1" si="19">SUM(H33:J33)</f>
        <v>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35" t="s">
        <v>504</v>
      </c>
      <c r="C34" s="436" t="s">
        <v>1622</v>
      </c>
      <c r="D34" s="314" t="str">
        <f ca="1">IF(ISERROR(OFFSET('HARGA SATUAN'!$D$6,MATCH(RAB!C34,'HARGA SATUAN'!$C$7:$C$1492,0),0)),"",OFFSET('HARGA SATUAN'!$D$6,MATCH(RAB!C34,'HARGA SATUAN'!$C$7:$C$1492,0),0))</f>
        <v/>
      </c>
      <c r="E34" s="315" t="str">
        <f ca="1">IF(B34="+","Unit",IF(ISERROR(OFFSET('HARGA SATUAN'!$E$6,MATCH(RAB!C34,'HARGA SATUAN'!$C$7:$C$1492,0),0)),"",OFFSET('HARGA SATUAN'!$E$6,MATCH(RAB!C34,'HARGA SATUAN'!$C$7:$C$1492,0),0)))</f>
        <v/>
      </c>
      <c r="F34" s="441"/>
      <c r="G34" s="316">
        <f ca="1">IF(ISERROR(OFFSET('HARGA SATUAN'!$I$6,MATCH(RAB!C34,'HARGA SATUAN'!$C$7:$C$1492,0),0)),0,OFFSET('HARGA SATUAN'!$I$6,MATCH(RAB!C34,'HARGA SATUAN'!$C$7:$C$1492,0),0))</f>
        <v>0</v>
      </c>
      <c r="H34" s="317">
        <f t="shared" ca="1" si="16"/>
        <v>0</v>
      </c>
      <c r="I34" s="317">
        <f t="shared" ca="1" si="17"/>
        <v>0</v>
      </c>
      <c r="J34" s="317">
        <f t="shared" ca="1" si="18"/>
        <v>0</v>
      </c>
      <c r="K34" s="318">
        <f t="shared" ca="1" si="19"/>
        <v>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690" t="s">
        <v>1034</v>
      </c>
      <c r="C35" s="691" t="s">
        <v>1623</v>
      </c>
      <c r="D35" s="314" t="str">
        <f ca="1">IF(ISERROR(OFFSET('HARGA SATUAN'!$D$6,MATCH(RAB!C35,'HARGA SATUAN'!$C$7:$C$1492,0),0)),"",OFFSET('HARGA SATUAN'!$D$6,MATCH(RAB!C35,'HARGA SATUAN'!$C$7:$C$1492,0),0))</f>
        <v/>
      </c>
      <c r="E35" s="315" t="str">
        <f ca="1">IF(B35="+","Unit",IF(ISERROR(OFFSET('HARGA SATUAN'!$E$6,MATCH(RAB!C35,'HARGA SATUAN'!$C$7:$C$1492,0),0)),"",OFFSET('HARGA SATUAN'!$E$6,MATCH(RAB!C35,'HARGA SATUAN'!$C$7:$C$1492,0),0)))</f>
        <v>Unit</v>
      </c>
      <c r="F35" s="693">
        <v>1</v>
      </c>
      <c r="G35" s="316">
        <f ca="1">IF(ISERROR(OFFSET('HARGA SATUAN'!$I$6,MATCH(RAB!C35,'HARGA SATUAN'!$C$7:$C$1492,0),0)),0,OFFSET('HARGA SATUAN'!$I$6,MATCH(RAB!C35,'HARGA SATUAN'!$C$7:$C$1492,0),0))</f>
        <v>0</v>
      </c>
      <c r="H35" s="317">
        <f t="shared" ca="1" si="16"/>
        <v>0</v>
      </c>
      <c r="I35" s="317">
        <f t="shared" ca="1" si="17"/>
        <v>0</v>
      </c>
      <c r="J35" s="317">
        <f t="shared" ca="1" si="18"/>
        <v>0</v>
      </c>
      <c r="K35" s="318">
        <f t="shared" ca="1" si="19"/>
        <v>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690">
        <v>1</v>
      </c>
      <c r="C36" s="691" t="s">
        <v>163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693">
        <f>F35*4</f>
        <v>4</v>
      </c>
      <c r="G36" s="316">
        <f ca="1">IF(ISERROR(OFFSET('HARGA SATUAN'!$I$6,MATCH(RAB!C36,'HARGA SATUAN'!$C$7:$C$1492,0),0)),0,OFFSET('HARGA SATUAN'!$I$6,MATCH(RAB!C36,'HARGA SATUAN'!$C$7:$C$1492,0),0))</f>
        <v>7938</v>
      </c>
      <c r="H36" s="317">
        <f t="shared" ca="1" si="16"/>
        <v>0</v>
      </c>
      <c r="I36" s="317">
        <f t="shared" ca="1" si="17"/>
        <v>31752</v>
      </c>
      <c r="J36" s="317">
        <f t="shared" ca="1" si="18"/>
        <v>0</v>
      </c>
      <c r="K36" s="318">
        <f t="shared" ca="1" si="19"/>
        <v>31752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690">
        <v>2</v>
      </c>
      <c r="C37" s="691" t="s">
        <v>592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Bh</v>
      </c>
      <c r="F37" s="693">
        <f>F35*1</f>
        <v>1</v>
      </c>
      <c r="G37" s="316">
        <f ca="1">IF(ISERROR(OFFSET('HARGA SATUAN'!$I$6,MATCH(RAB!C37,'HARGA SATUAN'!$C$7:$C$1492,0),0)),0,OFFSET('HARGA SATUAN'!$I$6,MATCH(RAB!C37,'HARGA SATUAN'!$C$7:$C$1492,0),0))</f>
        <v>380500</v>
      </c>
      <c r="H37" s="317">
        <f t="shared" ca="1" si="16"/>
        <v>0</v>
      </c>
      <c r="I37" s="317">
        <f t="shared" ca="1" si="17"/>
        <v>380500</v>
      </c>
      <c r="J37" s="317">
        <f t="shared" ca="1" si="18"/>
        <v>0</v>
      </c>
      <c r="K37" s="318">
        <f t="shared" ca="1" si="19"/>
        <v>380500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690">
        <v>3</v>
      </c>
      <c r="C38" s="691" t="s">
        <v>248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693">
        <f>F35*2</f>
        <v>2</v>
      </c>
      <c r="G38" s="316">
        <f ca="1">IF(ISERROR(OFFSET('HARGA SATUAN'!$I$6,MATCH(RAB!C38,'HARGA SATUAN'!$C$7:$C$1492,0),0)),0,OFFSET('HARGA SATUAN'!$I$6,MATCH(RAB!C38,'HARGA SATUAN'!$C$7:$C$1492,0),0))</f>
        <v>60300</v>
      </c>
      <c r="H38" s="317">
        <f t="shared" ca="1" si="16"/>
        <v>0</v>
      </c>
      <c r="I38" s="317">
        <f t="shared" ca="1" si="17"/>
        <v>120600</v>
      </c>
      <c r="J38" s="317">
        <f t="shared" ca="1" si="18"/>
        <v>0</v>
      </c>
      <c r="K38" s="318">
        <f t="shared" ca="1" si="19"/>
        <v>120600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690">
        <v>4</v>
      </c>
      <c r="C39" s="692" t="s">
        <v>594</v>
      </c>
      <c r="D39" s="314" t="str">
        <f ca="1">IF(ISERROR(OFFSET('HARGA SATUAN'!$D$6,MATCH(RAB!C39,'HARGA SATUAN'!$C$7:$C$1492,0),0)),"",OFFSET('HARGA SATUAN'!$D$6,MATCH(RAB!C39,'HARGA SATUAN'!$C$7:$C$1492,0),0))</f>
        <v>HDW</v>
      </c>
      <c r="E39" s="315" t="str">
        <f ca="1">IF(B39="+","Unit",IF(ISERROR(OFFSET('HARGA SATUAN'!$E$6,MATCH(RAB!C39,'HARGA SATUAN'!$C$7:$C$1492,0),0)),"",OFFSET('HARGA SATUAN'!$E$6,MATCH(RAB!C39,'HARGA SATUAN'!$C$7:$C$1492,0),0)))</f>
        <v>Bh</v>
      </c>
      <c r="F39" s="434">
        <f>F35*1</f>
        <v>1</v>
      </c>
      <c r="G39" s="316">
        <f ca="1">IF(ISERROR(OFFSET('HARGA SATUAN'!$I$6,MATCH(RAB!C39,'HARGA SATUAN'!$C$7:$C$1492,0),0)),0,OFFSET('HARGA SATUAN'!$I$6,MATCH(RAB!C39,'HARGA SATUAN'!$C$7:$C$1492,0),0))</f>
        <v>78500</v>
      </c>
      <c r="H39" s="317">
        <f t="shared" ca="1" si="16"/>
        <v>0</v>
      </c>
      <c r="I39" s="317">
        <f t="shared" ca="1" si="17"/>
        <v>78500</v>
      </c>
      <c r="J39" s="317">
        <f t="shared" ca="1" si="18"/>
        <v>0</v>
      </c>
      <c r="K39" s="318">
        <f t="shared" ca="1" si="19"/>
        <v>78500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690">
        <v>5</v>
      </c>
      <c r="C40" s="692" t="s">
        <v>229</v>
      </c>
      <c r="D40" s="314" t="str">
        <f ca="1">IF(ISERROR(OFFSET('HARGA SATUAN'!$D$6,MATCH(RAB!C40,'HARGA SATUAN'!$C$7:$C$1492,0),0)),"",OFFSET('HARGA SATUAN'!$D$6,MATCH(RAB!C40,'HARGA SATUAN'!$C$7:$C$1492,0),0))</f>
        <v>HDW</v>
      </c>
      <c r="E40" s="315" t="str">
        <f ca="1">IF(B40="+","Unit",IF(ISERROR(OFFSET('HARGA SATUAN'!$E$6,MATCH(RAB!C40,'HARGA SATUAN'!$C$7:$C$1492,0),0)),"",OFFSET('HARGA SATUAN'!$E$6,MATCH(RAB!C40,'HARGA SATUAN'!$C$7:$C$1492,0),0)))</f>
        <v>Bh</v>
      </c>
      <c r="F40" s="434">
        <f>F35*1</f>
        <v>1</v>
      </c>
      <c r="G40" s="316">
        <f ca="1">IF(ISERROR(OFFSET('HARGA SATUAN'!$I$6,MATCH(RAB!C40,'HARGA SATUAN'!$C$7:$C$1492,0),0)),0,OFFSET('HARGA SATUAN'!$I$6,MATCH(RAB!C40,'HARGA SATUAN'!$C$7:$C$1492,0),0))</f>
        <v>4212</v>
      </c>
      <c r="H40" s="317">
        <f t="shared" ca="1" si="16"/>
        <v>0</v>
      </c>
      <c r="I40" s="317">
        <f t="shared" ca="1" si="17"/>
        <v>4212</v>
      </c>
      <c r="J40" s="317">
        <f t="shared" ca="1" si="18"/>
        <v>0</v>
      </c>
      <c r="K40" s="318">
        <f t="shared" ca="1" si="19"/>
        <v>4212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690">
        <v>6</v>
      </c>
      <c r="C41" s="692" t="s">
        <v>266</v>
      </c>
      <c r="D41" s="314" t="str">
        <f ca="1">IF(ISERROR(OFFSET('HARGA SATUAN'!$D$6,MATCH(RAB!C41,'HARGA SATUAN'!$C$7:$C$1492,0),0)),"",OFFSET('HARGA SATUAN'!$D$6,MATCH(RAB!C41,'HARGA SATUAN'!$C$7:$C$1492,0),0))</f>
        <v>HDW</v>
      </c>
      <c r="E41" s="315" t="str">
        <f ca="1">IF(B41="+","Unit",IF(ISERROR(OFFSET('HARGA SATUAN'!$E$6,MATCH(RAB!C41,'HARGA SATUAN'!$C$7:$C$1492,0),0)),"",OFFSET('HARGA SATUAN'!$E$6,MATCH(RAB!C41,'HARGA SATUAN'!$C$7:$C$1492,0),0)))</f>
        <v>Mtr</v>
      </c>
      <c r="F41" s="434">
        <f>F35*1</f>
        <v>1</v>
      </c>
      <c r="G41" s="316">
        <f ca="1">IF(ISERROR(OFFSET('HARGA SATUAN'!$I$6,MATCH(RAB!C41,'HARGA SATUAN'!$C$7:$C$1492,0),0)),0,OFFSET('HARGA SATUAN'!$I$6,MATCH(RAB!C41,'HARGA SATUAN'!$C$7:$C$1492,0),0))</f>
        <v>23310</v>
      </c>
      <c r="H41" s="317">
        <f t="shared" ca="1" si="16"/>
        <v>0</v>
      </c>
      <c r="I41" s="317">
        <f t="shared" ca="1" si="17"/>
        <v>23310</v>
      </c>
      <c r="J41" s="317">
        <f t="shared" ca="1" si="18"/>
        <v>0</v>
      </c>
      <c r="K41" s="318">
        <f t="shared" ca="1" si="19"/>
        <v>23310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39"/>
      <c r="C42" s="440"/>
      <c r="D42" s="314" t="str">
        <f ca="1">IF(ISERROR(OFFSET('HARGA SATUAN'!$D$6,MATCH(RAB!C42,'HARGA SATUAN'!$C$7:$C$1492,0),0)),"",OFFSET('HARGA SATUAN'!$D$6,MATCH(RAB!C42,'HARGA SATUAN'!$C$7:$C$1492,0),0))</f>
        <v/>
      </c>
      <c r="E42" s="315" t="str">
        <f ca="1">IF(B42="+","Unit",IF(ISERROR(OFFSET('HARGA SATUAN'!$E$6,MATCH(RAB!C42,'HARGA SATUAN'!$C$7:$C$1492,0),0)),"",OFFSET('HARGA SATUAN'!$E$6,MATCH(RAB!C42,'HARGA SATUAN'!$C$7:$C$1492,0),0)))</f>
        <v/>
      </c>
      <c r="F42" s="434"/>
      <c r="G42" s="316">
        <f ca="1">IF(ISERROR(OFFSET('HARGA SATUAN'!$I$6,MATCH(RAB!C42,'HARGA SATUAN'!$C$7:$C$1492,0),0)),0,OFFSET('HARGA SATUAN'!$I$6,MATCH(RAB!C42,'HARGA SATUAN'!$C$7:$C$1492,0),0))</f>
        <v>0</v>
      </c>
      <c r="H42" s="317">
        <f t="shared" ca="1" si="16"/>
        <v>0</v>
      </c>
      <c r="I42" s="317">
        <f t="shared" ca="1" si="17"/>
        <v>0</v>
      </c>
      <c r="J42" s="317">
        <f t="shared" ca="1" si="18"/>
        <v>0</v>
      </c>
      <c r="K42" s="318">
        <f t="shared" ca="1" si="19"/>
        <v>0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39" t="s">
        <v>1034</v>
      </c>
      <c r="C43" s="440" t="s">
        <v>1607</v>
      </c>
      <c r="D43" s="314" t="str">
        <f ca="1">IF(ISERROR(OFFSET('HARGA SATUAN'!$D$6,MATCH(RAB!C43,'HARGA SATUAN'!$C$7:$C$1492,0),0)),"",OFFSET('HARGA SATUAN'!$D$6,MATCH(RAB!C43,'HARGA SATUAN'!$C$7:$C$1492,0),0))</f>
        <v/>
      </c>
      <c r="E43" s="315" t="str">
        <f ca="1">IF(B43="+","Unit",IF(ISERROR(OFFSET('HARGA SATUAN'!$E$6,MATCH(RAB!C43,'HARGA SATUAN'!$C$7:$C$1492,0),0)),"",OFFSET('HARGA SATUAN'!$E$6,MATCH(RAB!C43,'HARGA SATUAN'!$C$7:$C$1492,0),0)))</f>
        <v>Unit</v>
      </c>
      <c r="F43" s="434">
        <v>1</v>
      </c>
      <c r="G43" s="316">
        <f ca="1">IF(ISERROR(OFFSET('HARGA SATUAN'!$I$6,MATCH(RAB!C43,'HARGA SATUAN'!$C$7:$C$1492,0),0)),0,OFFSET('HARGA SATUAN'!$I$6,MATCH(RAB!C43,'HARGA SATUAN'!$C$7:$C$1492,0),0))</f>
        <v>0</v>
      </c>
      <c r="H43" s="317">
        <f t="shared" ca="1" si="16"/>
        <v>0</v>
      </c>
      <c r="I43" s="317">
        <f t="shared" ca="1" si="17"/>
        <v>0</v>
      </c>
      <c r="J43" s="317">
        <f t="shared" ca="1" si="18"/>
        <v>0</v>
      </c>
      <c r="K43" s="318">
        <f t="shared" ca="1" si="19"/>
        <v>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39">
        <v>1</v>
      </c>
      <c r="C44" s="440" t="s">
        <v>29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434">
        <f>F43*1</f>
        <v>1</v>
      </c>
      <c r="G44" s="316">
        <f ca="1">IF(ISERROR(OFFSET('HARGA SATUAN'!$I$6,MATCH(RAB!C44,'HARGA SATUAN'!$C$7:$C$1492,0),0)),0,OFFSET('HARGA SATUAN'!$I$6,MATCH(RAB!C44,'HARGA SATUAN'!$C$7:$C$1492,0),0))</f>
        <v>185200</v>
      </c>
      <c r="H44" s="317">
        <f t="shared" ca="1" si="16"/>
        <v>0</v>
      </c>
      <c r="I44" s="317">
        <f t="shared" ca="1" si="17"/>
        <v>185200</v>
      </c>
      <c r="J44" s="317">
        <f t="shared" ca="1" si="18"/>
        <v>0</v>
      </c>
      <c r="K44" s="318">
        <f t="shared" ca="1" si="19"/>
        <v>185200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39">
        <v>2</v>
      </c>
      <c r="C45" s="440" t="s">
        <v>30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Bh</v>
      </c>
      <c r="F45" s="434">
        <f>F43*1</f>
        <v>1</v>
      </c>
      <c r="G45" s="316">
        <f ca="1">IF(ISERROR(OFFSET('HARGA SATUAN'!$I$6,MATCH(RAB!C45,'HARGA SATUAN'!$C$7:$C$1492,0),0)),0,OFFSET('HARGA SATUAN'!$I$6,MATCH(RAB!C45,'HARGA SATUAN'!$C$7:$C$1492,0),0))</f>
        <v>47459</v>
      </c>
      <c r="H45" s="317">
        <f t="shared" ca="1" si="16"/>
        <v>0</v>
      </c>
      <c r="I45" s="317">
        <f t="shared" ca="1" si="17"/>
        <v>47459</v>
      </c>
      <c r="J45" s="317">
        <f t="shared" ca="1" si="18"/>
        <v>0</v>
      </c>
      <c r="K45" s="318">
        <f t="shared" ca="1" si="19"/>
        <v>47459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439">
        <v>3</v>
      </c>
      <c r="C46" s="440" t="s">
        <v>32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Mtr</v>
      </c>
      <c r="F46" s="434">
        <f>F43*1.5</f>
        <v>1.5</v>
      </c>
      <c r="G46" s="316">
        <f ca="1">IF(ISERROR(OFFSET('HARGA SATUAN'!$I$6,MATCH(RAB!C46,'HARGA SATUAN'!$C$7:$C$1492,0),0)),0,OFFSET('HARGA SATUAN'!$I$6,MATCH(RAB!C46,'HARGA SATUAN'!$C$7:$C$1492,0),0))</f>
        <v>30000</v>
      </c>
      <c r="H46" s="317">
        <f t="shared" ca="1" si="16"/>
        <v>0</v>
      </c>
      <c r="I46" s="317">
        <f t="shared" ca="1" si="17"/>
        <v>45000</v>
      </c>
      <c r="J46" s="317">
        <f t="shared" ca="1" si="18"/>
        <v>0</v>
      </c>
      <c r="K46" s="318">
        <f t="shared" ca="1" si="19"/>
        <v>45000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439">
        <v>4</v>
      </c>
      <c r="C47" s="440" t="s">
        <v>33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Bh</v>
      </c>
      <c r="F47" s="434">
        <f>F43*2</f>
        <v>2</v>
      </c>
      <c r="G47" s="316">
        <f ca="1">IF(ISERROR(OFFSET('HARGA SATUAN'!$I$6,MATCH(RAB!C47,'HARGA SATUAN'!$C$7:$C$1492,0),0)),0,OFFSET('HARGA SATUAN'!$I$6,MATCH(RAB!C47,'HARGA SATUAN'!$C$7:$C$1492,0),0))</f>
        <v>9500</v>
      </c>
      <c r="H47" s="317">
        <f t="shared" ca="1" si="16"/>
        <v>0</v>
      </c>
      <c r="I47" s="317">
        <f t="shared" ca="1" si="17"/>
        <v>19000</v>
      </c>
      <c r="J47" s="317">
        <f t="shared" ca="1" si="18"/>
        <v>0</v>
      </c>
      <c r="K47" s="318">
        <f t="shared" ca="1" si="19"/>
        <v>19000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439">
        <v>5</v>
      </c>
      <c r="C48" s="440" t="s">
        <v>734</v>
      </c>
      <c r="D48" s="314" t="str">
        <f ca="1">IF(ISERROR(OFFSET('HARGA SATUAN'!$D$6,MATCH(RAB!C48,'HARGA SATUAN'!$C$7:$C$1492,0),0)),"",OFFSET('HARGA SATUAN'!$D$6,MATCH(RAB!C48,'HARGA SATUAN'!$C$7:$C$1492,0),0))</f>
        <v>JASA</v>
      </c>
      <c r="E48" s="315" t="str">
        <f ca="1">IF(B48="+","Unit",IF(ISERROR(OFFSET('HARGA SATUAN'!$E$6,MATCH(RAB!C48,'HARGA SATUAN'!$C$7:$C$1492,0),0)),"",OFFSET('HARGA SATUAN'!$E$6,MATCH(RAB!C48,'HARGA SATUAN'!$C$7:$C$1492,0),0)))</f>
        <v>Unit</v>
      </c>
      <c r="F48" s="434">
        <f>F43*1</f>
        <v>1</v>
      </c>
      <c r="G48" s="316">
        <f ca="1">IF(ISERROR(OFFSET('HARGA SATUAN'!$I$6,MATCH(RAB!C48,'HARGA SATUAN'!$C$7:$C$1492,0),0)),0,OFFSET('HARGA SATUAN'!$I$6,MATCH(RAB!C48,'HARGA SATUAN'!$C$7:$C$1492,0),0))</f>
        <v>56400</v>
      </c>
      <c r="H48" s="317">
        <f t="shared" ca="1" si="16"/>
        <v>0</v>
      </c>
      <c r="I48" s="317">
        <f t="shared" ca="1" si="17"/>
        <v>0</v>
      </c>
      <c r="J48" s="317">
        <f t="shared" ca="1" si="18"/>
        <v>56400</v>
      </c>
      <c r="K48" s="318">
        <f t="shared" ca="1" si="19"/>
        <v>56400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1:22" s="324" customFormat="1">
      <c r="A49" s="294"/>
      <c r="B49" s="439"/>
      <c r="C49" s="440"/>
      <c r="D49" s="314" t="str">
        <f ca="1">IF(ISERROR(OFFSET('HARGA SATUAN'!$D$6,MATCH(RAB!C49,'HARGA SATUAN'!$C$7:$C$1492,0),0)),"",OFFSET('HARGA SATUAN'!$D$6,MATCH(RAB!C49,'HARGA SATUAN'!$C$7:$C$1492,0),0))</f>
        <v/>
      </c>
      <c r="E49" s="315" t="str">
        <f ca="1">IF(B49="+","Unit",IF(ISERROR(OFFSET('HARGA SATUAN'!$E$6,MATCH(RAB!C49,'HARGA SATUAN'!$C$7:$C$1492,0),0)),"",OFFSET('HARGA SATUAN'!$E$6,MATCH(RAB!C49,'HARGA SATUAN'!$C$7:$C$1492,0),0)))</f>
        <v/>
      </c>
      <c r="F49" s="434"/>
      <c r="G49" s="316">
        <f ca="1">IF(ISERROR(OFFSET('HARGA SATUAN'!$I$6,MATCH(RAB!C49,'HARGA SATUAN'!$C$7:$C$1492,0),0)),0,OFFSET('HARGA SATUAN'!$I$6,MATCH(RAB!C49,'HARGA SATUAN'!$C$7:$C$1492,0),0))</f>
        <v>0</v>
      </c>
      <c r="H49" s="317">
        <f t="shared" ca="1" si="16"/>
        <v>0</v>
      </c>
      <c r="I49" s="317">
        <f t="shared" ca="1" si="17"/>
        <v>0</v>
      </c>
      <c r="J49" s="317">
        <f t="shared" ca="1" si="18"/>
        <v>0</v>
      </c>
      <c r="K49" s="318">
        <f t="shared" ca="1" si="19"/>
        <v>0</v>
      </c>
      <c r="L49" s="323"/>
      <c r="M49" s="323"/>
      <c r="N49" s="323"/>
      <c r="O49" s="319"/>
      <c r="P49" s="319"/>
      <c r="Q49" s="302"/>
      <c r="R49" s="294"/>
      <c r="S49" s="320"/>
      <c r="T49" s="299"/>
      <c r="U49" s="299"/>
      <c r="V49" s="299"/>
    </row>
    <row r="50" spans="1:22">
      <c r="B50" s="326">
        <v>1</v>
      </c>
      <c r="C50" s="327" t="s">
        <v>1090</v>
      </c>
      <c r="D50" s="328" t="str">
        <f ca="1">IF(ISERROR(OFFSET('HARGA SATUAN'!$D$6,MATCH(RAB!C50,'HARGA SATUAN'!$C$7:$C$1492,0),0)),"",OFFSET('HARGA SATUAN'!$D$6,MATCH(RAB!C50,'HARGA SATUAN'!$C$7:$C$1492,0),0))</f>
        <v>JASA</v>
      </c>
      <c r="E50" s="329" t="str">
        <f ca="1">IF(ISERROR(OFFSET('HARGA SATUAN'!$E$6,MATCH(RAB!C50,'HARGA SATUAN'!$C$7:$C$1492,0),0)),"",OFFSET('HARGA SATUAN'!$E$6,MATCH(RAB!C50,'HARGA SATUAN'!$C$7:$C$1492,0),0))</f>
        <v>Lot</v>
      </c>
      <c r="F50" s="330">
        <v>1</v>
      </c>
      <c r="G50" s="331">
        <f ca="1">IF(ISERROR(OFFSET('HARGA SATUAN'!$I$6,MATCH(RAB!C50,'HARGA SATUAN'!$C$7:$C$1492,0),0)),0,OFFSET('HARGA SATUAN'!$I$6,MATCH(RAB!C50,'HARGA SATUAN'!$C$7:$C$1492,0),0))</f>
        <v>2.5000000000000001E-2</v>
      </c>
      <c r="H50" s="332">
        <f ca="1">(SUM(H15:H49))*2.5%</f>
        <v>2247682.5</v>
      </c>
      <c r="I50" s="332">
        <f ca="1">(SUM(I15:I49))*2.5%</f>
        <v>51235.825000000004</v>
      </c>
      <c r="J50" s="332">
        <f ca="1">(SUM(J15:J49))*2.5%</f>
        <v>203473.5</v>
      </c>
      <c r="K50" s="332">
        <f ca="1">(SUM(K15:K49))*2.5%</f>
        <v>2502391.8250000002</v>
      </c>
    </row>
    <row r="51" spans="1:22">
      <c r="B51" s="333"/>
      <c r="C51" s="334"/>
      <c r="D51" s="314" t="str">
        <f ca="1">IF(ISERROR(OFFSET('HARGA SATUAN'!$D$6,MATCH(RAB!C51,'HARGA SATUAN'!$C$7:$C$1492,0),0)),"",OFFSET('HARGA SATUAN'!$D$6,MATCH(RAB!C51,'HARGA SATUAN'!$C$7:$C$1492,0),0))</f>
        <v/>
      </c>
      <c r="E51" s="315" t="str">
        <f ca="1">IF(ISERROR(OFFSET('HARGA SATUAN'!$E$6,MATCH(RAB!C51,'HARGA SATUAN'!$C$7:$C$1492,0),0)),"",OFFSET('HARGA SATUAN'!$E$6,MATCH(RAB!C51,'HARGA SATUAN'!$C$7:$C$1492,0),0))</f>
        <v/>
      </c>
      <c r="F51" s="325"/>
      <c r="G51" s="316" t="str">
        <f ca="1">IF(ISERROR(OFFSET('HARGA SATUAN'!$I$6,MATCH(RAB!C51,'HARGA SATUAN'!$C$7:$C$1492,0),0)),"",OFFSET('HARGA SATUAN'!$I$6,MATCH(RAB!C51,'HARGA SATUAN'!$C$7:$C$1492,0),0))</f>
        <v/>
      </c>
      <c r="H51" s="317">
        <f ca="1">IF(OR(D51="MDU",D51="MDU-KD"),IF(G51="PLN",0,G51*F51),0)</f>
        <v>0</v>
      </c>
      <c r="I51" s="317">
        <f ca="1">IF(D51="HDW",IF(G51="PLN",0,G51*F51),0)</f>
        <v>0</v>
      </c>
      <c r="J51" s="317">
        <f ca="1">IF(D51="JASA",IF(G51="PLN",0,G51*F51),0)</f>
        <v>0</v>
      </c>
      <c r="K51" s="318">
        <f ca="1">SUM(H51:J51)</f>
        <v>0</v>
      </c>
    </row>
    <row r="52" spans="1:22" ht="15.75" thickBot="1">
      <c r="B52" s="335"/>
      <c r="C52" s="336"/>
      <c r="D52" s="337"/>
      <c r="E52" s="338"/>
      <c r="F52" s="338"/>
      <c r="G52" s="338"/>
      <c r="H52" s="339"/>
      <c r="I52" s="339"/>
      <c r="J52" s="339"/>
      <c r="K52" s="340"/>
    </row>
    <row r="53" spans="1:22">
      <c r="B53" s="341"/>
      <c r="C53" s="606" t="s">
        <v>1007</v>
      </c>
      <c r="D53" s="606"/>
      <c r="E53" s="606"/>
      <c r="F53" s="606"/>
      <c r="G53" s="342" t="s">
        <v>9</v>
      </c>
      <c r="H53" s="343">
        <f ca="1">SUM(H15:H51)</f>
        <v>92154982.5</v>
      </c>
      <c r="I53" s="343">
        <f ca="1">SUM(I15:I51)</f>
        <v>2100668.8250000002</v>
      </c>
      <c r="J53" s="343">
        <f ca="1">SUM(J15:J51)</f>
        <v>8342413.5</v>
      </c>
      <c r="K53" s="343">
        <f ca="1">SUM(K15:K51)</f>
        <v>102598064.825</v>
      </c>
    </row>
    <row r="54" spans="1:22">
      <c r="B54" s="344"/>
      <c r="C54" s="589" t="s">
        <v>1455</v>
      </c>
      <c r="D54" s="589"/>
      <c r="E54" s="589"/>
      <c r="F54" s="589"/>
      <c r="G54" s="345" t="s">
        <v>9</v>
      </c>
      <c r="H54" s="346">
        <f ca="1">H53*0.11</f>
        <v>10137048.074999999</v>
      </c>
      <c r="I54" s="346">
        <f ca="1">I53*0.11</f>
        <v>231073.57075000001</v>
      </c>
      <c r="J54" s="346">
        <f ca="1">J53*0.11</f>
        <v>917665.48499999999</v>
      </c>
      <c r="K54" s="346">
        <f ca="1">K53*0.11</f>
        <v>11285787.13075</v>
      </c>
    </row>
    <row r="55" spans="1:22" ht="15.75" thickBot="1">
      <c r="B55" s="344"/>
      <c r="C55" s="587" t="s">
        <v>463</v>
      </c>
      <c r="D55" s="587"/>
      <c r="E55" s="587"/>
      <c r="F55" s="587"/>
      <c r="G55" s="347" t="s">
        <v>9</v>
      </c>
      <c r="H55" s="348">
        <f ca="1">SUM(H53:H54)</f>
        <v>102292030.575</v>
      </c>
      <c r="I55" s="348">
        <f ca="1">SUM(I53:I54)</f>
        <v>2331742.3957500001</v>
      </c>
      <c r="J55" s="347">
        <f ca="1">SUM(J53:J54)</f>
        <v>9260078.9849999994</v>
      </c>
      <c r="K55" s="347">
        <f ca="1">SUM(K53:K54)</f>
        <v>113883851.95575</v>
      </c>
      <c r="M55" s="426"/>
    </row>
    <row r="56" spans="1:22">
      <c r="B56" s="590" t="str">
        <f ca="1">"Terbilang : "&amp;PROPER(IF(K55=0,"nol",IF(K55&lt;0,"minus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IF(--MID(TEXT(ABS(K55),"000000000000000"),1,3)=0,"",MID(TEXT(ABS(K55),"000000000000000"),1,1)&amp;" ratus "&amp;MID(TEXT(ABS(K55),"000000000000000"),2,1)&amp;" puluh "&amp;MID(TEXT(ABS(K55),"000000000000000"),3,1)&amp;" trilyun ")&amp; IF(--MID(TEXT(ABS(K55),"000000000000000"),4,3)=0,"",MID(TEXT(ABS(K55),"000000000000000"),4,1)&amp;" ratus "&amp;MID(TEXT(ABS(K55),"000000000000000"),5,1)&amp;" puluh "&amp;MID(TEXT(ABS(K55),"000000000000000"),6,1)&amp;" milyar ")&amp; IF(--MID(TEXT(ABS(K55),"000000000000000"),7,3)=0,"",MID(TEXT(ABS(K55),"000000000000000"),7,1)&amp;" ratus "&amp;MID(TEXT(ABS(K55),"000000000000000"),8,1)&amp;" puluh "&amp;MID(TEXT(ABS(K55),"000000000000000"),9,1)&amp;" juta ")&amp; IF(--MID(TEXT(ABS(K55),"000000000000000"),10,3)=0,"",IF(--MID(TEXT(ABS(K55),"000000000000000"),10,3)=1,"*",MID(TEXT(ABS(K55),"000000000000000"),10,1)&amp;" ratus "&amp;MID(TEXT(ABS(K55),"000000000000000"),11,1)&amp;" puluh ")&amp;MID(TEXT(ABS(K55),"000000000000000"),12,1)&amp;" ribu ")&amp; IF(--MID(TEXT(ABS(K55),"000000000000000"),13,3)=0,"",MID(TEXT(ABS(K55),"000000000000000"),13,1)&amp;" ratus "&amp;MID(TEXT(ABS(K55),"000000000000000"),14,1)&amp;" puluh "&amp;MID(TEXT(ABS(K55),"000000000000000"),15,1)),1,"satu"),2,"dua"),3,"tiga"),4,"empat"),5,"lima"),6,"enam"),7,"tujuh"),8,"delapan"),9,"sembilan"),"0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Belas Juta Delapan Ratus Delapan Puluh Tiga Ribu Delapan Ratus Lima Puluh Dua Rupiah</v>
      </c>
      <c r="C56" s="591"/>
      <c r="D56" s="591"/>
      <c r="E56" s="591"/>
      <c r="F56" s="591"/>
      <c r="G56" s="591"/>
      <c r="H56" s="591"/>
      <c r="I56" s="591"/>
      <c r="J56" s="591"/>
      <c r="K56" s="592"/>
    </row>
    <row r="57" spans="1:22">
      <c r="B57" s="593"/>
      <c r="C57" s="594"/>
      <c r="D57" s="594"/>
      <c r="E57" s="594"/>
      <c r="F57" s="594"/>
      <c r="G57" s="594"/>
      <c r="H57" s="594"/>
      <c r="I57" s="594"/>
      <c r="J57" s="594"/>
      <c r="K57" s="595"/>
    </row>
    <row r="58" spans="1:22" ht="15.75" thickBot="1">
      <c r="B58" s="349" t="str">
        <f>"Harga yang dipakai adalah "&amp;'HARGA SATUAN'!I5&amp;""</f>
        <v>Harga yang dipakai adalah RAB HSS 2023</v>
      </c>
      <c r="C58" s="350"/>
      <c r="D58" s="351"/>
      <c r="E58" s="351"/>
      <c r="F58" s="351"/>
      <c r="G58" s="352"/>
      <c r="H58" s="352"/>
      <c r="I58" s="352"/>
      <c r="J58" s="352"/>
      <c r="K58" s="353"/>
    </row>
    <row r="59" spans="1:22">
      <c r="C59" s="354"/>
      <c r="E59" s="356"/>
      <c r="F59" s="356"/>
      <c r="G59" s="356"/>
    </row>
    <row r="60" spans="1:22">
      <c r="C60" s="295"/>
      <c r="E60" s="356"/>
      <c r="F60" s="356"/>
      <c r="G60" s="356"/>
      <c r="H60" s="596"/>
      <c r="I60" s="596"/>
      <c r="J60" s="597"/>
      <c r="K60" s="597"/>
    </row>
    <row r="61" spans="1:22">
      <c r="C61" s="295"/>
      <c r="E61" s="356"/>
      <c r="F61" s="356"/>
      <c r="G61" s="356"/>
      <c r="H61" s="357"/>
      <c r="I61" s="586" t="s">
        <v>1605</v>
      </c>
      <c r="J61" s="586"/>
      <c r="K61" s="586"/>
    </row>
    <row r="62" spans="1:22">
      <c r="C62" s="295"/>
      <c r="E62" s="356"/>
      <c r="F62" s="356"/>
      <c r="G62" s="356"/>
      <c r="H62" s="357"/>
      <c r="I62" s="586" t="s">
        <v>1544</v>
      </c>
      <c r="J62" s="586"/>
      <c r="K62" s="586"/>
    </row>
    <row r="63" spans="1:22">
      <c r="C63" s="295"/>
      <c r="E63" s="356"/>
      <c r="F63" s="356"/>
      <c r="G63" s="356"/>
      <c r="H63" s="358"/>
      <c r="I63" s="359"/>
      <c r="J63" s="359"/>
      <c r="K63" s="359"/>
    </row>
    <row r="64" spans="1:22">
      <c r="C64" s="295"/>
      <c r="E64" s="356"/>
      <c r="F64" s="356"/>
      <c r="G64" s="356"/>
      <c r="H64" s="358"/>
      <c r="I64" s="358"/>
      <c r="J64" s="358"/>
      <c r="K64" s="358"/>
    </row>
    <row r="65" spans="3:11">
      <c r="C65" s="295"/>
      <c r="E65" s="356"/>
      <c r="F65" s="356"/>
      <c r="G65" s="356"/>
      <c r="H65" s="358"/>
      <c r="I65" s="358"/>
      <c r="J65" s="358"/>
      <c r="K65" s="358"/>
    </row>
    <row r="66" spans="3:11">
      <c r="C66" s="295"/>
      <c r="E66" s="356"/>
      <c r="F66" s="356"/>
      <c r="G66" s="356"/>
      <c r="H66" s="358"/>
      <c r="I66" s="358"/>
      <c r="J66" s="358"/>
      <c r="K66" s="358"/>
    </row>
    <row r="67" spans="3:11">
      <c r="C67" s="295"/>
      <c r="E67" s="356"/>
      <c r="F67" s="356"/>
      <c r="G67" s="356"/>
      <c r="H67" s="360"/>
      <c r="I67" s="586" t="s">
        <v>1545</v>
      </c>
      <c r="J67" s="586"/>
      <c r="K67" s="586"/>
    </row>
    <row r="68" spans="3:11">
      <c r="C68" s="354"/>
      <c r="E68" s="356"/>
      <c r="F68" s="356"/>
      <c r="G68" s="356"/>
      <c r="H68" s="358"/>
      <c r="I68" s="358"/>
      <c r="J68" s="358"/>
      <c r="K68" s="358"/>
    </row>
    <row r="69" spans="3:11">
      <c r="C69" s="354"/>
      <c r="E69" s="356"/>
      <c r="F69" s="356"/>
      <c r="G69" s="356"/>
      <c r="H69" s="358"/>
      <c r="I69" s="358"/>
      <c r="J69" s="358"/>
      <c r="K69" s="358"/>
    </row>
    <row r="70" spans="3:11">
      <c r="C70" s="354"/>
      <c r="E70" s="356"/>
      <c r="F70" s="356"/>
      <c r="G70" s="356"/>
      <c r="H70" s="358"/>
      <c r="I70" s="358"/>
      <c r="J70" s="358"/>
      <c r="K70" s="358"/>
    </row>
  </sheetData>
  <sheetProtection sort="0" autoFilter="0"/>
  <protectedRanges>
    <protectedRange sqref="F14:F25" name="Range1_1_2_2"/>
    <protectedRange sqref="B16:C17 B14:C14 B21:C24 B18:B20" name="Range1_1_1_1"/>
    <protectedRange sqref="C15" name="Range1_1_3_4"/>
    <protectedRange sqref="C19:C20" name="Range1_1_3"/>
    <protectedRange sqref="C18" name="Range1_1_3_1"/>
    <protectedRange sqref="C30" name="Range1_1_3_2"/>
  </protectedRanges>
  <mergeCells count="22">
    <mergeCell ref="O3:P4"/>
    <mergeCell ref="B4:K4"/>
    <mergeCell ref="C53:F53"/>
    <mergeCell ref="B11:B13"/>
    <mergeCell ref="C11:C13"/>
    <mergeCell ref="D11:D13"/>
    <mergeCell ref="E11:E13"/>
    <mergeCell ref="F11:F13"/>
    <mergeCell ref="G11:G13"/>
    <mergeCell ref="I12:I13"/>
    <mergeCell ref="I62:K62"/>
    <mergeCell ref="I67:K67"/>
    <mergeCell ref="C55:F55"/>
    <mergeCell ref="G6:K6"/>
    <mergeCell ref="I61:K61"/>
    <mergeCell ref="C54:F54"/>
    <mergeCell ref="B56:K57"/>
    <mergeCell ref="H60:K60"/>
    <mergeCell ref="H11:K11"/>
    <mergeCell ref="H12:H13"/>
    <mergeCell ref="J12:J13"/>
    <mergeCell ref="K12:K13"/>
  </mergeCells>
  <phoneticPr fontId="140" type="noConversion"/>
  <conditionalFormatting sqref="C15">
    <cfRule type="cellIs" dxfId="10" priority="23" operator="equal">
      <formula>0</formula>
    </cfRule>
  </conditionalFormatting>
  <conditionalFormatting sqref="E1:E3 G1:G13 E5:E13 H12:I12 O13 E50:G50 H50:K52 E51:H51 E52:F52 S14:V49 E14:K34 E43:K49 E35:E42 G35:K42">
    <cfRule type="cellIs" dxfId="6" priority="1263" stopIfTrue="1" operator="equal">
      <formula>0</formula>
    </cfRule>
  </conditionalFormatting>
  <conditionalFormatting sqref="G51:G65517 E56:E65517">
    <cfRule type="cellIs" dxfId="5" priority="397" stopIfTrue="1" operator="equal">
      <formula>0</formula>
    </cfRule>
  </conditionalFormatting>
  <conditionalFormatting sqref="C19:C20">
    <cfRule type="cellIs" dxfId="4" priority="5" operator="equal">
      <formula>0</formula>
    </cfRule>
  </conditionalFormatting>
  <conditionalFormatting sqref="C18">
    <cfRule type="cellIs" dxfId="3" priority="4" operator="equal">
      <formula>0</formula>
    </cfRule>
  </conditionalFormatting>
  <conditionalFormatting sqref="C27">
    <cfRule type="cellIs" dxfId="2" priority="3" operator="equal">
      <formula>0</formula>
    </cfRule>
  </conditionalFormatting>
  <conditionalFormatting sqref="C30">
    <cfRule type="cellIs" dxfId="1" priority="2" operator="equal">
      <formula>0</formula>
    </cfRule>
  </conditionalFormatting>
  <conditionalFormatting sqref="F35:F42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52 F32 F39:F4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A3" zoomScaleNormal="100" zoomScaleSheetLayoutView="115" workbookViewId="0">
      <selection activeCell="E7" sqref="E7"/>
    </sheetView>
  </sheetViews>
  <sheetFormatPr defaultRowHeight="12"/>
  <cols>
    <col min="1" max="1" width="1.42578125" style="443" customWidth="1"/>
    <col min="2" max="22" width="5.7109375" style="443" customWidth="1"/>
    <col min="23" max="23" width="6.28515625" style="443" customWidth="1"/>
    <col min="24" max="117" width="5.7109375" style="443" customWidth="1"/>
    <col min="118" max="16384" width="9.140625" style="443"/>
  </cols>
  <sheetData>
    <row r="1" spans="2:29" ht="12.75" thickBot="1"/>
    <row r="2" spans="2:29" ht="12.75" customHeight="1">
      <c r="B2" s="444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617" t="str">
        <f>"PT. PLN (PERSERO) "&amp;'[88]DETAIL USULAN'!D5&amp;""</f>
        <v>PT. PLN (PERSERO) AREA DEMAK</v>
      </c>
      <c r="W2" s="618"/>
      <c r="X2" s="618"/>
      <c r="Y2" s="618"/>
      <c r="Z2" s="618"/>
      <c r="AA2" s="618"/>
      <c r="AB2" s="618"/>
      <c r="AC2" s="619"/>
    </row>
    <row r="3" spans="2:29">
      <c r="B3" s="446"/>
      <c r="V3" s="620"/>
      <c r="W3" s="621"/>
      <c r="X3" s="621"/>
      <c r="Y3" s="621"/>
      <c r="Z3" s="621"/>
      <c r="AA3" s="621"/>
      <c r="AB3" s="621"/>
      <c r="AC3" s="622"/>
    </row>
    <row r="4" spans="2:29">
      <c r="B4" s="446"/>
      <c r="V4" s="447" t="s">
        <v>986</v>
      </c>
      <c r="AC4" s="448"/>
    </row>
    <row r="5" spans="2:29" ht="12.75">
      <c r="B5" s="446"/>
      <c r="E5" s="449" t="s">
        <v>1613</v>
      </c>
      <c r="V5" s="450" t="s">
        <v>990</v>
      </c>
      <c r="W5" s="615" t="s">
        <v>989</v>
      </c>
      <c r="X5" s="615"/>
      <c r="Y5" s="615"/>
      <c r="Z5" s="615" t="s">
        <v>987</v>
      </c>
      <c r="AA5" s="615"/>
      <c r="AB5" s="615" t="s">
        <v>988</v>
      </c>
      <c r="AC5" s="616"/>
    </row>
    <row r="6" spans="2:29">
      <c r="B6" s="446"/>
      <c r="E6" s="452" t="s">
        <v>1620</v>
      </c>
      <c r="V6" s="450">
        <v>1</v>
      </c>
      <c r="W6" s="615" t="s">
        <v>992</v>
      </c>
      <c r="X6" s="615"/>
      <c r="Y6" s="615"/>
      <c r="Z6" s="615"/>
      <c r="AA6" s="615"/>
      <c r="AB6" s="615"/>
      <c r="AC6" s="616"/>
    </row>
    <row r="7" spans="2:29">
      <c r="B7" s="446"/>
      <c r="V7" s="450">
        <v>2</v>
      </c>
      <c r="W7" s="615" t="s">
        <v>993</v>
      </c>
      <c r="X7" s="615"/>
      <c r="Y7" s="615"/>
      <c r="Z7" s="615"/>
      <c r="AA7" s="615"/>
      <c r="AB7" s="615"/>
      <c r="AC7" s="616"/>
    </row>
    <row r="8" spans="2:29">
      <c r="B8" s="446"/>
      <c r="V8" s="450">
        <v>3</v>
      </c>
      <c r="W8" s="615" t="s">
        <v>994</v>
      </c>
      <c r="X8" s="615"/>
      <c r="Y8" s="615"/>
      <c r="Z8" s="615"/>
      <c r="AA8" s="615"/>
      <c r="AB8" s="615"/>
      <c r="AC8" s="616"/>
    </row>
    <row r="9" spans="2:29">
      <c r="B9" s="446"/>
      <c r="V9" s="450">
        <v>4</v>
      </c>
      <c r="W9" s="615" t="s">
        <v>995</v>
      </c>
      <c r="X9" s="615"/>
      <c r="Y9" s="615"/>
      <c r="Z9" s="615"/>
      <c r="AA9" s="615"/>
      <c r="AB9" s="615"/>
      <c r="AC9" s="616"/>
    </row>
    <row r="10" spans="2:29">
      <c r="B10" s="446"/>
      <c r="V10" s="450">
        <v>5</v>
      </c>
      <c r="W10" s="615" t="s">
        <v>996</v>
      </c>
      <c r="X10" s="615"/>
      <c r="Y10" s="615"/>
      <c r="Z10" s="615"/>
      <c r="AA10" s="615"/>
      <c r="AB10" s="615"/>
      <c r="AC10" s="616"/>
    </row>
    <row r="11" spans="2:29">
      <c r="B11" s="446"/>
      <c r="V11" s="450">
        <v>6</v>
      </c>
      <c r="W11" s="615" t="s">
        <v>997</v>
      </c>
      <c r="X11" s="615"/>
      <c r="Y11" s="615"/>
      <c r="Z11" s="615"/>
      <c r="AA11" s="615"/>
      <c r="AB11" s="615"/>
      <c r="AC11" s="616"/>
    </row>
    <row r="12" spans="2:29">
      <c r="B12" s="446"/>
      <c r="V12" s="450">
        <v>7</v>
      </c>
      <c r="W12" s="615" t="s">
        <v>998</v>
      </c>
      <c r="X12" s="615"/>
      <c r="Y12" s="615"/>
      <c r="Z12" s="615"/>
      <c r="AA12" s="615"/>
      <c r="AB12" s="615"/>
      <c r="AC12" s="616"/>
    </row>
    <row r="13" spans="2:29" ht="12.75" customHeight="1">
      <c r="B13" s="446"/>
      <c r="V13" s="450">
        <v>8</v>
      </c>
      <c r="W13" s="615" t="s">
        <v>999</v>
      </c>
      <c r="X13" s="615"/>
      <c r="Y13" s="615"/>
      <c r="Z13" s="615"/>
      <c r="AA13" s="615"/>
      <c r="AB13" s="615"/>
      <c r="AC13" s="616"/>
    </row>
    <row r="14" spans="2:29">
      <c r="B14" s="446"/>
      <c r="V14" s="450">
        <v>9</v>
      </c>
      <c r="W14" s="615" t="s">
        <v>1000</v>
      </c>
      <c r="X14" s="615"/>
      <c r="Y14" s="615"/>
      <c r="Z14" s="615"/>
      <c r="AA14" s="615"/>
      <c r="AB14" s="615"/>
      <c r="AC14" s="616"/>
    </row>
    <row r="15" spans="2:29">
      <c r="B15" s="446"/>
      <c r="V15" s="450">
        <v>10</v>
      </c>
      <c r="W15" s="615" t="s">
        <v>1009</v>
      </c>
      <c r="X15" s="615"/>
      <c r="Y15" s="615"/>
      <c r="Z15" s="615"/>
      <c r="AA15" s="615"/>
      <c r="AB15" s="615"/>
      <c r="AC15" s="616"/>
    </row>
    <row r="16" spans="2:29">
      <c r="B16" s="446"/>
      <c r="V16" s="450">
        <v>11</v>
      </c>
      <c r="W16" s="615" t="s">
        <v>1453</v>
      </c>
      <c r="X16" s="615"/>
      <c r="Y16" s="615"/>
      <c r="Z16" s="615"/>
      <c r="AA16" s="615"/>
      <c r="AB16" s="615"/>
      <c r="AC16" s="616"/>
    </row>
    <row r="17" spans="2:29">
      <c r="B17" s="446"/>
      <c r="V17" s="450">
        <v>12</v>
      </c>
      <c r="W17" s="615" t="s">
        <v>1010</v>
      </c>
      <c r="X17" s="615"/>
      <c r="Y17" s="615"/>
      <c r="Z17" s="615"/>
      <c r="AA17" s="615"/>
      <c r="AB17" s="615"/>
      <c r="AC17" s="616"/>
    </row>
    <row r="18" spans="2:29">
      <c r="B18" s="453"/>
      <c r="C18" s="454"/>
      <c r="D18" s="454"/>
      <c r="V18" s="450">
        <v>13</v>
      </c>
      <c r="W18" s="615"/>
      <c r="X18" s="615"/>
      <c r="Y18" s="615"/>
      <c r="Z18" s="615"/>
      <c r="AA18" s="615"/>
      <c r="AB18" s="615"/>
      <c r="AC18" s="616"/>
    </row>
    <row r="19" spans="2:29">
      <c r="B19" s="446"/>
      <c r="V19" s="455"/>
      <c r="W19" s="623"/>
      <c r="X19" s="623"/>
      <c r="Y19" s="623"/>
      <c r="Z19" s="623"/>
      <c r="AA19" s="623"/>
      <c r="AB19" s="623"/>
      <c r="AC19" s="624"/>
    </row>
    <row r="20" spans="2:29">
      <c r="B20" s="446"/>
      <c r="V20" s="625" t="s">
        <v>991</v>
      </c>
      <c r="W20" s="626"/>
      <c r="X20" s="626"/>
      <c r="Y20" s="626"/>
      <c r="Z20" s="626"/>
      <c r="AA20" s="626"/>
      <c r="AB20" s="626"/>
      <c r="AC20" s="627"/>
    </row>
    <row r="21" spans="2:29">
      <c r="B21" s="446"/>
      <c r="V21" s="628" t="s">
        <v>984</v>
      </c>
      <c r="W21" s="629"/>
      <c r="X21" s="629"/>
      <c r="Y21" s="630"/>
      <c r="Z21" s="631" t="s">
        <v>985</v>
      </c>
      <c r="AA21" s="632"/>
      <c r="AB21" s="632"/>
      <c r="AC21" s="633"/>
    </row>
    <row r="22" spans="2:29">
      <c r="B22" s="446"/>
      <c r="V22" s="638"/>
      <c r="W22" s="639"/>
      <c r="X22" s="456"/>
      <c r="Y22" s="457"/>
      <c r="Z22" s="640"/>
      <c r="AA22" s="641"/>
      <c r="AB22" s="458"/>
      <c r="AC22" s="459"/>
    </row>
    <row r="23" spans="2:29">
      <c r="B23" s="446"/>
      <c r="V23" s="642"/>
      <c r="W23" s="643"/>
      <c r="X23" s="456"/>
      <c r="Y23" s="457"/>
      <c r="Z23" s="636"/>
      <c r="AA23" s="637"/>
      <c r="AB23" s="458"/>
      <c r="AC23" s="459"/>
    </row>
    <row r="24" spans="2:29">
      <c r="B24" s="446"/>
      <c r="V24" s="644"/>
      <c r="W24" s="645"/>
      <c r="X24" s="456"/>
      <c r="Y24" s="457"/>
      <c r="Z24" s="646"/>
      <c r="AA24" s="647"/>
      <c r="AB24" s="458"/>
      <c r="AC24" s="459"/>
    </row>
    <row r="25" spans="2:29">
      <c r="B25" s="446"/>
      <c r="V25" s="634"/>
      <c r="W25" s="635"/>
      <c r="X25" s="456"/>
      <c r="Y25" s="457"/>
      <c r="Z25" s="636"/>
      <c r="AA25" s="637"/>
      <c r="AB25" s="458"/>
      <c r="AC25" s="459"/>
    </row>
    <row r="26" spans="2:29">
      <c r="B26" s="446"/>
      <c r="V26" s="634"/>
      <c r="W26" s="635"/>
      <c r="X26" s="456"/>
      <c r="Y26" s="457"/>
      <c r="Z26" s="636"/>
      <c r="AA26" s="637"/>
      <c r="AB26" s="458"/>
      <c r="AC26" s="459"/>
    </row>
    <row r="27" spans="2:29">
      <c r="B27" s="446"/>
      <c r="V27" s="634"/>
      <c r="W27" s="635"/>
      <c r="X27" s="456"/>
      <c r="Y27" s="457"/>
      <c r="Z27" s="636"/>
      <c r="AA27" s="637"/>
      <c r="AB27" s="458"/>
      <c r="AC27" s="459"/>
    </row>
    <row r="28" spans="2:29">
      <c r="B28" s="446"/>
      <c r="V28" s="650"/>
      <c r="W28" s="651"/>
      <c r="X28" s="456"/>
      <c r="Y28" s="457"/>
      <c r="Z28" s="636"/>
      <c r="AA28" s="637"/>
      <c r="AB28" s="458"/>
      <c r="AC28" s="459"/>
    </row>
    <row r="29" spans="2:29">
      <c r="B29" s="446"/>
      <c r="V29" s="634"/>
      <c r="W29" s="635"/>
      <c r="X29" s="456"/>
      <c r="Y29" s="457"/>
      <c r="Z29" s="636"/>
      <c r="AA29" s="637"/>
      <c r="AB29" s="458"/>
      <c r="AC29" s="459"/>
    </row>
    <row r="30" spans="2:29">
      <c r="B30" s="446"/>
      <c r="V30" s="634"/>
      <c r="W30" s="635"/>
      <c r="X30" s="456"/>
      <c r="Y30" s="457"/>
      <c r="Z30" s="636"/>
      <c r="AA30" s="637"/>
      <c r="AB30" s="458"/>
      <c r="AC30" s="459"/>
    </row>
    <row r="31" spans="2:29">
      <c r="B31" s="446"/>
      <c r="T31" s="460"/>
      <c r="V31" s="648"/>
      <c r="W31" s="649"/>
      <c r="X31" s="456"/>
      <c r="Y31" s="457"/>
      <c r="Z31" s="636"/>
      <c r="AA31" s="637"/>
      <c r="AB31" s="458"/>
      <c r="AC31" s="459"/>
    </row>
    <row r="32" spans="2:29">
      <c r="B32" s="446"/>
      <c r="T32" s="460"/>
      <c r="V32" s="648"/>
      <c r="W32" s="649"/>
      <c r="X32" s="456"/>
      <c r="Y32" s="457"/>
      <c r="Z32" s="636"/>
      <c r="AA32" s="637"/>
      <c r="AB32" s="458"/>
      <c r="AC32" s="459"/>
    </row>
    <row r="33" spans="2:29">
      <c r="B33" s="446"/>
      <c r="V33" s="648"/>
      <c r="W33" s="649"/>
      <c r="X33" s="456"/>
      <c r="Y33" s="457"/>
      <c r="Z33" s="636"/>
      <c r="AA33" s="637"/>
      <c r="AB33" s="458"/>
      <c r="AC33" s="459"/>
    </row>
    <row r="34" spans="2:29">
      <c r="B34" s="446"/>
      <c r="V34" s="648"/>
      <c r="W34" s="649"/>
      <c r="X34" s="456"/>
      <c r="Y34" s="457"/>
      <c r="Z34" s="636"/>
      <c r="AA34" s="637"/>
      <c r="AB34" s="458"/>
      <c r="AC34" s="459"/>
    </row>
    <row r="35" spans="2:29">
      <c r="B35" s="446"/>
      <c r="V35" s="648"/>
      <c r="W35" s="649"/>
      <c r="X35" s="456"/>
      <c r="Y35" s="457"/>
      <c r="Z35" s="636"/>
      <c r="AA35" s="637"/>
      <c r="AB35" s="458"/>
      <c r="AC35" s="459"/>
    </row>
    <row r="36" spans="2:29">
      <c r="B36" s="446"/>
      <c r="V36" s="660"/>
      <c r="W36" s="661"/>
      <c r="X36" s="456"/>
      <c r="Y36" s="461"/>
      <c r="Z36" s="662"/>
      <c r="AA36" s="637"/>
      <c r="AB36" s="458"/>
      <c r="AC36" s="459"/>
    </row>
    <row r="37" spans="2:29" ht="12.75" customHeight="1">
      <c r="B37" s="446"/>
      <c r="V37" s="652"/>
      <c r="W37" s="653"/>
      <c r="X37" s="456"/>
      <c r="Y37" s="461"/>
      <c r="Z37" s="654"/>
      <c r="AA37" s="655"/>
      <c r="AB37" s="464"/>
      <c r="AC37" s="465"/>
    </row>
    <row r="38" spans="2:29" ht="12.75" customHeight="1">
      <c r="B38" s="446"/>
      <c r="V38" s="656"/>
      <c r="W38" s="657"/>
      <c r="X38" s="466"/>
      <c r="Y38" s="461"/>
      <c r="Z38" s="462"/>
      <c r="AA38" s="463"/>
      <c r="AB38" s="464"/>
      <c r="AC38" s="465"/>
    </row>
    <row r="39" spans="2:29" ht="12" customHeight="1">
      <c r="B39" s="446"/>
      <c r="V39" s="656"/>
      <c r="W39" s="657"/>
      <c r="X39" s="466"/>
      <c r="Y39" s="467"/>
      <c r="Z39" s="658"/>
      <c r="AA39" s="659"/>
      <c r="AB39" s="464"/>
      <c r="AC39" s="465"/>
    </row>
    <row r="40" spans="2:29" ht="12" customHeight="1">
      <c r="B40" s="446"/>
      <c r="V40" s="656"/>
      <c r="W40" s="657"/>
      <c r="X40" s="466"/>
      <c r="Y40" s="467"/>
      <c r="Z40" s="468"/>
      <c r="AA40" s="469"/>
      <c r="AB40" s="464"/>
      <c r="AC40" s="465"/>
    </row>
    <row r="41" spans="2:29" ht="12" customHeight="1">
      <c r="B41" s="446"/>
      <c r="V41" s="672"/>
      <c r="W41" s="673"/>
      <c r="X41" s="470"/>
      <c r="Y41" s="471"/>
      <c r="Z41" s="658"/>
      <c r="AA41" s="659"/>
      <c r="AB41" s="464"/>
      <c r="AC41" s="465"/>
    </row>
    <row r="42" spans="2:29" ht="12" customHeight="1">
      <c r="B42" s="446"/>
      <c r="V42" s="674" t="s">
        <v>1454</v>
      </c>
      <c r="W42" s="675"/>
      <c r="X42" s="675"/>
      <c r="Y42" s="675"/>
      <c r="Z42" s="472"/>
      <c r="AA42" s="472"/>
      <c r="AB42" s="472"/>
      <c r="AC42" s="473"/>
    </row>
    <row r="43" spans="2:29" ht="12" customHeight="1">
      <c r="B43" s="446"/>
      <c r="U43" s="474"/>
      <c r="V43" s="475"/>
      <c r="W43" s="476"/>
      <c r="X43" s="476"/>
      <c r="Y43" s="476"/>
      <c r="Z43" s="476"/>
      <c r="AA43" s="476"/>
      <c r="AB43" s="476"/>
      <c r="AC43" s="477"/>
    </row>
    <row r="44" spans="2:29">
      <c r="B44" s="478"/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4"/>
      <c r="V44" s="663" t="s">
        <v>11</v>
      </c>
      <c r="W44" s="664"/>
      <c r="X44" s="615"/>
      <c r="Y44" s="615"/>
      <c r="Z44" s="615"/>
      <c r="AA44" s="615"/>
      <c r="AB44" s="615"/>
      <c r="AC44" s="616"/>
    </row>
    <row r="45" spans="2:29">
      <c r="B45" s="478"/>
      <c r="C45" s="479"/>
      <c r="D45" s="479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4"/>
      <c r="V45" s="663" t="s">
        <v>983</v>
      </c>
      <c r="W45" s="664"/>
      <c r="X45" s="615">
        <v>1</v>
      </c>
      <c r="Y45" s="615"/>
      <c r="Z45" s="615"/>
      <c r="AA45" s="615" t="s">
        <v>12</v>
      </c>
      <c r="AB45" s="615"/>
      <c r="AC45" s="451" t="s">
        <v>13</v>
      </c>
    </row>
    <row r="46" spans="2:29">
      <c r="B46" s="478"/>
      <c r="C46" s="479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4"/>
      <c r="V46" s="663" t="s">
        <v>15</v>
      </c>
      <c r="W46" s="664"/>
      <c r="X46" s="665"/>
      <c r="Y46" s="665"/>
      <c r="Z46" s="665"/>
      <c r="AA46" s="615" t="s">
        <v>16</v>
      </c>
      <c r="AB46" s="615"/>
      <c r="AC46" s="480"/>
    </row>
    <row r="47" spans="2:29">
      <c r="B47" s="478"/>
      <c r="C47" s="479"/>
      <c r="D47" s="479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4"/>
      <c r="V47" s="666" t="s">
        <v>17</v>
      </c>
      <c r="W47" s="666"/>
      <c r="X47" s="666"/>
      <c r="Y47" s="666"/>
      <c r="Z47" s="666"/>
      <c r="AA47" s="666"/>
      <c r="AB47" s="666"/>
      <c r="AC47" s="667"/>
    </row>
    <row r="48" spans="2:29" ht="12.75" customHeight="1">
      <c r="B48" s="478"/>
      <c r="C48" s="479"/>
      <c r="D48" s="479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4"/>
      <c r="V48" s="668" t="str">
        <f>[89]DATA!C8</f>
        <v>PT. DIMENSI PUTRA KARYA</v>
      </c>
      <c r="W48" s="668"/>
      <c r="X48" s="668"/>
      <c r="Y48" s="668"/>
      <c r="Z48" s="668"/>
      <c r="AA48" s="668"/>
      <c r="AB48" s="668"/>
      <c r="AC48" s="669"/>
    </row>
    <row r="49" spans="2:29">
      <c r="B49" s="478"/>
      <c r="C49" s="479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81"/>
      <c r="V49" s="668"/>
      <c r="W49" s="668"/>
      <c r="X49" s="668"/>
      <c r="Y49" s="668"/>
      <c r="Z49" s="668"/>
      <c r="AA49" s="668"/>
      <c r="AB49" s="668"/>
      <c r="AC49" s="669"/>
    </row>
    <row r="50" spans="2:29">
      <c r="B50" s="478"/>
      <c r="C50" s="479"/>
      <c r="D50" s="479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81"/>
      <c r="V50" s="670"/>
      <c r="W50" s="670"/>
      <c r="X50" s="670"/>
      <c r="Y50" s="670"/>
      <c r="Z50" s="670"/>
      <c r="AA50" s="670"/>
      <c r="AB50" s="670"/>
      <c r="AC50" s="671"/>
    </row>
    <row r="51" spans="2:29">
      <c r="B51" s="478"/>
      <c r="C51" s="479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4"/>
      <c r="V51" s="663" t="s">
        <v>18</v>
      </c>
      <c r="W51" s="664"/>
      <c r="X51" s="615" t="s">
        <v>1614</v>
      </c>
      <c r="Y51" s="615"/>
      <c r="Z51" s="615"/>
      <c r="AA51" s="615"/>
      <c r="AB51" s="615"/>
      <c r="AC51" s="616"/>
    </row>
    <row r="52" spans="2:29">
      <c r="B52" s="478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U52" s="474"/>
      <c r="V52" s="663" t="s">
        <v>19</v>
      </c>
      <c r="W52" s="664"/>
      <c r="X52" s="615" t="s">
        <v>1615</v>
      </c>
      <c r="Y52" s="615"/>
      <c r="Z52" s="615"/>
      <c r="AA52" s="615"/>
      <c r="AB52" s="615"/>
      <c r="AC52" s="616"/>
    </row>
    <row r="53" spans="2:29">
      <c r="B53" s="478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U53" s="474"/>
      <c r="V53" s="663" t="s">
        <v>20</v>
      </c>
      <c r="W53" s="664"/>
      <c r="X53" s="615" t="s">
        <v>1615</v>
      </c>
      <c r="Y53" s="615"/>
      <c r="Z53" s="615"/>
      <c r="AA53" s="615"/>
      <c r="AB53" s="615"/>
      <c r="AC53" s="616"/>
    </row>
    <row r="54" spans="2:29" ht="12.75" thickBot="1">
      <c r="B54" s="482"/>
      <c r="C54" s="483"/>
      <c r="D54" s="483"/>
      <c r="E54" s="483"/>
      <c r="F54" s="483"/>
      <c r="G54" s="483"/>
      <c r="H54" s="483"/>
      <c r="I54" s="483"/>
      <c r="J54" s="483"/>
      <c r="K54" s="483"/>
      <c r="L54" s="483"/>
      <c r="M54" s="483"/>
      <c r="N54" s="483"/>
      <c r="O54" s="483"/>
      <c r="P54" s="483"/>
      <c r="Q54" s="483"/>
      <c r="R54" s="483"/>
      <c r="S54" s="483"/>
      <c r="T54" s="484"/>
      <c r="U54" s="485"/>
      <c r="V54" s="676" t="s">
        <v>21</v>
      </c>
      <c r="W54" s="677"/>
      <c r="X54" s="678" t="s">
        <v>1616</v>
      </c>
      <c r="Y54" s="678"/>
      <c r="Z54" s="678"/>
      <c r="AA54" s="678"/>
      <c r="AB54" s="678"/>
      <c r="AC54" s="679"/>
    </row>
  </sheetData>
  <mergeCells count="110"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T33" sqref="T3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0" t="s">
        <v>1526</v>
      </c>
      <c r="E4" s="681"/>
      <c r="F4" s="681"/>
      <c r="G4" s="681"/>
      <c r="H4" s="681"/>
      <c r="I4" s="681"/>
      <c r="J4" s="681"/>
      <c r="K4" s="681"/>
      <c r="L4" s="681"/>
      <c r="M4" s="681"/>
      <c r="N4" s="681"/>
      <c r="O4" s="681"/>
      <c r="P4" s="681"/>
      <c r="Q4" s="681"/>
      <c r="R4" s="681"/>
      <c r="S4" s="681"/>
      <c r="T4" s="681"/>
      <c r="U4" s="681"/>
      <c r="V4" s="681"/>
      <c r="W4" s="681"/>
      <c r="X4" s="681"/>
      <c r="Y4" s="681"/>
      <c r="Z4" s="681"/>
      <c r="AA4" s="681"/>
      <c r="AB4" s="681"/>
      <c r="AC4" s="682"/>
      <c r="AD4" s="217"/>
      <c r="AE4" s="216"/>
      <c r="AF4" s="216"/>
    </row>
    <row r="5" spans="2:32" ht="13.5" customHeight="1">
      <c r="B5" s="215"/>
      <c r="C5" s="215"/>
      <c r="D5" s="683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4"/>
      <c r="P5" s="684"/>
      <c r="Q5" s="684"/>
      <c r="R5" s="684"/>
      <c r="S5" s="684"/>
      <c r="T5" s="684"/>
      <c r="U5" s="684"/>
      <c r="V5" s="684"/>
      <c r="W5" s="684"/>
      <c r="X5" s="684"/>
      <c r="Y5" s="684"/>
      <c r="Z5" s="684"/>
      <c r="AA5" s="684"/>
      <c r="AB5" s="684"/>
      <c r="AC5" s="685"/>
      <c r="AD5" s="217"/>
      <c r="AE5" s="216"/>
      <c r="AF5" s="216"/>
    </row>
    <row r="6" spans="2:32" ht="12.75" customHeight="1">
      <c r="B6" s="215"/>
      <c r="C6" s="215"/>
      <c r="D6" s="683"/>
      <c r="E6" s="684"/>
      <c r="F6" s="684"/>
      <c r="G6" s="684"/>
      <c r="H6" s="684"/>
      <c r="I6" s="684"/>
      <c r="J6" s="684"/>
      <c r="K6" s="684"/>
      <c r="L6" s="684"/>
      <c r="M6" s="684"/>
      <c r="N6" s="684"/>
      <c r="O6" s="684"/>
      <c r="P6" s="684"/>
      <c r="Q6" s="684"/>
      <c r="R6" s="684"/>
      <c r="S6" s="684"/>
      <c r="T6" s="684"/>
      <c r="U6" s="684"/>
      <c r="V6" s="684"/>
      <c r="W6" s="684"/>
      <c r="X6" s="684"/>
      <c r="Y6" s="684"/>
      <c r="Z6" s="684"/>
      <c r="AA6" s="684"/>
      <c r="AB6" s="684"/>
      <c r="AC6" s="685"/>
      <c r="AE6" s="216"/>
      <c r="AF6" s="216"/>
    </row>
    <row r="7" spans="2:32" ht="12.75" customHeight="1" thickBot="1">
      <c r="B7" s="215"/>
      <c r="C7" s="215"/>
      <c r="D7" s="686"/>
      <c r="E7" s="687"/>
      <c r="F7" s="687"/>
      <c r="G7" s="687"/>
      <c r="H7" s="687"/>
      <c r="I7" s="687"/>
      <c r="J7" s="687"/>
      <c r="K7" s="687"/>
      <c r="L7" s="687"/>
      <c r="M7" s="687"/>
      <c r="N7" s="687"/>
      <c r="O7" s="687"/>
      <c r="P7" s="687"/>
      <c r="Q7" s="687"/>
      <c r="R7" s="687"/>
      <c r="S7" s="687"/>
      <c r="T7" s="687"/>
      <c r="U7" s="687"/>
      <c r="V7" s="687"/>
      <c r="W7" s="687"/>
      <c r="X7" s="687"/>
      <c r="Y7" s="687"/>
      <c r="Z7" s="687"/>
      <c r="AA7" s="687"/>
      <c r="AB7" s="687"/>
      <c r="AC7" s="68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U26" sqref="U26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4" t="s">
        <v>1525</v>
      </c>
      <c r="D3" s="684"/>
      <c r="E3" s="684"/>
      <c r="F3" s="684"/>
      <c r="G3" s="684"/>
      <c r="H3" s="684"/>
      <c r="I3" s="684"/>
      <c r="J3" s="684"/>
      <c r="K3" s="684"/>
      <c r="L3" s="684"/>
      <c r="M3" s="684"/>
      <c r="N3" s="684"/>
      <c r="O3" s="684"/>
      <c r="P3" s="684"/>
      <c r="Q3" s="684"/>
      <c r="R3" s="684"/>
      <c r="S3" s="684"/>
      <c r="T3" s="684"/>
      <c r="U3" s="684"/>
      <c r="V3" s="684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84"/>
      <c r="D4" s="684"/>
      <c r="E4" s="684"/>
      <c r="F4" s="684"/>
      <c r="G4" s="684"/>
      <c r="H4" s="684"/>
      <c r="I4" s="684"/>
      <c r="J4" s="684"/>
      <c r="K4" s="684"/>
      <c r="L4" s="684"/>
      <c r="M4" s="684"/>
      <c r="N4" s="684"/>
      <c r="O4" s="684"/>
      <c r="P4" s="684"/>
      <c r="Q4" s="684"/>
      <c r="R4" s="684"/>
      <c r="S4" s="684"/>
      <c r="T4" s="684"/>
      <c r="U4" s="684"/>
      <c r="V4" s="684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89" t="s">
        <v>1619</v>
      </c>
      <c r="D6" s="689"/>
      <c r="E6" s="689"/>
      <c r="F6" s="689"/>
      <c r="G6" s="689"/>
      <c r="H6" s="689"/>
      <c r="I6" s="689"/>
      <c r="J6" s="689"/>
      <c r="K6" s="689"/>
      <c r="L6" s="689"/>
      <c r="M6" s="689"/>
      <c r="W6" s="182"/>
      <c r="Y6" s="374"/>
      <c r="Z6" s="374"/>
      <c r="AA6" s="374"/>
      <c r="AB6" s="375"/>
      <c r="AC6" s="375"/>
    </row>
    <row r="7" spans="1:29" ht="18" customHeight="1">
      <c r="A7" s="181"/>
      <c r="C7" s="689"/>
      <c r="D7" s="689"/>
      <c r="E7" s="689"/>
      <c r="F7" s="689"/>
      <c r="G7" s="689"/>
      <c r="H7" s="689"/>
      <c r="I7" s="689"/>
      <c r="J7" s="689"/>
      <c r="K7" s="689"/>
      <c r="L7" s="689"/>
      <c r="M7" s="689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2024-04-20T10:22:54Z</dcterms:modified>
</cp:coreProperties>
</file>