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894C85AF-750E-41FB-B7CE-90A63A539207}" xr6:coauthVersionLast="47" xr6:coauthVersionMax="47" xr10:uidLastSave="{00000000-0000-0000-0000-000000000000}"/>
  <bookViews>
    <workbookView xWindow="-120" yWindow="-120" windowWidth="29040" windowHeight="15720" tabRatio="859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RAB!$A$1:$K$250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26" i="11" l="1"/>
  <c r="E226" i="11"/>
  <c r="D226" i="11"/>
  <c r="J226" i="11" s="1"/>
  <c r="G225" i="11"/>
  <c r="E225" i="11"/>
  <c r="D225" i="11"/>
  <c r="G224" i="11"/>
  <c r="E224" i="11"/>
  <c r="D224" i="11"/>
  <c r="I224" i="11" s="1"/>
  <c r="G223" i="11"/>
  <c r="E223" i="11"/>
  <c r="D223" i="11"/>
  <c r="H223" i="11" s="1"/>
  <c r="G227" i="11"/>
  <c r="E227" i="11"/>
  <c r="D227" i="11"/>
  <c r="J227" i="11" s="1"/>
  <c r="F169" i="11"/>
  <c r="F170" i="11"/>
  <c r="F162" i="11"/>
  <c r="F161" i="11"/>
  <c r="F160" i="11"/>
  <c r="F159" i="11"/>
  <c r="F156" i="11"/>
  <c r="F155" i="11"/>
  <c r="F154" i="11"/>
  <c r="F153" i="11"/>
  <c r="F152" i="11"/>
  <c r="F151" i="11"/>
  <c r="F148" i="11"/>
  <c r="F147" i="11"/>
  <c r="F146" i="11"/>
  <c r="F145" i="11"/>
  <c r="F144" i="11"/>
  <c r="F141" i="11"/>
  <c r="F140" i="11"/>
  <c r="F139" i="11"/>
  <c r="F138" i="11"/>
  <c r="F137" i="11"/>
  <c r="F134" i="11"/>
  <c r="F133" i="11"/>
  <c r="F132" i="11"/>
  <c r="F131" i="11"/>
  <c r="F128" i="11"/>
  <c r="F127" i="11"/>
  <c r="F126" i="11"/>
  <c r="F125" i="11"/>
  <c r="G152" i="11"/>
  <c r="E152" i="11"/>
  <c r="D152" i="11"/>
  <c r="G151" i="11"/>
  <c r="E151" i="11"/>
  <c r="D151" i="11"/>
  <c r="J151" i="11" s="1"/>
  <c r="G150" i="11"/>
  <c r="E150" i="11"/>
  <c r="D150" i="11"/>
  <c r="I150" i="11" s="1"/>
  <c r="G149" i="11"/>
  <c r="E149" i="11"/>
  <c r="D149" i="11"/>
  <c r="H149" i="11" s="1"/>
  <c r="G148" i="11"/>
  <c r="I148" i="11"/>
  <c r="G147" i="11"/>
  <c r="J147" i="11"/>
  <c r="G146" i="11"/>
  <c r="I146" i="11" s="1"/>
  <c r="G145" i="11"/>
  <c r="H145" i="11"/>
  <c r="G144" i="11"/>
  <c r="G143" i="11"/>
  <c r="J143" i="11"/>
  <c r="G142" i="11"/>
  <c r="I142" i="11"/>
  <c r="G141" i="11"/>
  <c r="H141" i="11"/>
  <c r="H140" i="11"/>
  <c r="G140" i="11"/>
  <c r="J140" i="11"/>
  <c r="H139" i="11"/>
  <c r="G139" i="11"/>
  <c r="J139" i="11"/>
  <c r="J138" i="11"/>
  <c r="G138" i="11"/>
  <c r="G137" i="11"/>
  <c r="H137" i="11"/>
  <c r="G136" i="11"/>
  <c r="I136" i="11"/>
  <c r="G135" i="11"/>
  <c r="E135" i="11"/>
  <c r="D135" i="11"/>
  <c r="J135" i="11" s="1"/>
  <c r="G134" i="11"/>
  <c r="J134" i="11" s="1"/>
  <c r="I134" i="11"/>
  <c r="G133" i="11"/>
  <c r="H133" i="11"/>
  <c r="H132" i="11"/>
  <c r="G132" i="11"/>
  <c r="I132" i="11" s="1"/>
  <c r="H131" i="11"/>
  <c r="G131" i="11"/>
  <c r="J131" i="11"/>
  <c r="J130" i="11"/>
  <c r="H130" i="11"/>
  <c r="G130" i="11"/>
  <c r="I130" i="11"/>
  <c r="G129" i="11"/>
  <c r="H129" i="11"/>
  <c r="H128" i="11"/>
  <c r="G128" i="11"/>
  <c r="J128" i="11" s="1"/>
  <c r="H127" i="11"/>
  <c r="G127" i="11"/>
  <c r="J127" i="11"/>
  <c r="J126" i="11"/>
  <c r="H126" i="11"/>
  <c r="G126" i="11"/>
  <c r="G125" i="11"/>
  <c r="H125" i="11"/>
  <c r="H124" i="11"/>
  <c r="G124" i="11"/>
  <c r="J124" i="11"/>
  <c r="G123" i="11"/>
  <c r="E123" i="11"/>
  <c r="D123" i="11"/>
  <c r="J123" i="11" s="1"/>
  <c r="G167" i="11"/>
  <c r="E167" i="11"/>
  <c r="D167" i="11"/>
  <c r="J167" i="11" s="1"/>
  <c r="G166" i="11"/>
  <c r="E166" i="11"/>
  <c r="D166" i="11"/>
  <c r="J166" i="11" s="1"/>
  <c r="G165" i="11"/>
  <c r="E165" i="11"/>
  <c r="D165" i="11"/>
  <c r="I165" i="11" s="1"/>
  <c r="G164" i="11"/>
  <c r="E164" i="11"/>
  <c r="D164" i="11"/>
  <c r="H164" i="11" s="1"/>
  <c r="G163" i="11"/>
  <c r="E163" i="11"/>
  <c r="D163" i="11"/>
  <c r="J163" i="11" s="1"/>
  <c r="G162" i="11"/>
  <c r="G161" i="11"/>
  <c r="G160" i="11"/>
  <c r="H160" i="11"/>
  <c r="G159" i="11"/>
  <c r="J159" i="11"/>
  <c r="G158" i="11"/>
  <c r="J158" i="11"/>
  <c r="G157" i="11"/>
  <c r="E157" i="11"/>
  <c r="D157" i="11"/>
  <c r="I157" i="11" s="1"/>
  <c r="G156" i="11"/>
  <c r="E156" i="11"/>
  <c r="D156" i="11"/>
  <c r="H156" i="11" s="1"/>
  <c r="G155" i="11"/>
  <c r="E155" i="11"/>
  <c r="D155" i="11"/>
  <c r="J155" i="11" s="1"/>
  <c r="G154" i="11"/>
  <c r="E154" i="11"/>
  <c r="D154" i="11"/>
  <c r="J154" i="11" s="1"/>
  <c r="G153" i="11"/>
  <c r="E153" i="11"/>
  <c r="D153" i="11"/>
  <c r="F122" i="11"/>
  <c r="F121" i="11"/>
  <c r="F120" i="11"/>
  <c r="F119" i="11"/>
  <c r="F118" i="11"/>
  <c r="F117" i="11"/>
  <c r="F116" i="11"/>
  <c r="F115" i="11"/>
  <c r="F114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3" i="11"/>
  <c r="F90" i="11"/>
  <c r="F89" i="11"/>
  <c r="F88" i="11"/>
  <c r="F87" i="11"/>
  <c r="F86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G86" i="11"/>
  <c r="E86" i="11"/>
  <c r="D86" i="11"/>
  <c r="J86" i="11" s="1"/>
  <c r="G85" i="11"/>
  <c r="E85" i="11"/>
  <c r="D85" i="11"/>
  <c r="J85" i="11" s="1"/>
  <c r="G84" i="11"/>
  <c r="E84" i="11"/>
  <c r="D84" i="11"/>
  <c r="I84" i="11" s="1"/>
  <c r="G83" i="11"/>
  <c r="E83" i="11"/>
  <c r="D83" i="11"/>
  <c r="H83" i="11" s="1"/>
  <c r="G82" i="11"/>
  <c r="E82" i="11"/>
  <c r="D82" i="11"/>
  <c r="J82" i="11" s="1"/>
  <c r="G81" i="11"/>
  <c r="E81" i="11"/>
  <c r="D81" i="11"/>
  <c r="J81" i="11" s="1"/>
  <c r="G80" i="11"/>
  <c r="E80" i="11"/>
  <c r="D80" i="11"/>
  <c r="G79" i="11"/>
  <c r="E79" i="11"/>
  <c r="D79" i="11"/>
  <c r="H79" i="11" s="1"/>
  <c r="G78" i="11"/>
  <c r="E78" i="11"/>
  <c r="D78" i="11"/>
  <c r="J78" i="11" s="1"/>
  <c r="G77" i="11"/>
  <c r="E77" i="11"/>
  <c r="D77" i="11"/>
  <c r="J77" i="11" s="1"/>
  <c r="G76" i="11"/>
  <c r="E76" i="11"/>
  <c r="D76" i="11"/>
  <c r="J76" i="11" s="1"/>
  <c r="G75" i="11"/>
  <c r="E75" i="11"/>
  <c r="D75" i="11"/>
  <c r="H75" i="11" s="1"/>
  <c r="G74" i="11"/>
  <c r="E74" i="11"/>
  <c r="D74" i="11"/>
  <c r="J74" i="11" s="1"/>
  <c r="G73" i="11"/>
  <c r="E73" i="11"/>
  <c r="D73" i="11"/>
  <c r="J73" i="11" s="1"/>
  <c r="G72" i="11"/>
  <c r="E72" i="11"/>
  <c r="D72" i="11"/>
  <c r="I72" i="11" s="1"/>
  <c r="G71" i="11"/>
  <c r="E71" i="11"/>
  <c r="D71" i="11"/>
  <c r="H71" i="11" s="1"/>
  <c r="G70" i="11"/>
  <c r="E70" i="11"/>
  <c r="D70" i="11"/>
  <c r="J70" i="11" s="1"/>
  <c r="G103" i="11"/>
  <c r="E103" i="11"/>
  <c r="D103" i="11"/>
  <c r="J103" i="11" s="1"/>
  <c r="G102" i="11"/>
  <c r="E102" i="11"/>
  <c r="D102" i="11"/>
  <c r="J102" i="11" s="1"/>
  <c r="G101" i="11"/>
  <c r="E101" i="11"/>
  <c r="D101" i="11"/>
  <c r="G100" i="11"/>
  <c r="E100" i="11"/>
  <c r="D100" i="11"/>
  <c r="H100" i="11" s="1"/>
  <c r="G99" i="11"/>
  <c r="E99" i="11"/>
  <c r="D99" i="11"/>
  <c r="J99" i="11" s="1"/>
  <c r="G98" i="11"/>
  <c r="E98" i="11"/>
  <c r="D98" i="11"/>
  <c r="J98" i="11" s="1"/>
  <c r="G97" i="11"/>
  <c r="E97" i="11"/>
  <c r="D97" i="11"/>
  <c r="I97" i="11" s="1"/>
  <c r="G96" i="11"/>
  <c r="E96" i="11"/>
  <c r="D96" i="11"/>
  <c r="H96" i="11" s="1"/>
  <c r="G95" i="11"/>
  <c r="E95" i="11"/>
  <c r="D95" i="11"/>
  <c r="I95" i="11" s="1"/>
  <c r="G94" i="11"/>
  <c r="E94" i="11"/>
  <c r="D94" i="11"/>
  <c r="J94" i="11" s="1"/>
  <c r="G93" i="11"/>
  <c r="E93" i="11"/>
  <c r="D93" i="11"/>
  <c r="I93" i="11" s="1"/>
  <c r="G92" i="11"/>
  <c r="E92" i="11"/>
  <c r="D92" i="11"/>
  <c r="H92" i="11" s="1"/>
  <c r="G91" i="11"/>
  <c r="E91" i="11"/>
  <c r="D91" i="11"/>
  <c r="I91" i="11" s="1"/>
  <c r="G90" i="11"/>
  <c r="E90" i="11"/>
  <c r="D90" i="11"/>
  <c r="G89" i="11"/>
  <c r="E89" i="11"/>
  <c r="D89" i="11"/>
  <c r="G88" i="11"/>
  <c r="E88" i="11"/>
  <c r="D88" i="11"/>
  <c r="H88" i="11" s="1"/>
  <c r="G87" i="11"/>
  <c r="E87" i="11"/>
  <c r="D87" i="11"/>
  <c r="J87" i="11" s="1"/>
  <c r="G120" i="11"/>
  <c r="E120" i="11"/>
  <c r="D120" i="11"/>
  <c r="G119" i="11"/>
  <c r="E119" i="11"/>
  <c r="D119" i="11"/>
  <c r="J119" i="11" s="1"/>
  <c r="G118" i="11"/>
  <c r="E118" i="11"/>
  <c r="D118" i="11"/>
  <c r="G117" i="11"/>
  <c r="E117" i="11"/>
  <c r="D117" i="11"/>
  <c r="H117" i="11" s="1"/>
  <c r="G116" i="11"/>
  <c r="E116" i="11"/>
  <c r="D116" i="11"/>
  <c r="G115" i="11"/>
  <c r="E115" i="11"/>
  <c r="D115" i="11"/>
  <c r="J115" i="11" s="1"/>
  <c r="G114" i="11"/>
  <c r="E114" i="11"/>
  <c r="D114" i="11"/>
  <c r="G113" i="11"/>
  <c r="E113" i="11"/>
  <c r="D113" i="11"/>
  <c r="H113" i="11" s="1"/>
  <c r="G112" i="11"/>
  <c r="E112" i="11"/>
  <c r="D112" i="11"/>
  <c r="J112" i="11" s="1"/>
  <c r="G111" i="11"/>
  <c r="E111" i="11"/>
  <c r="D111" i="11"/>
  <c r="G110" i="11"/>
  <c r="E110" i="11"/>
  <c r="D110" i="11"/>
  <c r="G109" i="11"/>
  <c r="E109" i="11"/>
  <c r="D109" i="11"/>
  <c r="H109" i="11" s="1"/>
  <c r="G108" i="11"/>
  <c r="E108" i="11"/>
  <c r="D108" i="11"/>
  <c r="G107" i="11"/>
  <c r="E107" i="11"/>
  <c r="D107" i="11"/>
  <c r="J107" i="11" s="1"/>
  <c r="G106" i="11"/>
  <c r="E106" i="11"/>
  <c r="D106" i="11"/>
  <c r="G105" i="11"/>
  <c r="E105" i="11"/>
  <c r="D105" i="11"/>
  <c r="H105" i="11" s="1"/>
  <c r="G104" i="11"/>
  <c r="E104" i="11"/>
  <c r="D104" i="11"/>
  <c r="F69" i="11"/>
  <c r="F68" i="11"/>
  <c r="F67" i="11"/>
  <c r="F66" i="11"/>
  <c r="F65" i="11"/>
  <c r="F64" i="11"/>
  <c r="F63" i="11"/>
  <c r="F62" i="11"/>
  <c r="F61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G54" i="11"/>
  <c r="E54" i="11"/>
  <c r="D54" i="11"/>
  <c r="J54" i="11" s="1"/>
  <c r="G53" i="11"/>
  <c r="E53" i="11"/>
  <c r="D53" i="11"/>
  <c r="J53" i="11" s="1"/>
  <c r="G52" i="11"/>
  <c r="E52" i="11"/>
  <c r="D52" i="11"/>
  <c r="G51" i="11"/>
  <c r="E51" i="11"/>
  <c r="D51" i="11"/>
  <c r="H51" i="11" s="1"/>
  <c r="G50" i="11"/>
  <c r="E50" i="11"/>
  <c r="D50" i="11"/>
  <c r="J50" i="11" s="1"/>
  <c r="G49" i="11"/>
  <c r="E49" i="11"/>
  <c r="D49" i="11"/>
  <c r="J49" i="11" s="1"/>
  <c r="G48" i="11"/>
  <c r="E48" i="11"/>
  <c r="D48" i="11"/>
  <c r="G47" i="11"/>
  <c r="E47" i="11"/>
  <c r="D47" i="11"/>
  <c r="H47" i="11" s="1"/>
  <c r="G46" i="11"/>
  <c r="E46" i="11"/>
  <c r="D46" i="11"/>
  <c r="J46" i="11" s="1"/>
  <c r="G45" i="11"/>
  <c r="E45" i="11"/>
  <c r="D45" i="11"/>
  <c r="J45" i="11" s="1"/>
  <c r="G44" i="11"/>
  <c r="E44" i="11"/>
  <c r="D44" i="11"/>
  <c r="I44" i="11" s="1"/>
  <c r="G43" i="11"/>
  <c r="E43" i="11"/>
  <c r="D43" i="11"/>
  <c r="H43" i="11" s="1"/>
  <c r="G42" i="11"/>
  <c r="E42" i="11"/>
  <c r="D42" i="11"/>
  <c r="G41" i="11"/>
  <c r="E41" i="11"/>
  <c r="D41" i="11"/>
  <c r="J41" i="11" s="1"/>
  <c r="G40" i="11"/>
  <c r="E40" i="11"/>
  <c r="D40" i="11"/>
  <c r="G39" i="11"/>
  <c r="E39" i="11"/>
  <c r="D39" i="11"/>
  <c r="H39" i="11" s="1"/>
  <c r="G38" i="11"/>
  <c r="E38" i="11"/>
  <c r="D38" i="11"/>
  <c r="J38" i="11" s="1"/>
  <c r="G37" i="11"/>
  <c r="E37" i="11"/>
  <c r="D37" i="11"/>
  <c r="J37" i="11" s="1"/>
  <c r="G36" i="11"/>
  <c r="E36" i="11"/>
  <c r="D36" i="11"/>
  <c r="G35" i="11"/>
  <c r="E35" i="11"/>
  <c r="D35" i="11"/>
  <c r="H35" i="11" s="1"/>
  <c r="G34" i="11"/>
  <c r="E34" i="11"/>
  <c r="D34" i="11"/>
  <c r="J34" i="11" s="1"/>
  <c r="G33" i="11"/>
  <c r="E33" i="11"/>
  <c r="D33" i="11"/>
  <c r="G32" i="11"/>
  <c r="E32" i="11"/>
  <c r="D32" i="11"/>
  <c r="G31" i="11"/>
  <c r="E31" i="11"/>
  <c r="D31" i="11"/>
  <c r="H31" i="11" s="1"/>
  <c r="G30" i="11"/>
  <c r="E30" i="11"/>
  <c r="D30" i="11"/>
  <c r="H30" i="11" s="1"/>
  <c r="G29" i="11"/>
  <c r="E29" i="11"/>
  <c r="D29" i="11"/>
  <c r="G28" i="11"/>
  <c r="E28" i="11"/>
  <c r="D28" i="11"/>
  <c r="G27" i="11"/>
  <c r="E27" i="11"/>
  <c r="D27" i="11"/>
  <c r="H27" i="11" s="1"/>
  <c r="G26" i="11"/>
  <c r="E26" i="11"/>
  <c r="D26" i="11"/>
  <c r="H26" i="11" s="1"/>
  <c r="G25" i="11"/>
  <c r="E25" i="11"/>
  <c r="D25" i="11"/>
  <c r="I25" i="11" s="1"/>
  <c r="G24" i="11"/>
  <c r="E24" i="11"/>
  <c r="D24" i="11"/>
  <c r="I24" i="11" s="1"/>
  <c r="G23" i="11"/>
  <c r="E23" i="11"/>
  <c r="D23" i="11"/>
  <c r="H23" i="11" s="1"/>
  <c r="G121" i="11"/>
  <c r="E121" i="11"/>
  <c r="D121" i="11"/>
  <c r="J121" i="11" s="1"/>
  <c r="G69" i="11"/>
  <c r="E69" i="11"/>
  <c r="D69" i="11"/>
  <c r="G68" i="11"/>
  <c r="E68" i="11"/>
  <c r="D68" i="11"/>
  <c r="G67" i="11"/>
  <c r="E67" i="11"/>
  <c r="D67" i="11"/>
  <c r="H67" i="11" s="1"/>
  <c r="G66" i="11"/>
  <c r="E66" i="11"/>
  <c r="D66" i="11"/>
  <c r="J66" i="11" s="1"/>
  <c r="G65" i="11"/>
  <c r="E65" i="11"/>
  <c r="D65" i="11"/>
  <c r="G64" i="11"/>
  <c r="E64" i="11"/>
  <c r="D64" i="11"/>
  <c r="G63" i="11"/>
  <c r="E63" i="11"/>
  <c r="D63" i="11"/>
  <c r="H63" i="11" s="1"/>
  <c r="G62" i="11"/>
  <c r="E62" i="11"/>
  <c r="D62" i="11"/>
  <c r="J62" i="11" s="1"/>
  <c r="G61" i="11"/>
  <c r="E61" i="11"/>
  <c r="D61" i="11"/>
  <c r="I61" i="11" s="1"/>
  <c r="G60" i="11"/>
  <c r="E60" i="11"/>
  <c r="D60" i="11"/>
  <c r="I60" i="11" s="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H55" i="11" s="1"/>
  <c r="G171" i="11"/>
  <c r="E171" i="11"/>
  <c r="D171" i="11"/>
  <c r="H171" i="11" s="1"/>
  <c r="G170" i="11"/>
  <c r="E170" i="11"/>
  <c r="D170" i="11"/>
  <c r="G169" i="11"/>
  <c r="E169" i="11"/>
  <c r="D169" i="11"/>
  <c r="G168" i="11"/>
  <c r="E168" i="11"/>
  <c r="D168" i="11"/>
  <c r="I168" i="11" s="1"/>
  <c r="G122" i="11"/>
  <c r="E122" i="11"/>
  <c r="D122" i="11"/>
  <c r="H122" i="11" s="1"/>
  <c r="D19" i="11"/>
  <c r="H19" i="11" s="1"/>
  <c r="E19" i="11"/>
  <c r="G19" i="11"/>
  <c r="G17" i="11"/>
  <c r="E17" i="11"/>
  <c r="D17" i="11"/>
  <c r="J17" i="11" s="1"/>
  <c r="G18" i="11"/>
  <c r="E18" i="11"/>
  <c r="D18" i="11"/>
  <c r="G16" i="11"/>
  <c r="E16" i="11"/>
  <c r="D16" i="11"/>
  <c r="H16" i="11" s="1"/>
  <c r="Z94" i="64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5" i="11"/>
  <c r="J225" i="11" l="1"/>
  <c r="J224" i="11"/>
  <c r="H225" i="11"/>
  <c r="H226" i="11"/>
  <c r="I223" i="11"/>
  <c r="I226" i="11"/>
  <c r="J162" i="11"/>
  <c r="H224" i="11"/>
  <c r="K224" i="11" s="1"/>
  <c r="I225" i="11"/>
  <c r="J223" i="11"/>
  <c r="H227" i="11"/>
  <c r="I227" i="11"/>
  <c r="I138" i="11"/>
  <c r="I126" i="11"/>
  <c r="K126" i="11" s="1"/>
  <c r="I144" i="11"/>
  <c r="I161" i="11"/>
  <c r="J170" i="11"/>
  <c r="J169" i="11"/>
  <c r="I153" i="11"/>
  <c r="I152" i="11"/>
  <c r="J161" i="11"/>
  <c r="H162" i="11"/>
  <c r="H163" i="11"/>
  <c r="J142" i="11"/>
  <c r="H143" i="11"/>
  <c r="H144" i="11"/>
  <c r="J153" i="11"/>
  <c r="H154" i="11"/>
  <c r="H155" i="11"/>
  <c r="J146" i="11"/>
  <c r="H147" i="11"/>
  <c r="H148" i="11"/>
  <c r="K130" i="11"/>
  <c r="J165" i="11"/>
  <c r="H166" i="11"/>
  <c r="H167" i="11"/>
  <c r="H123" i="11"/>
  <c r="H135" i="11"/>
  <c r="H136" i="11"/>
  <c r="J150" i="11"/>
  <c r="H151" i="11"/>
  <c r="H152" i="11"/>
  <c r="I125" i="11"/>
  <c r="I129" i="11"/>
  <c r="I133" i="11"/>
  <c r="I137" i="11"/>
  <c r="I145" i="11"/>
  <c r="I149" i="11"/>
  <c r="I124" i="11"/>
  <c r="K124" i="11" s="1"/>
  <c r="I128" i="11"/>
  <c r="K128" i="11" s="1"/>
  <c r="J133" i="11"/>
  <c r="J137" i="11"/>
  <c r="I140" i="11"/>
  <c r="K140" i="11" s="1"/>
  <c r="J145" i="11"/>
  <c r="J149" i="11"/>
  <c r="I123" i="11"/>
  <c r="I127" i="11"/>
  <c r="K127" i="11" s="1"/>
  <c r="I131" i="11"/>
  <c r="K131" i="11" s="1"/>
  <c r="J132" i="11"/>
  <c r="K132" i="11" s="1"/>
  <c r="H134" i="11"/>
  <c r="K134" i="11" s="1"/>
  <c r="I135" i="11"/>
  <c r="J136" i="11"/>
  <c r="H138" i="11"/>
  <c r="I139" i="11"/>
  <c r="K139" i="11" s="1"/>
  <c r="H142" i="11"/>
  <c r="I143" i="11"/>
  <c r="J144" i="11"/>
  <c r="H146" i="11"/>
  <c r="I147" i="11"/>
  <c r="J148" i="11"/>
  <c r="H150" i="11"/>
  <c r="I151" i="11"/>
  <c r="J152" i="11"/>
  <c r="I141" i="11"/>
  <c r="J125" i="11"/>
  <c r="J129" i="11"/>
  <c r="J141" i="11"/>
  <c r="J157" i="11"/>
  <c r="H158" i="11"/>
  <c r="H159" i="11"/>
  <c r="I156" i="11"/>
  <c r="I155" i="11"/>
  <c r="J156" i="11"/>
  <c r="I159" i="11"/>
  <c r="K159" i="11" s="1"/>
  <c r="J160" i="11"/>
  <c r="I163" i="11"/>
  <c r="J164" i="11"/>
  <c r="I167" i="11"/>
  <c r="K167" i="11" s="1"/>
  <c r="H153" i="11"/>
  <c r="I154" i="11"/>
  <c r="H157" i="11"/>
  <c r="I158" i="11"/>
  <c r="H161" i="11"/>
  <c r="I162" i="11"/>
  <c r="H165" i="11"/>
  <c r="I166" i="11"/>
  <c r="I160" i="11"/>
  <c r="K160" i="11" s="1"/>
  <c r="I164" i="11"/>
  <c r="I116" i="11"/>
  <c r="I120" i="11"/>
  <c r="I114" i="11"/>
  <c r="I118" i="11"/>
  <c r="I106" i="11"/>
  <c r="I110" i="11"/>
  <c r="I104" i="11"/>
  <c r="I108" i="11"/>
  <c r="J111" i="11"/>
  <c r="I89" i="11"/>
  <c r="I101" i="11"/>
  <c r="J90" i="11"/>
  <c r="J97" i="11"/>
  <c r="H98" i="11"/>
  <c r="H99" i="11"/>
  <c r="I80" i="11"/>
  <c r="H78" i="11"/>
  <c r="H104" i="11"/>
  <c r="J93" i="11"/>
  <c r="H94" i="11"/>
  <c r="H95" i="11"/>
  <c r="H73" i="11"/>
  <c r="H74" i="11"/>
  <c r="J80" i="11"/>
  <c r="H81" i="11"/>
  <c r="H82" i="11"/>
  <c r="H77" i="11"/>
  <c r="J72" i="11"/>
  <c r="I76" i="11"/>
  <c r="J114" i="11"/>
  <c r="H115" i="11"/>
  <c r="H116" i="11"/>
  <c r="J101" i="11"/>
  <c r="H102" i="11"/>
  <c r="H103" i="11"/>
  <c r="H70" i="11"/>
  <c r="J84" i="11"/>
  <c r="H85" i="11"/>
  <c r="H86" i="11"/>
  <c r="I71" i="11"/>
  <c r="I75" i="11"/>
  <c r="I79" i="11"/>
  <c r="I83" i="11"/>
  <c r="I99" i="11"/>
  <c r="I70" i="11"/>
  <c r="J71" i="11"/>
  <c r="I74" i="11"/>
  <c r="J75" i="11"/>
  <c r="I78" i="11"/>
  <c r="K78" i="11" s="1"/>
  <c r="J79" i="11"/>
  <c r="I82" i="11"/>
  <c r="J83" i="11"/>
  <c r="I86" i="11"/>
  <c r="J89" i="11"/>
  <c r="H90" i="11"/>
  <c r="H91" i="11"/>
  <c r="H72" i="11"/>
  <c r="I73" i="11"/>
  <c r="K73" i="11" s="1"/>
  <c r="H76" i="11"/>
  <c r="I77" i="11"/>
  <c r="H80" i="11"/>
  <c r="I81" i="11"/>
  <c r="H84" i="11"/>
  <c r="I85" i="11"/>
  <c r="J118" i="11"/>
  <c r="H119" i="11"/>
  <c r="H120" i="11"/>
  <c r="H87" i="11"/>
  <c r="I87" i="11"/>
  <c r="J92" i="11"/>
  <c r="J96" i="11"/>
  <c r="J100" i="11"/>
  <c r="I103" i="11"/>
  <c r="J110" i="11"/>
  <c r="H111" i="11"/>
  <c r="H112" i="11"/>
  <c r="H89" i="11"/>
  <c r="I90" i="11"/>
  <c r="J91" i="11"/>
  <c r="H93" i="11"/>
  <c r="I94" i="11"/>
  <c r="J95" i="11"/>
  <c r="H97" i="11"/>
  <c r="I98" i="11"/>
  <c r="H101" i="11"/>
  <c r="I102" i="11"/>
  <c r="I88" i="11"/>
  <c r="I92" i="11"/>
  <c r="I96" i="11"/>
  <c r="I100" i="11"/>
  <c r="J88" i="11"/>
  <c r="J106" i="11"/>
  <c r="H107" i="11"/>
  <c r="H108" i="11"/>
  <c r="I105" i="11"/>
  <c r="I109" i="11"/>
  <c r="J105" i="11"/>
  <c r="J109" i="11"/>
  <c r="I112" i="11"/>
  <c r="J117" i="11"/>
  <c r="J104" i="11"/>
  <c r="H106" i="11"/>
  <c r="I107" i="11"/>
  <c r="J108" i="11"/>
  <c r="H110" i="11"/>
  <c r="I111" i="11"/>
  <c r="H114" i="11"/>
  <c r="I115" i="11"/>
  <c r="J116" i="11"/>
  <c r="H118" i="11"/>
  <c r="I119" i="11"/>
  <c r="J120" i="11"/>
  <c r="I113" i="11"/>
  <c r="I117" i="11"/>
  <c r="J113" i="11"/>
  <c r="I64" i="11"/>
  <c r="I68" i="11"/>
  <c r="I65" i="11"/>
  <c r="J69" i="11"/>
  <c r="I33" i="11"/>
  <c r="I56" i="11"/>
  <c r="I48" i="11"/>
  <c r="I52" i="11"/>
  <c r="I57" i="11"/>
  <c r="J42" i="11"/>
  <c r="I28" i="11"/>
  <c r="J58" i="11"/>
  <c r="J48" i="11"/>
  <c r="H49" i="11"/>
  <c r="H50" i="11"/>
  <c r="I26" i="11"/>
  <c r="I32" i="11"/>
  <c r="H58" i="11"/>
  <c r="I30" i="11"/>
  <c r="H34" i="11"/>
  <c r="I36" i="11"/>
  <c r="I40" i="11"/>
  <c r="H66" i="11"/>
  <c r="I29" i="11"/>
  <c r="J25" i="11"/>
  <c r="J33" i="11"/>
  <c r="J44" i="11"/>
  <c r="H45" i="11"/>
  <c r="H46" i="11"/>
  <c r="J40" i="11"/>
  <c r="H41" i="11"/>
  <c r="H42" i="11"/>
  <c r="J29" i="11"/>
  <c r="H62" i="11"/>
  <c r="J24" i="11"/>
  <c r="H25" i="11"/>
  <c r="J28" i="11"/>
  <c r="H29" i="11"/>
  <c r="J32" i="11"/>
  <c r="H33" i="11"/>
  <c r="J36" i="11"/>
  <c r="H37" i="11"/>
  <c r="H38" i="11"/>
  <c r="J52" i="11"/>
  <c r="H53" i="11"/>
  <c r="H54" i="11"/>
  <c r="J57" i="11"/>
  <c r="I27" i="11"/>
  <c r="I35" i="11"/>
  <c r="I39" i="11"/>
  <c r="I47" i="11"/>
  <c r="J31" i="11"/>
  <c r="I34" i="11"/>
  <c r="J35" i="11"/>
  <c r="I38" i="11"/>
  <c r="K38" i="11" s="1"/>
  <c r="J39" i="11"/>
  <c r="I42" i="11"/>
  <c r="J43" i="11"/>
  <c r="I46" i="11"/>
  <c r="J47" i="11"/>
  <c r="I50" i="11"/>
  <c r="J51" i="11"/>
  <c r="I54" i="11"/>
  <c r="H24" i="11"/>
  <c r="J26" i="11"/>
  <c r="H28" i="11"/>
  <c r="J30" i="11"/>
  <c r="H32" i="11"/>
  <c r="H36" i="11"/>
  <c r="I37" i="11"/>
  <c r="H40" i="11"/>
  <c r="I41" i="11"/>
  <c r="H44" i="11"/>
  <c r="I45" i="11"/>
  <c r="H48" i="11"/>
  <c r="I49" i="11"/>
  <c r="H52" i="11"/>
  <c r="I53" i="11"/>
  <c r="J61" i="11"/>
  <c r="J65" i="11"/>
  <c r="I23" i="11"/>
  <c r="I31" i="11"/>
  <c r="I43" i="11"/>
  <c r="I51" i="11"/>
  <c r="J23" i="11"/>
  <c r="J27" i="11"/>
  <c r="H170" i="11"/>
  <c r="J56" i="11"/>
  <c r="H57" i="11"/>
  <c r="J60" i="11"/>
  <c r="H61" i="11"/>
  <c r="J64" i="11"/>
  <c r="H65" i="11"/>
  <c r="J68" i="11"/>
  <c r="H69" i="11"/>
  <c r="H121" i="11"/>
  <c r="I55" i="11"/>
  <c r="I59" i="11"/>
  <c r="I63" i="11"/>
  <c r="I67" i="11"/>
  <c r="J55" i="11"/>
  <c r="I58" i="11"/>
  <c r="J59" i="11"/>
  <c r="I62" i="11"/>
  <c r="J63" i="11"/>
  <c r="I66" i="11"/>
  <c r="J67" i="11"/>
  <c r="I121" i="11"/>
  <c r="K121" i="11" s="1"/>
  <c r="J168" i="11"/>
  <c r="H56" i="11"/>
  <c r="H60" i="11"/>
  <c r="H64" i="11"/>
  <c r="H68" i="11"/>
  <c r="I69" i="11"/>
  <c r="I122" i="11"/>
  <c r="J122" i="11"/>
  <c r="H169" i="11"/>
  <c r="I170" i="11"/>
  <c r="J171" i="11"/>
  <c r="H168" i="11"/>
  <c r="I169" i="11"/>
  <c r="I171" i="11"/>
  <c r="I19" i="11"/>
  <c r="J19" i="11"/>
  <c r="H17" i="11"/>
  <c r="I17" i="11"/>
  <c r="I18" i="11"/>
  <c r="J18" i="11"/>
  <c r="H18" i="11"/>
  <c r="I16" i="11"/>
  <c r="J16" i="11"/>
  <c r="G6" i="11"/>
  <c r="G172" i="11"/>
  <c r="G174" i="11"/>
  <c r="D172" i="11"/>
  <c r="J172" i="11" s="1"/>
  <c r="E172" i="11"/>
  <c r="D174" i="11"/>
  <c r="I174" i="11" s="1"/>
  <c r="E174" i="11"/>
  <c r="F220" i="11"/>
  <c r="F219" i="11"/>
  <c r="F218" i="11"/>
  <c r="F217" i="11"/>
  <c r="F216" i="11"/>
  <c r="F213" i="11"/>
  <c r="F211" i="11"/>
  <c r="F210" i="11"/>
  <c r="F209" i="11"/>
  <c r="G205" i="11"/>
  <c r="G206" i="11"/>
  <c r="G207" i="11"/>
  <c r="G208" i="11"/>
  <c r="G209" i="11"/>
  <c r="G210" i="11"/>
  <c r="G211" i="11"/>
  <c r="W103" i="64" s="1"/>
  <c r="G212" i="11"/>
  <c r="G213" i="11"/>
  <c r="G214" i="11"/>
  <c r="G215" i="11"/>
  <c r="G216" i="11"/>
  <c r="G217" i="11"/>
  <c r="G218" i="11"/>
  <c r="G219" i="11"/>
  <c r="G220" i="11"/>
  <c r="G221" i="11"/>
  <c r="G222" i="11"/>
  <c r="G228" i="11"/>
  <c r="D205" i="11"/>
  <c r="H205" i="11" s="1"/>
  <c r="E205" i="11"/>
  <c r="D206" i="11"/>
  <c r="J206" i="11" s="1"/>
  <c r="E206" i="11"/>
  <c r="D207" i="11"/>
  <c r="I207" i="11" s="1"/>
  <c r="E207" i="11"/>
  <c r="D208" i="11"/>
  <c r="H208" i="11" s="1"/>
  <c r="E208" i="11"/>
  <c r="D209" i="11"/>
  <c r="E209" i="11"/>
  <c r="D210" i="11"/>
  <c r="J210" i="11" s="1"/>
  <c r="E210" i="11"/>
  <c r="D211" i="11"/>
  <c r="E211" i="11"/>
  <c r="D212" i="11"/>
  <c r="E212" i="11"/>
  <c r="D213" i="11"/>
  <c r="H213" i="11" s="1"/>
  <c r="E213" i="11"/>
  <c r="D214" i="11"/>
  <c r="I214" i="11" s="1"/>
  <c r="E214" i="11"/>
  <c r="D215" i="11"/>
  <c r="H215" i="11" s="1"/>
  <c r="E215" i="11"/>
  <c r="D216" i="11"/>
  <c r="H216" i="11" s="1"/>
  <c r="E216" i="11"/>
  <c r="D217" i="11"/>
  <c r="J217" i="11" s="1"/>
  <c r="E217" i="11"/>
  <c r="D218" i="11"/>
  <c r="E218" i="11"/>
  <c r="D219" i="11"/>
  <c r="H219" i="11" s="1"/>
  <c r="E219" i="11"/>
  <c r="D220" i="11"/>
  <c r="H220" i="11" s="1"/>
  <c r="E220" i="11"/>
  <c r="D221" i="11"/>
  <c r="J221" i="11" s="1"/>
  <c r="E221" i="11"/>
  <c r="F204" i="11"/>
  <c r="F203" i="11"/>
  <c r="F202" i="11"/>
  <c r="F201" i="11"/>
  <c r="F200" i="11"/>
  <c r="F199" i="11"/>
  <c r="F198" i="11"/>
  <c r="F197" i="11"/>
  <c r="F196" i="11"/>
  <c r="D175" i="11"/>
  <c r="J175" i="11" s="1"/>
  <c r="E175" i="11"/>
  <c r="G175" i="11"/>
  <c r="D176" i="11"/>
  <c r="E176" i="11"/>
  <c r="G176" i="11"/>
  <c r="D177" i="11"/>
  <c r="E177" i="11"/>
  <c r="G177" i="11"/>
  <c r="D178" i="11"/>
  <c r="J178" i="11" s="1"/>
  <c r="E178" i="11"/>
  <c r="G178" i="11"/>
  <c r="D179" i="11"/>
  <c r="J179" i="11" s="1"/>
  <c r="E179" i="11"/>
  <c r="G179" i="11"/>
  <c r="D180" i="11"/>
  <c r="I180" i="11" s="1"/>
  <c r="E180" i="11"/>
  <c r="G180" i="11"/>
  <c r="D181" i="11"/>
  <c r="E181" i="11"/>
  <c r="G181" i="11"/>
  <c r="D182" i="11"/>
  <c r="H182" i="11" s="1"/>
  <c r="E182" i="11"/>
  <c r="G182" i="11"/>
  <c r="D183" i="11"/>
  <c r="J183" i="11" s="1"/>
  <c r="E183" i="11"/>
  <c r="G183" i="11"/>
  <c r="D184" i="11"/>
  <c r="J184" i="11" s="1"/>
  <c r="E184" i="11"/>
  <c r="G184" i="11"/>
  <c r="D185" i="11"/>
  <c r="H185" i="11" s="1"/>
  <c r="E185" i="11"/>
  <c r="G185" i="11"/>
  <c r="D186" i="11"/>
  <c r="H186" i="11" s="1"/>
  <c r="E186" i="11"/>
  <c r="G186" i="11"/>
  <c r="D187" i="11"/>
  <c r="J187" i="11" s="1"/>
  <c r="E187" i="11"/>
  <c r="G187" i="11"/>
  <c r="D188" i="11"/>
  <c r="J188" i="11" s="1"/>
  <c r="E188" i="11"/>
  <c r="G188" i="11"/>
  <c r="D189" i="11"/>
  <c r="H189" i="11" s="1"/>
  <c r="E189" i="11"/>
  <c r="G189" i="11"/>
  <c r="D190" i="11"/>
  <c r="H190" i="11" s="1"/>
  <c r="E190" i="11"/>
  <c r="G190" i="11"/>
  <c r="D191" i="11"/>
  <c r="J191" i="11" s="1"/>
  <c r="E191" i="11"/>
  <c r="G191" i="11"/>
  <c r="D192" i="11"/>
  <c r="H192" i="11" s="1"/>
  <c r="E192" i="11"/>
  <c r="G192" i="11"/>
  <c r="D193" i="11"/>
  <c r="H193" i="11" s="1"/>
  <c r="E193" i="11"/>
  <c r="G193" i="11"/>
  <c r="D194" i="11"/>
  <c r="J194" i="11" s="1"/>
  <c r="E194" i="11"/>
  <c r="G194" i="11"/>
  <c r="D195" i="11"/>
  <c r="H195" i="11" s="1"/>
  <c r="E195" i="11"/>
  <c r="G195" i="11"/>
  <c r="D196" i="11"/>
  <c r="H196" i="11" s="1"/>
  <c r="E196" i="11"/>
  <c r="G196" i="11"/>
  <c r="D197" i="11"/>
  <c r="J197" i="11" s="1"/>
  <c r="E197" i="11"/>
  <c r="G197" i="11"/>
  <c r="D198" i="11"/>
  <c r="J198" i="11" s="1"/>
  <c r="E198" i="11"/>
  <c r="G198" i="11"/>
  <c r="D199" i="11"/>
  <c r="J199" i="11" s="1"/>
  <c r="E199" i="11"/>
  <c r="G199" i="11"/>
  <c r="D200" i="11"/>
  <c r="H200" i="11" s="1"/>
  <c r="E200" i="11"/>
  <c r="G200" i="11"/>
  <c r="D201" i="11"/>
  <c r="H201" i="11" s="1"/>
  <c r="E201" i="11"/>
  <c r="G201" i="11"/>
  <c r="D202" i="11"/>
  <c r="J202" i="11" s="1"/>
  <c r="E202" i="11"/>
  <c r="G202" i="11"/>
  <c r="D203" i="11"/>
  <c r="J203" i="11" s="1"/>
  <c r="E203" i="11"/>
  <c r="G203" i="11"/>
  <c r="D204" i="11"/>
  <c r="H204" i="11" s="1"/>
  <c r="E204" i="11"/>
  <c r="G204" i="11"/>
  <c r="D222" i="11"/>
  <c r="I222" i="11" s="1"/>
  <c r="E222" i="11"/>
  <c r="D228" i="11"/>
  <c r="H228" i="11" s="1"/>
  <c r="E228" i="11"/>
  <c r="D229" i="11"/>
  <c r="I229" i="11" s="1"/>
  <c r="E229" i="11"/>
  <c r="G229" i="11"/>
  <c r="D20" i="11"/>
  <c r="J20" i="11" s="1"/>
  <c r="E20" i="11"/>
  <c r="G20" i="11"/>
  <c r="D21" i="11"/>
  <c r="H21" i="11" s="1"/>
  <c r="E21" i="11"/>
  <c r="G21" i="11"/>
  <c r="D22" i="11"/>
  <c r="H22" i="11" s="1"/>
  <c r="E22" i="11"/>
  <c r="G22" i="11"/>
  <c r="K225" i="11" l="1"/>
  <c r="K223" i="11"/>
  <c r="K227" i="11"/>
  <c r="K226" i="11"/>
  <c r="K138" i="11"/>
  <c r="K163" i="11"/>
  <c r="K161" i="11"/>
  <c r="K66" i="11"/>
  <c r="K144" i="11"/>
  <c r="K143" i="11"/>
  <c r="K64" i="11"/>
  <c r="K129" i="11"/>
  <c r="K150" i="11"/>
  <c r="K162" i="11"/>
  <c r="K155" i="11"/>
  <c r="K153" i="11"/>
  <c r="K156" i="11"/>
  <c r="K147" i="11"/>
  <c r="K142" i="11"/>
  <c r="K135" i="11"/>
  <c r="K154" i="11"/>
  <c r="K148" i="11"/>
  <c r="K95" i="11"/>
  <c r="K151" i="11"/>
  <c r="K146" i="11"/>
  <c r="K123" i="11"/>
  <c r="K145" i="11"/>
  <c r="K152" i="11"/>
  <c r="K165" i="11"/>
  <c r="K149" i="11"/>
  <c r="K133" i="11"/>
  <c r="K125" i="11"/>
  <c r="K166" i="11"/>
  <c r="K164" i="11"/>
  <c r="K141" i="11"/>
  <c r="K136" i="11"/>
  <c r="K137" i="11"/>
  <c r="K158" i="11"/>
  <c r="K157" i="11"/>
  <c r="K90" i="11"/>
  <c r="K101" i="11"/>
  <c r="K87" i="11"/>
  <c r="K75" i="11"/>
  <c r="K81" i="11"/>
  <c r="K104" i="11"/>
  <c r="K97" i="11"/>
  <c r="K91" i="11"/>
  <c r="K84" i="11"/>
  <c r="K76" i="11"/>
  <c r="K83" i="11"/>
  <c r="K99" i="11"/>
  <c r="K103" i="11"/>
  <c r="K98" i="11"/>
  <c r="K117" i="11"/>
  <c r="K118" i="11"/>
  <c r="K102" i="11"/>
  <c r="K82" i="11"/>
  <c r="K115" i="11"/>
  <c r="K93" i="11"/>
  <c r="K86" i="11"/>
  <c r="K119" i="11"/>
  <c r="K77" i="11"/>
  <c r="K74" i="11"/>
  <c r="K116" i="11"/>
  <c r="K94" i="11"/>
  <c r="K80" i="11"/>
  <c r="K72" i="11"/>
  <c r="K70" i="11"/>
  <c r="K110" i="11"/>
  <c r="K79" i="11"/>
  <c r="K120" i="11"/>
  <c r="K108" i="11"/>
  <c r="K92" i="11"/>
  <c r="K112" i="11"/>
  <c r="K100" i="11"/>
  <c r="K30" i="11"/>
  <c r="K114" i="11"/>
  <c r="K107" i="11"/>
  <c r="K105" i="11"/>
  <c r="K88" i="11"/>
  <c r="K85" i="11"/>
  <c r="K71" i="11"/>
  <c r="K106" i="11"/>
  <c r="K109" i="11"/>
  <c r="K96" i="11"/>
  <c r="K89" i="11"/>
  <c r="K111" i="11"/>
  <c r="K113" i="11"/>
  <c r="K48" i="11"/>
  <c r="K19" i="11"/>
  <c r="K56" i="11"/>
  <c r="K40" i="11"/>
  <c r="K33" i="11"/>
  <c r="K58" i="11"/>
  <c r="K37" i="11"/>
  <c r="K54" i="11"/>
  <c r="K62" i="11"/>
  <c r="K51" i="11"/>
  <c r="K49" i="11"/>
  <c r="K45" i="11"/>
  <c r="K55" i="11"/>
  <c r="K65" i="11"/>
  <c r="K23" i="11"/>
  <c r="K44" i="11"/>
  <c r="K26" i="11"/>
  <c r="K41" i="11"/>
  <c r="K32" i="11"/>
  <c r="K24" i="11"/>
  <c r="K50" i="11"/>
  <c r="K29" i="11"/>
  <c r="K46" i="11"/>
  <c r="K25" i="11"/>
  <c r="K67" i="11"/>
  <c r="K42" i="11"/>
  <c r="K34" i="11"/>
  <c r="K43" i="11"/>
  <c r="K39" i="11"/>
  <c r="K27" i="11"/>
  <c r="K61" i="11"/>
  <c r="K171" i="11"/>
  <c r="K168" i="11"/>
  <c r="K170" i="11"/>
  <c r="K31" i="11"/>
  <c r="K53" i="11"/>
  <c r="K28" i="11"/>
  <c r="K47" i="11"/>
  <c r="K169" i="11"/>
  <c r="K63" i="11"/>
  <c r="K57" i="11"/>
  <c r="K52" i="11"/>
  <c r="K36" i="11"/>
  <c r="K69" i="11"/>
  <c r="K35" i="11"/>
  <c r="K60" i="11"/>
  <c r="K59" i="11"/>
  <c r="K68" i="11"/>
  <c r="K122" i="11"/>
  <c r="K17" i="11"/>
  <c r="K18" i="11"/>
  <c r="K16" i="11"/>
  <c r="I181" i="11"/>
  <c r="H177" i="11"/>
  <c r="H174" i="11"/>
  <c r="I172" i="11"/>
  <c r="I218" i="11"/>
  <c r="H172" i="11"/>
  <c r="J174" i="11"/>
  <c r="H209" i="11"/>
  <c r="H212" i="11"/>
  <c r="I211" i="11"/>
  <c r="J213" i="11"/>
  <c r="I206" i="11"/>
  <c r="J220" i="11"/>
  <c r="H214" i="11"/>
  <c r="I217" i="11"/>
  <c r="I210" i="11"/>
  <c r="I221" i="11"/>
  <c r="H207" i="11"/>
  <c r="J205" i="11"/>
  <c r="J180" i="11"/>
  <c r="H218" i="11"/>
  <c r="J216" i="11"/>
  <c r="H211" i="11"/>
  <c r="J209" i="11"/>
  <c r="H222" i="11"/>
  <c r="J228" i="11"/>
  <c r="H221" i="11"/>
  <c r="I220" i="11"/>
  <c r="J219" i="11"/>
  <c r="H217" i="11"/>
  <c r="I216" i="11"/>
  <c r="J215" i="11"/>
  <c r="I213" i="11"/>
  <c r="J212" i="11"/>
  <c r="H210" i="11"/>
  <c r="I209" i="11"/>
  <c r="J208" i="11"/>
  <c r="H206" i="11"/>
  <c r="I205" i="11"/>
  <c r="I228" i="11"/>
  <c r="J222" i="11"/>
  <c r="I219" i="11"/>
  <c r="J218" i="11"/>
  <c r="I215" i="11"/>
  <c r="J214" i="11"/>
  <c r="I212" i="11"/>
  <c r="J211" i="11"/>
  <c r="I208" i="11"/>
  <c r="J207" i="11"/>
  <c r="I199" i="11"/>
  <c r="H199" i="11"/>
  <c r="J195" i="11"/>
  <c r="H180" i="11"/>
  <c r="J182" i="11"/>
  <c r="I178" i="11"/>
  <c r="J190" i="11"/>
  <c r="J229" i="11"/>
  <c r="I195" i="11"/>
  <c r="I193" i="11"/>
  <c r="J192" i="11"/>
  <c r="J201" i="11"/>
  <c r="H176" i="11"/>
  <c r="I201" i="11"/>
  <c r="I192" i="11"/>
  <c r="I190" i="11"/>
  <c r="I176" i="11"/>
  <c r="I184" i="11"/>
  <c r="I182" i="11"/>
  <c r="J186" i="11"/>
  <c r="H184" i="11"/>
  <c r="H181" i="11"/>
  <c r="H178" i="11"/>
  <c r="I177" i="11"/>
  <c r="J176" i="11"/>
  <c r="I197" i="11"/>
  <c r="H203" i="11"/>
  <c r="H188" i="11"/>
  <c r="I186" i="11"/>
  <c r="H229" i="11"/>
  <c r="I200" i="11"/>
  <c r="I185" i="11"/>
  <c r="I175" i="11"/>
  <c r="I203" i="11"/>
  <c r="I188" i="11"/>
  <c r="H197" i="11"/>
  <c r="I196" i="11"/>
  <c r="I204" i="11"/>
  <c r="I189" i="11"/>
  <c r="J204" i="11"/>
  <c r="H202" i="11"/>
  <c r="J200" i="11"/>
  <c r="H198" i="11"/>
  <c r="J196" i="11"/>
  <c r="H194" i="11"/>
  <c r="J193" i="11"/>
  <c r="H191" i="11"/>
  <c r="J189" i="11"/>
  <c r="H187" i="11"/>
  <c r="J185" i="11"/>
  <c r="H183" i="11"/>
  <c r="J181" i="11"/>
  <c r="H179" i="11"/>
  <c r="J177" i="11"/>
  <c r="H175" i="11"/>
  <c r="I202" i="11"/>
  <c r="I198" i="11"/>
  <c r="I194" i="11"/>
  <c r="I183" i="11"/>
  <c r="I191" i="11"/>
  <c r="I187" i="11"/>
  <c r="I179" i="11"/>
  <c r="J22" i="11"/>
  <c r="I22" i="11"/>
  <c r="J21" i="11"/>
  <c r="I21" i="11"/>
  <c r="I20" i="11"/>
  <c r="H20" i="11"/>
  <c r="K214" i="11" l="1"/>
  <c r="K219" i="11"/>
  <c r="K205" i="11"/>
  <c r="K206" i="11"/>
  <c r="K172" i="11"/>
  <c r="K216" i="11"/>
  <c r="K221" i="11"/>
  <c r="K207" i="11"/>
  <c r="K217" i="11"/>
  <c r="K174" i="11"/>
  <c r="K212" i="11"/>
  <c r="K175" i="11"/>
  <c r="K213" i="11"/>
  <c r="K215" i="11"/>
  <c r="K192" i="11"/>
  <c r="K208" i="11"/>
  <c r="K220" i="11"/>
  <c r="K228" i="11"/>
  <c r="K204" i="11"/>
  <c r="K193" i="11"/>
  <c r="K195" i="11"/>
  <c r="K211" i="11"/>
  <c r="K180" i="11"/>
  <c r="K229" i="11"/>
  <c r="K190" i="11"/>
  <c r="K209" i="11"/>
  <c r="K218" i="11"/>
  <c r="K210" i="11"/>
  <c r="K189" i="11"/>
  <c r="K199" i="11"/>
  <c r="K182" i="11"/>
  <c r="K222" i="11"/>
  <c r="K197" i="11"/>
  <c r="K176" i="11"/>
  <c r="K181" i="11"/>
  <c r="K178" i="11"/>
  <c r="K184" i="11"/>
  <c r="K179" i="11"/>
  <c r="K186" i="11"/>
  <c r="K201" i="11"/>
  <c r="K177" i="11"/>
  <c r="K196" i="11"/>
  <c r="K194" i="11"/>
  <c r="K188" i="11"/>
  <c r="K203" i="11"/>
  <c r="K185" i="11"/>
  <c r="K200" i="11"/>
  <c r="K202" i="11"/>
  <c r="K183" i="11"/>
  <c r="K191" i="11"/>
  <c r="K198" i="11"/>
  <c r="K187" i="11"/>
  <c r="K22" i="11"/>
  <c r="K20" i="11"/>
  <c r="K21" i="11"/>
  <c r="D21" i="59" l="1"/>
  <c r="K6" i="60"/>
  <c r="D15" i="11" l="1"/>
  <c r="H15" i="11" s="1"/>
  <c r="E15" i="11"/>
  <c r="G15" i="11"/>
  <c r="D16" i="60"/>
  <c r="J15" i="11" l="1"/>
  <c r="I15" i="11"/>
  <c r="K15" i="11" l="1"/>
  <c r="D14" i="11" l="1"/>
  <c r="J14" i="11" s="1"/>
  <c r="J230" i="11" s="1"/>
  <c r="E14" i="11"/>
  <c r="G14" i="11"/>
  <c r="K19" i="60"/>
  <c r="D19" i="60"/>
  <c r="H14" i="11" l="1"/>
  <c r="H230" i="11" s="1"/>
  <c r="I14" i="11"/>
  <c r="I230" i="11" s="1"/>
  <c r="K230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230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30" i="11"/>
  <c r="D231" i="11"/>
  <c r="H231" i="11" s="1"/>
  <c r="E231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231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238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9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230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231" i="11"/>
  <c r="I231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94" i="29"/>
  <c r="F289" i="29"/>
  <c r="E299" i="29"/>
  <c r="E268" i="29"/>
  <c r="E273" i="29"/>
  <c r="F308" i="29"/>
  <c r="F293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231" i="11"/>
  <c r="E267" i="29" l="1"/>
  <c r="F278" i="29"/>
  <c r="E236" i="29"/>
  <c r="E227" i="29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233" i="11"/>
  <c r="H234" i="11" s="1"/>
  <c r="I233" i="11"/>
  <c r="I234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1" i="29" l="1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235" i="11"/>
  <c r="I235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K233" i="11"/>
  <c r="K234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233" i="11"/>
  <c r="J234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B16" i="29"/>
  <c r="E16" i="29" s="1"/>
  <c r="K235" i="11"/>
  <c r="B236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23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 l="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<sst xmlns="http://schemas.openxmlformats.org/spreadsheetml/2006/main" count="5031" uniqueCount="1654">
  <si>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</si>
  <si>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</si>
  <si>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</si>
  <si>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</si>
  <si>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</si>
  <si>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</si>
  <si>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</si>
  <si>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</si>
  <si>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</si>
  <si>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</si>
  <si>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</si>
  <si>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</si>
  <si>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</si>
  <si>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</si>
  <si>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</si>
  <si>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</si>
  <si>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</si>
  <si>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</si>
  <si>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</si>
  <si>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</si>
  <si>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</si>
  <si>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</si>
  <si>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</si>
  <si>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</si>
  <si>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</si>
  <si>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</si>
  <si>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</si>
  <si>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</si>
  <si>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</si>
  <si>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</si>
  <si>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</si>
  <si>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</si>
  <si>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</si>
  <si>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</si>
  <si>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</si>
  <si>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</si>
  <si>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</si>
  <si>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</si>
  <si>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</si>
  <si>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</si>
  <si>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</si>
  <si>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</si>
  <si>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</si>
  <si>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</si>
  <si>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</si>
  <si>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</si>
  <si>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</si>
  <si>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</si>
  <si>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</si>
  <si>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</si>
  <si>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</si>
  <si>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</si>
  <si>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</si>
  <si>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</si>
  <si>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</si>
  <si>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</si>
  <si>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</si>
  <si>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</si>
  <si>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</si>
  <si>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</si>
  <si>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</si>
  <si>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</si>
  <si>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</si>
  <si>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</si>
  <si>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</si>
  <si>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</si>
  <si>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</si>
  <si>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</si>
  <si>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</si>
  <si>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</si>
  <si>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</si>
  <si>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</si>
  <si>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</si>
  <si>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</si>
  <si>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</si>
  <si>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</si>
  <si>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</si>
  <si>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</si>
  <si>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</si>
  <si>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</si>
  <si>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</si>
  <si>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</si>
  <si>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</si>
  <si>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</si>
  <si>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</si>
  <si>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</si>
  <si>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</si>
  <si>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</si>
  <si>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</si>
  <si>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</si>
  <si>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</si>
  <si>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</si>
  <si>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</si>
  <si>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</si>
  <si>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</si>
  <si>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</si>
  <si>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</si>
  <si>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</si>
  <si>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</si>
  <si>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</si>
  <si>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</si>
  <si>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</si>
  <si>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</si>
  <si>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</si>
  <si>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</si>
  <si>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</si>
  <si>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</si>
  <si>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</si>
  <si>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</si>
  <si>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</si>
  <si>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</si>
  <si>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</si>
  <si>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</si>
  <si>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</si>
  <si>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</si>
  <si>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</si>
  <si>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</si>
  <si>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</si>
  <si>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</si>
  <si>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</si>
  <si>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</si>
  <si>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</si>
  <si>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</si>
  <si>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</si>
  <si>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</si>
  <si>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</si>
  <si>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</si>
  <si>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</si>
  <si>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</si>
  <si>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</si>
  <si>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</si>
  <si>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</si>
  <si>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</si>
  <si>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</si>
  <si>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</si>
  <si>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</si>
  <si>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</si>
  <si>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</si>
  <si>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</si>
  <si>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</si>
  <si>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</si>
  <si>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</si>
  <si>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</si>
  <si>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</si>
  <si>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</si>
  <si>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</si>
  <si>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</si>
  <si>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</si>
  <si>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</si>
  <si>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</si>
  <si>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</si>
  <si>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</si>
  <si>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</si>
  <si>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</si>
  <si>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</si>
  <si>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</si>
  <si>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</si>
  <si>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</si>
  <si>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</si>
  <si>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</si>
  <si>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</si>
  <si>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</si>
  <si>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</si>
  <si>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</si>
  <si>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</si>
  <si>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</si>
  <si>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</si>
  <si>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</si>
  <si>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</si>
  <si>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</si>
  <si>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</si>
  <si>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</si>
  <si>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</si>
  <si>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</si>
  <si>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</si>
  <si>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</si>
  <si>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</si>
  <si>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</si>
  <si>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</si>
  <si>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</si>
  <si>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</si>
  <si>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</si>
  <si>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</si>
  <si>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</si>
  <si>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</si>
  <si>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</si>
  <si>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</si>
  <si>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</si>
  <si>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</si>
  <si>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</si>
  <si>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</si>
  <si>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</si>
  <si>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</si>
  <si>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</si>
  <si>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</si>
  <si>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</si>
  <si>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</si>
  <si>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</si>
  <si>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</si>
  <si>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</si>
  <si>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</si>
  <si>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</si>
  <si>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</si>
  <si>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</si>
  <si>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</si>
  <si>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</si>
  <si>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</si>
  <si>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</si>
  <si>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</si>
  <si>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</si>
  <si>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</si>
  <si>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</si>
  <si>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</si>
  <si>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</si>
  <si>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</si>
  <si>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</si>
  <si>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</si>
  <si>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</si>
  <si>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</si>
  <si>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</si>
  <si>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</si>
  <si>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</si>
  <si>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</si>
  <si>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</si>
  <si>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</si>
  <si>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</si>
  <si>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</si>
  <si>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</si>
  <si>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</si>
  <si>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</si>
  <si>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</si>
  <si>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</si>
  <si>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</si>
  <si>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</si>
  <si>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</si>
  <si>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</si>
  <si>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</si>
  <si>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</si>
  <si>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</si>
  <si>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</si>
  <si>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</si>
  <si>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</si>
  <si>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</si>
  <si>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</si>
  <si>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</si>
  <si>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</si>
  <si>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</si>
  <si>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</si>
  <si>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</si>
  <si>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</si>
  <si>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</si>
  <si>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</si>
  <si>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</si>
  <si>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</si>
  <si>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</si>
  <si>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</si>
  <si>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</si>
  <si>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</si>
  <si>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</si>
  <si>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</si>
  <si>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</si>
  <si>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</si>
  <si>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</si>
  <si>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</si>
  <si>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</si>
  <si>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</si>
  <si>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</si>
  <si>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</si>
  <si>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</si>
  <si>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</si>
  <si>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</si>
  <si>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</si>
  <si>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</si>
  <si>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</si>
  <si>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</si>
  <si>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</si>
  <si>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</si>
  <si>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</si>
  <si>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</si>
  <si>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</si>
  <si>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</si>
  <si>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</si>
  <si>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</si>
  <si>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</si>
  <si>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</si>
  <si>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</si>
  <si>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</si>
  <si>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</si>
  <si>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</si>
  <si>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</si>
  <si>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</si>
  <si>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</si>
  <si>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</si>
  <si>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</si>
  <si>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</si>
  <si>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</si>
  <si>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</si>
  <si>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</si>
  <si>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</si>
  <si>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</si>
  <si>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</si>
  <si>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</si>
  <si>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</si>
  <si>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</si>
  <si>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</si>
  <si>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</si>
  <si>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</si>
  <si>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</si>
  <si>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</si>
  <si>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</si>
  <si>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</si>
  <si>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</si>
  <si>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</si>
  <si>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</si>
  <si>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</si>
  <si>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</si>
  <si>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</si>
  <si>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</si>
  <si>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</si>
  <si>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</si>
  <si>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</si>
  <si>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</si>
  <si>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</si>
  <si>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</si>
  <si>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</si>
  <si>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</si>
  <si>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</si>
  <si>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</si>
  <si>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</si>
  <si>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</si>
  <si>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</si>
  <si>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</si>
  <si>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</si>
  <si>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</si>
  <si>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</si>
  <si>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</si>
  <si>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</si>
  <si>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</si>
  <si>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</si>
  <si>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</si>
  <si>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</si>
  <si>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</si>
  <si>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</si>
  <si>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</si>
  <si>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</si>
  <si>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</si>
  <si>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</si>
  <si>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</si>
  <si>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</si>
  <si>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</si>
  <si>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</si>
  <si>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</si>
  <si>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</si>
  <si>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</si>
  <si>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</si>
  <si>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</si>
  <si>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</si>
  <si>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</si>
  <si>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</si>
  <si>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</si>
  <si>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</si>
  <si>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</si>
  <si>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</si>
  <si>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</si>
  <si>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</si>
  <si>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</si>
  <si>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</si>
  <si>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</si>
  <si>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</si>
  <si>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</si>
  <si>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</si>
  <si>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</si>
  <si>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</si>
  <si>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</si>
  <si>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</si>
  <si>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</si>
  <si>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</si>
  <si>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</si>
  <si>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</si>
  <si>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</si>
  <si>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</si>
  <si>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</si>
  <si>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</si>
  <si>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</si>
  <si>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</si>
  <si>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</si>
  <si>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</si>
  <si>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</si>
  <si>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</si>
  <si>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</si>
  <si>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</si>
  <si>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</si>
  <si>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</si>
  <si>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</si>
  <si>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</si>
  <si>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</si>
  <si>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</si>
  <si>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</si>
  <si>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</si>
  <si>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</si>
  <si>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</si>
  <si>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</si>
  <si>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</si>
  <si>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</si>
  <si>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</si>
  <si>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</si>
  <si>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</si>
  <si>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</si>
  <si>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</si>
  <si>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</si>
  <si>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</si>
  <si>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</si>
  <si>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</si>
  <si>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</si>
  <si>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</si>
  <si>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</si>
  <si>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</si>
  <si>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</si>
  <si>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</si>
  <si>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</si>
  <si>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</si>
  <si>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</si>
  <si>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</si>
  <si>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</si>
  <si>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</si>
  <si>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</si>
  <si>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</si>
  <si>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</si>
  <si>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</si>
  <si>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</si>
  <si>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</si>
  <si>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</si>
  <si>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</si>
  <si>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</si>
  <si>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</si>
  <si>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</si>
  <si>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</si>
  <si>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</si>
  <si>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</si>
  <si>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</si>
  <si>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</si>
  <si>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</si>
  <si>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</si>
  <si>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</si>
  <si>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</si>
  <si>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</si>
  <si>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</si>
  <si>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</si>
  <si>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</si>
  <si>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</si>
  <si>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</si>
  <si>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</si>
  <si>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</si>
  <si>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</si>
  <si>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</si>
  <si>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</si>
  <si>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</si>
  <si>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</si>
  <si>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</si>
  <si>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</si>
  <si>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</si>
  <si>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</si>
  <si>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</si>
  <si>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</si>
  <si>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</si>
  <si>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</si>
  <si>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</si>
  <si>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</si>
  <si>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</si>
  <si>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</si>
  <si>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</si>
  <si>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</si>
  <si>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</si>
  <si>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</si>
  <si>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</si>
  <si>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</si>
  <si>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</si>
  <si>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</si>
  <si>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</si>
  <si>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</si>
  <si>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</si>
  <si>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</si>
  <si>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</si>
  <si>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</si>
  <si>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</si>
  <si>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</si>
  <si>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</si>
  <si>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</si>
  <si>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</si>
  <si>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</si>
  <si>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</si>
  <si>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</si>
  <si>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</si>
  <si>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</si>
  <si>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</si>
  <si>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</si>
  <si>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</si>
  <si>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</si>
  <si>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</si>
  <si>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</si>
  <si>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</si>
  <si>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</si>
  <si>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</si>
  <si>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</si>
  <si>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</si>
  <si>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</si>
  <si>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</si>
  <si>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</si>
  <si>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</si>
  <si>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</si>
  <si>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</si>
  <si>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</si>
  <si>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</si>
  <si>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</si>
  <si>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</si>
  <si>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</si>
  <si>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</si>
  <si>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</si>
  <si>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</si>
  <si>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</si>
  <si>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</si>
  <si>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</si>
  <si>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</si>
  <si>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</si>
  <si>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</si>
  <si>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</si>
  <si>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</si>
  <si>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</si>
  <si>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</si>
  <si>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</si>
  <si>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</si>
  <si>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</si>
  <si>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</si>
  <si>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</si>
  <si>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</si>
  <si>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</si>
  <si>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</si>
  <si>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</si>
  <si>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</si>
  <si>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</si>
  <si>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</si>
  <si>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</si>
  <si>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</si>
  <si>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</si>
  <si>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</si>
  <si>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</si>
  <si>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</si>
  <si>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</si>
  <si>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</si>
  <si>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</si>
  <si>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</si>
  <si>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</si>
  <si>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</si>
  <si>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</si>
  <si>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</si>
  <si>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</si>
  <si>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</si>
  <si>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</si>
  <si>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</si>
  <si>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</si>
  <si>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</si>
  <si>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</si>
  <si>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</si>
  <si>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</si>
  <si>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</si>
  <si>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</si>
  <si>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</si>
  <si>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</si>
  <si>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</si>
  <si>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</si>
  <si>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</si>
  <si>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</si>
  <si>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</si>
  <si>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</si>
  <si>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</si>
  <si>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</si>
  <si>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</si>
  <si>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</si>
  <si>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</si>
  <si>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</si>
  <si>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</si>
  <si>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</si>
  <si>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</si>
  <si>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</si>
  <si>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</si>
  <si>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</si>
  <si>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</si>
  <si>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</si>
  <si>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</si>
  <si>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</si>
  <si>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</si>
  <si>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</si>
  <si>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</si>
  <si>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</si>
  <si>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</si>
  <si>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</si>
  <si>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</si>
  <si>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</si>
  <si>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</si>
  <si>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</si>
  <si>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</si>
  <si>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</si>
  <si>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</si>
  <si>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</si>
  <si>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</si>
  <si>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</si>
  <si>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</si>
  <si>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</si>
  <si>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</si>
  <si>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</si>
  <si>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</si>
  <si>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</si>
  <si>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</si>
  <si>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</si>
  <si>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</si>
  <si>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</si>
  <si>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</si>
  <si>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</si>
  <si>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</si>
  <si>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</si>
  <si>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</si>
  <si>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</si>
  <si>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</si>
  <si>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</si>
  <si>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</si>
  <si>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</si>
  <si>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</si>
  <si>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</si>
  <si>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</si>
  <si>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</si>
  <si>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</si>
  <si>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</si>
  <si>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</si>
  <si>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</si>
  <si>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</si>
  <si>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</si>
  <si>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</si>
  <si>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</si>
  <si>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</si>
  <si>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</si>
  <si>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</si>
  <si>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</si>
  <si>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</si>
  <si>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</si>
  <si>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</si>
  <si>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</si>
  <si>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</si>
  <si>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</si>
  <si>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</si>
  <si>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</si>
  <si>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</si>
  <si>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</si>
  <si>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</si>
  <si>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</si>
  <si>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</si>
  <si>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</si>
  <si>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</si>
  <si>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</si>
  <si>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</si>
  <si>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</si>
  <si>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</si>
  <si>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</si>
  <si>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</si>
  <si>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</si>
  <si>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</si>
  <si>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</si>
  <si>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</si>
  <si>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</si>
  <si>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</si>
  <si>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</si>
  <si>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</si>
  <si>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</si>
  <si>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</si>
  <si>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</si>
  <si>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</si>
  <si>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</si>
  <si>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</si>
  <si>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</si>
  <si>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</si>
  <si>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</si>
  <si>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</si>
  <si>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</si>
  <si>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</si>
  <si>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</si>
  <si>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</si>
  <si>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</si>
  <si>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</si>
  <si>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</si>
  <si>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</si>
  <si>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</si>
  <si>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</si>
  <si>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</si>
  <si>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</si>
  <si>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</si>
  <si>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</si>
  <si>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</si>
  <si>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</si>
  <si>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</si>
  <si>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</si>
  <si>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</si>
  <si>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</si>
  <si>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</si>
  <si>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</si>
  <si>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</si>
  <si>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</si>
  <si>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</si>
  <si>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</si>
  <si>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</si>
  <si>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</si>
  <si>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</si>
  <si>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</si>
  <si>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</si>
  <si>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</si>
  <si>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</si>
  <si>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</si>
  <si>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</si>
  <si>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</si>
  <si>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</si>
  <si>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</si>
  <si>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</si>
  <si>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</si>
  <si>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</si>
  <si>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</si>
  <si>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</si>
  <si>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</si>
  <si>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</si>
  <si>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</si>
  <si>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</si>
  <si>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</si>
  <si>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</si>
  <si>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</si>
  <si>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</si>
  <si>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</si>
  <si>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</si>
  <si>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</si>
  <si>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</si>
  <si>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</si>
  <si>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</si>
  <si>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</si>
  <si>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</si>
  <si>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</si>
  <si>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</si>
  <si>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</si>
  <si>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</si>
  <si>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</si>
  <si>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</si>
  <si>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</si>
  <si>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</si>
  <si>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</si>
  <si>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</si>
  <si>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</si>
  <si>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</si>
  <si>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</si>
  <si>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</si>
  <si>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</si>
  <si>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</si>
  <si>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</si>
  <si>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</si>
  <si>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</si>
  <si>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</si>
  <si>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</si>
  <si>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</si>
  <si>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</si>
  <si>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</si>
  <si>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</si>
  <si>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</si>
  <si>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</si>
  <si>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</si>
  <si>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</si>
  <si>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</si>
  <si>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</si>
  <si>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</si>
  <si>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</si>
  <si>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</si>
  <si>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</si>
  <si>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</si>
  <si>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</si>
  <si>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</si>
  <si>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</si>
  <si>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</si>
  <si>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</si>
  <si>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</si>
  <si>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</si>
  <si>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</si>
  <si>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</si>
  <si>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</si>
  <si>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</si>
  <si>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</si>
  <si>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</si>
  <si>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</si>
  <si>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</si>
  <si>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</si>
  <si>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</si>
  <si>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</si>
  <si>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</si>
  <si>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</si>
  <si>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</si>
  <si>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</si>
  <si>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</si>
  <si>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</si>
  <si>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</si>
  <si>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</si>
  <si>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</si>
  <si>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</si>
  <si>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</si>
  <si>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</si>
  <si>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</si>
  <si>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</si>
  <si>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</si>
  <si>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</si>
  <si>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</si>
  <si>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</si>
  <si>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</si>
  <si>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</si>
  <si>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</si>
  <si>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</si>
  <si>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</si>
  <si>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</si>
  <si>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</si>
  <si>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</si>
  <si>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</si>
  <si>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</si>
  <si>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</si>
  <si>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</si>
  <si>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</si>
  <si>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</si>
  <si>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</si>
  <si>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</si>
  <si>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</si>
  <si>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</si>
  <si>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</si>
  <si>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</si>
  <si>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</si>
  <si>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</si>
  <si>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</si>
  <si>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</si>
  <si>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</si>
  <si>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</si>
  <si>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</si>
  <si>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</si>
  <si>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</si>
  <si>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</si>
  <si>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</si>
  <si>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</si>
  <si>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</si>
  <si>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</si>
  <si>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</si>
  <si>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</si>
  <si>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</si>
  <si>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</si>
  <si>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</si>
  <si>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</si>
  <si>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</si>
  <si>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</si>
  <si>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</si>
  <si>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</si>
  <si>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</si>
  <si>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</si>
  <si>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</si>
  <si>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</si>
  <si>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</si>
  <si>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</si>
  <si>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</si>
  <si>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</si>
  <si>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</si>
  <si>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</si>
  <si>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</si>
  <si>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</si>
  <si>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</si>
  <si>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</si>
  <si>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</si>
  <si>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</si>
  <si>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</si>
  <si>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</si>
  <si>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</si>
  <si>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</si>
  <si>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</si>
  <si>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</si>
  <si>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</si>
  <si>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</si>
  <si>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</si>
  <si>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</si>
  <si>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</si>
  <si>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</si>
  <si>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</si>
  <si>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</si>
  <si>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</si>
  <si>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</si>
  <si>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</si>
  <si>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</si>
  <si>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</si>
  <si>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</si>
  <si>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</si>
  <si>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</si>
  <si>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</si>
  <si>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</si>
  <si>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</si>
  <si>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</si>
  <si>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</si>
  <si>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</si>
  <si>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</si>
  <si>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</si>
  <si>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</si>
  <si>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</si>
  <si>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</si>
  <si>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</si>
  <si>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</si>
  <si>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</si>
  <si>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</si>
  <si>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</si>
  <si>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</si>
  <si>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</si>
  <si>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</si>
  <si>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</si>
  <si>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</si>
  <si>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</si>
  <si>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</si>
  <si>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</si>
  <si>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</si>
  <si>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</si>
  <si>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</si>
  <si>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</si>
  <si>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</si>
  <si>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</si>
  <si>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</si>
  <si>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</si>
  <si>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</si>
  <si>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</si>
  <si>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</si>
  <si>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</si>
  <si>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</si>
  <si>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</si>
  <si>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</si>
  <si>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</si>
  <si>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</si>
  <si>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</si>
  <si>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</si>
  <si>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</si>
  <si>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</si>
  <si>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</si>
  <si>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</si>
  <si>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</si>
  <si>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</si>
  <si>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</si>
  <si>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</si>
  <si>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</si>
  <si>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</si>
  <si>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</si>
  <si>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</si>
  <si>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</si>
  <si>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</si>
  <si>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</si>
  <si>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</si>
  <si>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</si>
  <si>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</si>
  <si>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</si>
  <si>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</si>
  <si>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</si>
  <si>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</si>
  <si>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</si>
  <si>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</si>
  <si>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</si>
  <si>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</si>
  <si>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</si>
  <si>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</si>
  <si>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</si>
  <si>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</si>
  <si>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</si>
  <si>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</si>
  <si>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</si>
  <si>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</si>
  <si>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</si>
  <si>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</si>
  <si>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</si>
  <si>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</si>
  <si>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</si>
  <si>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</si>
  <si>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</si>
  <si>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</si>
  <si>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</si>
  <si>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</si>
  <si>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</si>
  <si>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</si>
  <si>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</si>
  <si>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</si>
  <si>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</si>
  <si>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</si>
  <si>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</si>
  <si>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</si>
  <si>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</si>
  <si>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</si>
  <si>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</si>
  <si>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</si>
  <si>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</si>
  <si>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</si>
  <si>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</si>
  <si>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</si>
  <si>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</si>
  <si>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</si>
  <si>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</si>
  <si>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</si>
  <si>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</si>
  <si>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</si>
  <si>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</si>
  <si>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</si>
  <si>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</si>
  <si>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</si>
  <si>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</si>
  <si>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</si>
  <si>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</si>
  <si>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</si>
  <si>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</si>
  <si>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</si>
  <si>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</si>
  <si>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</si>
  <si>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</si>
  <si>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</si>
  <si>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</si>
  <si>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</si>
  <si>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</si>
  <si>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</si>
  <si>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</si>
  <si>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</si>
  <si>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</si>
  <si>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</si>
  <si>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</si>
  <si>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</si>
  <si>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</si>
  <si>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</si>
  <si>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</si>
  <si>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</si>
  <si>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</si>
  <si>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</si>
  <si>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</si>
  <si>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</si>
  <si>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</si>
  <si>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</si>
  <si>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</si>
  <si>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</si>
  <si>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</si>
  <si>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</si>
  <si>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</si>
  <si>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</si>
  <si>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</si>
  <si>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</si>
  <si>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</si>
  <si>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</si>
  <si>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</si>
  <si>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</si>
  <si>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</si>
  <si>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</si>
  <si>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</si>
  <si>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</si>
  <si>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</si>
  <si>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</si>
  <si>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</si>
  <si>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</si>
  <si>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</si>
  <si>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</si>
  <si>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</si>
  <si>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</si>
  <si>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</si>
  <si>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</si>
  <si>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</si>
  <si>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</si>
  <si>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</si>
  <si>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</si>
  <si>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</si>
  <si>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</si>
  <si>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</si>
  <si>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</si>
  <si>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</si>
  <si>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</si>
  <si>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</si>
  <si>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</si>
  <si>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</si>
  <si>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</si>
  <si>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</si>
  <si>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</si>
  <si>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</si>
  <si>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</si>
  <si>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</si>
  <si>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</si>
  <si>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</si>
  <si>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</si>
  <si>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</si>
  <si>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</si>
  <si>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</si>
  <si>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</si>
  <si>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</si>
  <si>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</si>
  <si>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</si>
  <si>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</si>
  <si>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</si>
  <si>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</si>
  <si>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</si>
  <si>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</si>
  <si>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</si>
  <si>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</si>
  <si>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</si>
  <si>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</si>
  <si>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</si>
  <si>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</si>
  <si>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</si>
  <si>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</si>
  <si>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</si>
  <si>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</si>
  <si>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</si>
  <si>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</si>
  <si>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</si>
  <si>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</si>
  <si>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</si>
  <si>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</si>
  <si>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</si>
  <si>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</si>
  <si>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</si>
  <si>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</si>
  <si>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</si>
  <si>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</si>
  <si>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</si>
  <si>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</si>
  <si>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</si>
  <si>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</si>
  <si>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</si>
  <si>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</si>
  <si>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</si>
  <si>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</si>
  <si>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</si>
  <si>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</si>
  <si>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</si>
  <si>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</si>
  <si>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</si>
  <si>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</si>
  <si>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</si>
  <si>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</si>
  <si>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</si>
  <si>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</si>
  <si>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</si>
  <si>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</si>
  <si>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</si>
  <si>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</si>
  <si>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</si>
  <si>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</si>
  <si>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</si>
  <si>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</si>
  <si>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</si>
  <si>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</si>
  <si>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</si>
  <si>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</si>
  <si>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</si>
  <si>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</si>
  <si>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</si>
  <si>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</si>
  <si>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</si>
  <si>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</si>
  <si>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</si>
  <si>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</si>
  <si>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</si>
  <si>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</si>
  <si>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</si>
  <si>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</si>
  <si>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</si>
  <si>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</si>
  <si>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</si>
  <si>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</si>
  <si>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</si>
  <si>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</si>
  <si>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</si>
  <si>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</si>
  <si>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</si>
  <si>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</si>
  <si>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</si>
  <si>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</si>
  <si>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</si>
  <si>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</si>
  <si>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</si>
  <si>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</si>
  <si>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</si>
  <si>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</si>
  <si>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</si>
  <si>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</si>
  <si>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</si>
  <si>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</si>
  <si>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</si>
  <si>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</si>
  <si>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</si>
  <si>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</si>
  <si>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</si>
  <si>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</si>
  <si>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</si>
  <si>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</si>
  <si>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</si>
  <si>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</si>
  <si>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</si>
  <si>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</si>
  <si>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</si>
  <si>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</si>
  <si>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</si>
  <si>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</si>
  <si>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</si>
  <si>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</si>
  <si>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</si>
  <si>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</si>
  <si>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</si>
  <si>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</si>
  <si>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</si>
  <si>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</si>
  <si>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</si>
  <si>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</si>
  <si>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</si>
  <si>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</si>
  <si>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</si>
  <si>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</si>
  <si>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</si>
  <si>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</si>
  <si>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</si>
  <si>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</si>
  <si>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</si>
  <si>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</si>
  <si>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</si>
  <si>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</si>
  <si>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</si>
  <si>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</si>
  <si>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</si>
  <si>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</si>
  <si>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</si>
  <si>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</si>
  <si>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</si>
  <si>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</si>
  <si>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</si>
  <si>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</si>
  <si>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</si>
  <si>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</si>
  <si>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</si>
  <si>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</si>
  <si>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</si>
  <si>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</si>
  <si>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</si>
  <si>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</si>
  <si>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</si>
  <si>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</si>
  <si>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</si>
  <si>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</si>
  <si>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</si>
  <si>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</si>
  <si>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</si>
  <si>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</si>
  <si>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</si>
  <si>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</si>
  <si>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</si>
  <si>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</si>
  <si>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</si>
  <si>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</si>
  <si>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</si>
  <si>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</si>
  <si>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</si>
  <si>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</si>
  <si>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</si>
  <si>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</si>
  <si>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</si>
  <si>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</si>
  <si>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</si>
  <si>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</si>
  <si>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</si>
  <si>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</si>
  <si>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</si>
  <si>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</si>
  <si>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</si>
  <si>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</si>
  <si>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</si>
  <si>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</si>
  <si>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</si>
  <si>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</si>
  <si>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</si>
  <si>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</si>
  <si>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</si>
  <si>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</si>
  <si>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</si>
  <si>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</si>
  <si>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</si>
  <si>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</si>
  <si>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</si>
  <si>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</si>
  <si>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</si>
  <si>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</si>
  <si>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</si>
  <si>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</si>
  <si>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</si>
  <si>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</si>
  <si>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</si>
  <si>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</si>
  <si>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</si>
  <si>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</si>
  <si>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</si>
  <si>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</si>
  <si>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</si>
  <si>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</si>
  <si>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</si>
  <si>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</si>
  <si>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</si>
  <si>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</si>
  <si>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</si>
  <si>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</si>
  <si>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</si>
  <si>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</si>
  <si>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</si>
  <si>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</si>
  <si>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</si>
  <si>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</si>
  <si>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</si>
  <si>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</si>
  <si>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</si>
  <si>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</si>
  <si>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</si>
  <si>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</si>
  <si>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</si>
  <si>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</si>
  <si>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</si>
  <si>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</si>
  <si>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</si>
  <si>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</si>
  <si>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</si>
  <si>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</si>
  <si>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</si>
  <si>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</si>
  <si>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</si>
  <si>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</si>
  <si>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</si>
  <si>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</si>
  <si>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</si>
  <si>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</si>
  <si>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</si>
  <si>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</si>
  <si>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</si>
  <si>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</si>
  <si>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</si>
  <si>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</si>
  <si>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</si>
  <si>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</si>
  <si>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</si>
  <si>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</si>
  <si>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</si>
  <si>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</si>
  <si>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</si>
  <si>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</si>
  <si>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</si>
  <si>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</si>
  <si>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</si>
  <si>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</si>
  <si>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</si>
  <si>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</si>
  <si>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</si>
  <si>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</si>
  <si>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</si>
  <si>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</si>
  <si>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</si>
  <si>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</si>
  <si>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</si>
  <si>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</si>
  <si>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</si>
  <si>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</si>
  <si>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</si>
  <si>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</si>
  <si>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</si>
  <si>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</si>
  <si>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</si>
  <si>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</si>
  <si>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</si>
  <si>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</si>
  <si>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</si>
  <si>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</si>
  <si>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</si>
  <si>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</si>
  <si>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</si>
  <si>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</si>
  <si>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</si>
  <si>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</si>
  <si>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</si>
  <si>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</si>
  <si>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</si>
  <si>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</si>
  <si>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</si>
  <si>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</si>
  <si>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</si>
  <si>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</si>
  <si>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</si>
  <si>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</si>
  <si>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</si>
  <si>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</si>
  <si>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</si>
  <si>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</si>
  <si>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</si>
  <si>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</si>
  <si>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</si>
  <si>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</si>
  <si>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</si>
  <si>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</si>
  <si>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</si>
  <si>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</si>
  <si>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</si>
  <si>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</si>
  <si>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</si>
  <si>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</si>
  <si>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</si>
  <si>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</si>
  <si>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</si>
  <si>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</si>
  <si>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</si>
  <si>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</si>
  <si>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</si>
  <si>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</si>
  <si>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</si>
  <si>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</si>
  <si>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</si>
  <si>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</si>
  <si>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</si>
  <si>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</si>
  <si>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</si>
  <si>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</si>
  <si>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</si>
  <si>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</si>
  <si>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</si>
  <si>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</si>
  <si>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</si>
  <si>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</si>
  <si>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</si>
  <si>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</si>
  <si>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</si>
  <si>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</si>
  <si>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</si>
  <si>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</si>
  <si>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</si>
  <si>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</si>
  <si>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</si>
  <si>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</si>
  <si>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</si>
  <si>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</si>
  <si>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</si>
  <si>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</si>
  <si>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</si>
  <si>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</si>
  <si>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</si>
  <si>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</si>
  <si>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</si>
  <si>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</si>
  <si>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</si>
  <si>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</si>
  <si>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</si>
  <si>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</si>
  <si>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</si>
  <si>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</si>
  <si>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</si>
  <si>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</si>
  <si>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</si>
  <si>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</si>
  <si>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</si>
  <si>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</si>
  <si>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</si>
  <si>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</si>
  <si>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</si>
  <si>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</si>
  <si>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</si>
  <si>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</si>
  <si>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</si>
  <si>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</si>
  <si>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</si>
  <si>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</si>
  <si>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</si>
  <si>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</si>
  <si>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</si>
  <si>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</si>
  <si>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</si>
  <si>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</si>
  <si>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</si>
  <si>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</si>
  <si>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</si>
  <si>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</si>
  <si>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</si>
  <si>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</si>
  <si>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</si>
  <si>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</si>
  <si>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</si>
  <si>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</si>
  <si>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</si>
  <si>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</si>
  <si>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</si>
  <si>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</si>
  <si>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</si>
  <si>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</si>
  <si>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</si>
  <si>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</si>
  <si>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</si>
  <si>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</si>
  <si>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</si>
  <si>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</si>
  <si>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</si>
  <si>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</si>
  <si>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</si>
  <si>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</si>
  <si>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</si>
  <si>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</si>
  <si>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</si>
  <si>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</si>
  <si>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</si>
  <si>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</si>
  <si>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</si>
  <si>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</si>
  <si>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</si>
  <si>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</si>
  <si>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</si>
  <si>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</si>
  <si>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</si>
  <si>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</si>
  <si>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</si>
  <si>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</si>
  <si>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</si>
  <si>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</si>
  <si>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</si>
  <si>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</si>
  <si>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</si>
  <si>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</si>
  <si>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</si>
  <si>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</si>
  <si>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</si>
  <si>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</si>
  <si>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</si>
  <si>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</si>
  <si>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</si>
  <si>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</si>
  <si>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</si>
  <si>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</si>
  <si>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</si>
  <si>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</si>
  <si>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</si>
  <si>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</si>
  <si>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</si>
  <si>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</si>
  <si>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</si>
  <si>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</si>
  <si>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</si>
  <si>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</si>
  <si>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</si>
  <si>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</si>
  <si>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</si>
  <si>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</si>
  <si>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</si>
  <si>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</si>
  <si>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</si>
  <si>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</si>
  <si>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</si>
  <si>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ASMAN PERENCANAAN</t>
  </si>
  <si>
    <t>VALENTHINA EKA SABTI WONOHUSODO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</si>
  <si>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</si>
  <si>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</si>
  <si>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</si>
  <si>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</si>
  <si>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</si>
  <si>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</si>
  <si>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</si>
  <si>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</si>
  <si>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</si>
  <si>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</si>
  <si>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</si>
  <si>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</si>
  <si>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</si>
  <si>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</si>
  <si>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</si>
  <si>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</si>
  <si>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</si>
  <si>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</si>
  <si>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</si>
  <si>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</si>
  <si>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</si>
  <si>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</si>
  <si>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</si>
  <si>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</si>
  <si>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</si>
  <si>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</si>
  <si>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</si>
  <si>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</si>
  <si>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</si>
  <si>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</si>
  <si>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</si>
  <si>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</si>
  <si>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</si>
  <si>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</si>
  <si>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</si>
  <si>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</si>
  <si>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</si>
  <si>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</si>
  <si>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</si>
  <si>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</si>
  <si>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</si>
  <si>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</si>
  <si>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</si>
  <si>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</si>
  <si>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</si>
  <si>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</si>
  <si>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</si>
  <si>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</si>
  <si>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</si>
  <si>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</si>
  <si>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</si>
  <si>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</si>
  <si>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</si>
  <si>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</si>
  <si>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</si>
  <si>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</si>
  <si>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</si>
  <si>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</si>
  <si>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</si>
  <si>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</si>
  <si>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</si>
  <si>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</si>
  <si>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Staff Teknik</t>
  </si>
  <si>
    <t>TL. Teknik</t>
  </si>
  <si>
    <t>MULP</t>
  </si>
  <si>
    <t>PEMASANGAN TRAFO</t>
  </si>
  <si>
    <t>PEMBANGUNAN JARINGAN TM</t>
  </si>
  <si>
    <t xml:space="preserve">Jumper Wire : </t>
  </si>
  <si>
    <t>CM2-11M</t>
  </si>
  <si>
    <t>Stainless Steel Strap 20 X 0.7 mm</t>
  </si>
  <si>
    <t>CM2-11</t>
  </si>
  <si>
    <t>C12-350</t>
  </si>
  <si>
    <t>C12-200</t>
  </si>
  <si>
    <t>C9-200</t>
  </si>
  <si>
    <t>BTG</t>
  </si>
  <si>
    <t>CC7</t>
  </si>
  <si>
    <t>CA1</t>
  </si>
  <si>
    <t>CG-312A</t>
  </si>
  <si>
    <t>CC1-A</t>
  </si>
  <si>
    <t>CA5-1</t>
  </si>
  <si>
    <t>CM5-9</t>
  </si>
  <si>
    <t>CM2-12A</t>
  </si>
  <si>
    <t>CM2-12</t>
  </si>
  <si>
    <t>CJ5-T</t>
  </si>
  <si>
    <t>CJ6-T</t>
  </si>
  <si>
    <t>APP PAS DAYA 33 KVA</t>
  </si>
  <si>
    <t>AAAC 70 mm2</t>
  </si>
  <si>
    <t>NFA2X 3X70 +N 50mm2</t>
  </si>
  <si>
    <t>CE1-3</t>
  </si>
  <si>
    <t>F1-3</t>
  </si>
  <si>
    <t>ES KRISTAL ABDUL MUIZ</t>
  </si>
  <si>
    <t>B2</t>
  </si>
  <si>
    <t>K3-351/26/A</t>
  </si>
  <si>
    <t>SYG 10</t>
  </si>
  <si>
    <t>DS KARANGREJO WONOSALAM</t>
  </si>
  <si>
    <t>Trafo 3 Fasa 50 KVA 1 Tiang (G312-A)</t>
  </si>
  <si>
    <t>NFA2X-T 3 x 70 + N 50 mm²</t>
  </si>
  <si>
    <t>Sepatu Kabel AL/CU Ring-70 mm²</t>
  </si>
  <si>
    <t>Daya 33.000 VA</t>
  </si>
  <si>
    <t>PEMBONGKARAN</t>
  </si>
  <si>
    <t>KOORDINAT : -6.9229847,110.6174123</t>
  </si>
  <si>
    <t>-6.9229847,110.6174123,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</si>
</sst>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2" fontId="34" fillId="0" borderId="0" applyFill="0" applyBorder="0" applyAlignment="0"/>
    <xf numFmtId="172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43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7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8" fontId="34" fillId="0" borderId="0" applyFont="0" applyFill="0" applyBorder="0" applyAlignment="0" applyProtection="0"/>
    <xf numFmtId="178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68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20" fillId="0" borderId="0" applyFont="0" applyFill="0" applyBorder="0" applyAlignment="0" applyProtection="0"/>
    <xf numFmtId="175" fontId="34" fillId="0" borderId="0" applyFont="0" applyFill="0" applyBorder="0" applyAlignment="0" applyProtection="0"/>
    <xf numFmtId="17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17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81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9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20" fillId="0" borderId="0" applyFont="0" applyFill="0" applyBorder="0" applyAlignment="0" applyProtection="0"/>
    <xf numFmtId="180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5" fillId="0" borderId="0" applyFont="0" applyFill="0" applyBorder="0" applyAlignment="0" applyProtection="0"/>
    <xf numFmtId="18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204" fontId="20" fillId="0" borderId="0" applyFont="0" applyFill="0" applyBorder="0" applyAlignment="0" applyProtection="0"/>
    <xf numFmtId="20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6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67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4" fontId="34" fillId="0" borderId="3"/>
    <xf numFmtId="184" fontId="20" fillId="0" borderId="3"/>
    <xf numFmtId="42" fontId="21" fillId="0" borderId="0" applyFont="0" applyFill="0" applyBorder="0" applyAlignment="0" applyProtection="0"/>
    <xf numFmtId="42" fontId="46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44" fontId="34" fillId="0" borderId="0" applyFont="0" applyFill="0" applyBorder="0" applyAlignment="0" applyProtection="0"/>
    <xf numFmtId="44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20" fillId="0" borderId="0" applyFont="0" applyFill="0" applyBorder="0" applyAlignment="0" applyProtection="0"/>
    <xf numFmtId="185" fontId="68" fillId="0" borderId="0" applyFont="0" applyFill="0" applyBorder="0" applyAlignment="0" applyProtection="0"/>
    <xf numFmtId="186" fontId="70" fillId="0" borderId="0">
      <protection locked="0"/>
    </xf>
    <xf numFmtId="14" fontId="62" fillId="0" borderId="0" applyFill="0" applyBorder="0" applyAlignment="0"/>
    <xf numFmtId="187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88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89" fontId="75" fillId="0" borderId="0">
      <protection locked="0"/>
    </xf>
    <xf numFmtId="189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0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1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34" fillId="0" borderId="0"/>
    <xf numFmtId="191" fontId="20" fillId="0" borderId="0"/>
    <xf numFmtId="191" fontId="20" fillId="0" borderId="0"/>
    <xf numFmtId="191" fontId="34" fillId="0" borderId="0"/>
    <xf numFmtId="170" fontId="81" fillId="0" borderId="0"/>
    <xf numFmtId="170" fontId="82" fillId="0" borderId="0"/>
    <xf numFmtId="170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2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0" fontId="82" fillId="0" borderId="0"/>
    <xf numFmtId="0" fontId="82" fillId="0" borderId="0"/>
    <xf numFmtId="193" fontId="82" fillId="0" borderId="0"/>
    <xf numFmtId="194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3" fontId="82" fillId="0" borderId="0"/>
    <xf numFmtId="0" fontId="82" fillId="0" borderId="0"/>
    <xf numFmtId="0" fontId="34" fillId="0" borderId="0"/>
    <xf numFmtId="0" fontId="20" fillId="0" borderId="0"/>
    <xf numFmtId="180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6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5" fontId="82" fillId="0" borderId="0"/>
    <xf numFmtId="195" fontId="82" fillId="0" borderId="0"/>
    <xf numFmtId="195" fontId="82" fillId="0" borderId="0"/>
    <xf numFmtId="195" fontId="82" fillId="0" borderId="0"/>
    <xf numFmtId="197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2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2" fontId="41" fillId="0" borderId="0"/>
    <xf numFmtId="192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1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4" fillId="27" borderId="12" applyNumberFormat="0" applyFont="0" applyAlignment="0" applyProtection="0"/>
    <xf numFmtId="192" fontId="41" fillId="28" borderId="12" applyAlignment="0" applyProtection="0"/>
    <xf numFmtId="192" fontId="41" fillId="28" borderId="12" applyAlignment="0" applyProtection="0"/>
    <xf numFmtId="0" fontId="20" fillId="27" borderId="12" applyNumberFormat="0" applyFont="0" applyAlignment="0" applyProtection="0"/>
    <xf numFmtId="192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4" fontId="34" fillId="0" borderId="0" applyFont="0" applyFill="0" applyBorder="0" applyAlignment="0" applyProtection="0"/>
    <xf numFmtId="174" fontId="20" fillId="0" borderId="0" applyFont="0" applyFill="0" applyBorder="0" applyAlignment="0" applyProtection="0"/>
    <xf numFmtId="198" fontId="34" fillId="0" borderId="0" applyFont="0" applyFill="0" applyBorder="0" applyAlignment="0" applyProtection="0"/>
    <xf numFmtId="198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5" fontId="34" fillId="0" borderId="0" applyFill="0" applyBorder="0" applyAlignment="0"/>
    <xf numFmtId="175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1" fontId="34" fillId="0" borderId="0" applyFill="0" applyBorder="0" applyAlignment="0"/>
    <xf numFmtId="171" fontId="20" fillId="0" borderId="0" applyFill="0" applyBorder="0" applyAlignment="0"/>
    <xf numFmtId="0" fontId="72" fillId="0" borderId="0"/>
    <xf numFmtId="199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0" fontId="34" fillId="0" borderId="0" applyFill="0" applyBorder="0" applyAlignment="0"/>
    <xf numFmtId="200" fontId="20" fillId="0" borderId="0" applyFill="0" applyBorder="0" applyAlignment="0"/>
    <xf numFmtId="201" fontId="34" fillId="0" borderId="0" applyFill="0" applyBorder="0" applyAlignment="0"/>
    <xf numFmtId="201" fontId="20" fillId="0" borderId="0" applyFill="0" applyBorder="0" applyAlignment="0"/>
    <xf numFmtId="202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7" fillId="0" borderId="0"/>
    <xf numFmtId="164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164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24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41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41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41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43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7" fontId="43" fillId="0" borderId="0" xfId="714" applyFont="1" applyFill="1" applyAlignment="1">
      <alignment horizontal="center" wrapText="1"/>
    </xf>
    <xf numFmtId="167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7" fontId="43" fillId="0" borderId="21" xfId="715" applyNumberFormat="1" applyFont="1" applyFill="1" applyBorder="1" applyAlignment="1">
      <alignment horizontal="center" vertical="center" wrapText="1"/>
    </xf>
    <xf numFmtId="167" fontId="43" fillId="0" borderId="21" xfId="714" applyFont="1" applyFill="1" applyBorder="1" applyAlignment="1">
      <alignment horizontal="center" vertical="center" wrapText="1"/>
    </xf>
    <xf numFmtId="167" fontId="43" fillId="0" borderId="33" xfId="714" applyFont="1" applyFill="1" applyBorder="1" applyAlignment="1">
      <alignment horizontal="center" vertical="center" wrapText="1"/>
    </xf>
    <xf numFmtId="43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2" fillId="0" borderId="0" xfId="1615" applyNumberFormat="1" applyFont="1" applyAlignment="1">
      <alignment horizontal="left" vertical="center"/>
    </xf>
    <xf numFmtId="43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5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7" fontId="43" fillId="0" borderId="21" xfId="717" applyNumberFormat="1" applyFont="1" applyFill="1" applyBorder="1" applyAlignment="1" applyProtection="1">
      <alignment horizontal="center" vertical="center" wrapText="1"/>
    </xf>
    <xf numFmtId="41" fontId="43" fillId="0" borderId="21" xfId="1451" applyNumberFormat="1" applyFont="1" applyBorder="1" applyAlignment="1">
      <alignment horizontal="center" vertical="center" wrapText="1"/>
    </xf>
    <xf numFmtId="167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7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7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7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41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7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39" fillId="0" borderId="3" xfId="1026" applyFont="1" applyBorder="1" applyProtection="1"/>
    <xf numFmtId="43" fontId="0" fillId="0" borderId="3" xfId="1026" applyFont="1" applyBorder="1" applyProtection="1"/>
    <xf numFmtId="43" fontId="127" fillId="0" borderId="3" xfId="1538" applyNumberFormat="1" applyFont="1" applyBorder="1"/>
    <xf numFmtId="0" fontId="60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43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43" fontId="48" fillId="0" borderId="0" xfId="1538" applyNumberFormat="1" applyFont="1"/>
    <xf numFmtId="0" fontId="111" fillId="29" borderId="3" xfId="1538" applyFill="1" applyBorder="1"/>
    <xf numFmtId="167" fontId="111" fillId="29" borderId="3" xfId="1538" applyNumberFormat="1" applyFill="1" applyBorder="1" applyAlignment="1">
      <alignment horizontal="right"/>
    </xf>
    <xf numFmtId="165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43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5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0" xfId="1614" applyNumberFormat="1" applyFont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48" fillId="0" borderId="0" xfId="1614" applyFont="1" applyAlignment="1">
      <alignment horizontal="center" vertic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41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43" fontId="140" fillId="40" borderId="85" xfId="2672" applyFont="1" applyFill="1" applyBorder="1" applyAlignment="1" applyProtection="1">
      <alignment horizontal="right" vertical="center" wrapText="1"/>
      <protection locked="0"/>
    </xf>
    <xf numFmtId="43" fontId="140" fillId="40" borderId="87" xfId="2672" applyFont="1" applyFill="1" applyBorder="1" applyAlignment="1" applyProtection="1">
      <alignment horizontal="right" vertical="center"/>
      <protection locked="0"/>
    </xf>
    <xf numFmtId="167" fontId="140" fillId="40" borderId="87" xfId="2672" applyNumberFormat="1" applyFont="1" applyFill="1" applyBorder="1" applyAlignment="1" applyProtection="1">
      <alignment horizontal="right" vertical="center"/>
      <protection locked="0"/>
    </xf>
    <xf numFmtId="167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164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5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7" fontId="144" fillId="47" borderId="0" xfId="2672" applyNumberFormat="1" applyFont="1" applyFill="1" applyBorder="1" applyAlignment="1" applyProtection="1">
      <alignment horizontal="right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175" fillId="33" borderId="0" xfId="2678" applyFill="1"/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3" fillId="0" borderId="21" xfId="1450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7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165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165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165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6" fontId="119" fillId="0" borderId="73" xfId="1450" applyNumberFormat="1" applyFont="1" applyBorder="1" applyAlignment="1">
      <alignment horizontal="left" vertical="center"/>
    </xf>
    <xf numFmtId="206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  <xf numFmtId="0" fontId="114" fillId="33" borderId="0" xfId="0" applyFont="1" applyFill="1" applyAlignment="1">
      <alignment horizontal="center"/>
    </xf>
    <xf numFmtId="0" fontId="119" fillId="0" borderId="69" xfId="1450" applyFont="1" applyBorder="1" applyAlignment="1">
      <alignment horizontal="center" vertical="center"/>
    </xf>
    <xf numFmtId="0" fontId="91" fillId="33" borderId="80" xfId="0" applyFont="1" applyFill="1" applyBorder="1" applyAlignment="1">
      <alignment horizontal="left" vertical="center"/>
    </xf>
    <xf numFmtId="0" fontId="91" fillId="33" borderId="81" xfId="0" applyFont="1" applyFill="1" applyBorder="1" applyAlignment="1">
      <alignment horizontal="left" vertical="center"/>
    </xf>
    <xf numFmtId="0" fontId="118" fillId="33" borderId="73" xfId="0" applyFont="1" applyFill="1" applyBorder="1" applyAlignment="1">
      <alignment horizontal="left" vertical="center"/>
    </xf>
    <xf numFmtId="0" fontId="118" fillId="33" borderId="74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left" vertical="center"/>
    </xf>
    <xf numFmtId="0" fontId="91" fillId="33" borderId="81" xfId="0" applyFont="1" applyFill="1" applyBorder="1" applyAlignment="1">
      <alignment horizontal="left" vertical="center"/>
    </xf>
    <xf numFmtId="0" fontId="118" fillId="33" borderId="73" xfId="0" applyFont="1" applyFill="1" applyBorder="1" applyAlignment="1">
      <alignment horizontal="left" vertical="center"/>
    </xf>
    <xf numFmtId="0" fontId="118" fillId="33" borderId="74" xfId="0" applyFont="1" applyFill="1" applyBorder="1" applyAlignment="1">
      <alignment horizontal="left" vertical="center"/>
    </xf>
    <xf numFmtId="0" fontId="1" fillId="0" borderId="21" xfId="1652" applyFont="1" applyBorder="1" applyAlignment="1">
      <alignment vertical="center" wrapText="1"/>
    </xf>
    <xf numFmtId="0" fontId="127" fillId="0" borderId="21" xfId="1652" applyFont="1" applyBorder="1" applyAlignment="1">
      <alignment vertical="center" wrapText="1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6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7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245</xdr:row>
      <xdr:rowOff>81642</xdr:rowOff>
    </xdr:from>
    <xdr:to>
      <xdr:col>11</xdr:col>
      <xdr:colOff>93061</xdr:colOff>
      <xdr:row>248</xdr:row>
      <xdr:rowOff>179158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86242</xdr:colOff>
      <xdr:row>87</xdr:row>
      <xdr:rowOff>140035</xdr:rowOff>
    </xdr:from>
    <xdr:to>
      <xdr:col>17</xdr:col>
      <xdr:colOff>375047</xdr:colOff>
      <xdr:row>105</xdr:row>
      <xdr:rowOff>148828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4DDCF77D-CC01-29E3-AC9E-5D1C106DF215}"/>
            </a:ext>
          </a:extLst>
        </xdr:cNvPr>
        <xdr:cNvCxnSpPr>
          <a:stCxn id="100" idx="4"/>
        </xdr:cNvCxnSpPr>
      </xdr:nvCxnSpPr>
      <xdr:spPr>
        <a:xfrm>
          <a:off x="4199851" y="13742926"/>
          <a:ext cx="2193805" cy="281271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65176</xdr:colOff>
      <xdr:row>11</xdr:row>
      <xdr:rowOff>40060</xdr:rowOff>
    </xdr:from>
    <xdr:to>
      <xdr:col>17</xdr:col>
      <xdr:colOff>381000</xdr:colOff>
      <xdr:row>46</xdr:row>
      <xdr:rowOff>113109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8F9CD0C3-0157-A48B-6061-91511C8FB07A}"/>
            </a:ext>
          </a:extLst>
        </xdr:cNvPr>
        <xdr:cNvCxnSpPr>
          <a:cxnSpLocks/>
          <a:endCxn id="310" idx="6"/>
        </xdr:cNvCxnSpPr>
      </xdr:nvCxnSpPr>
      <xdr:spPr>
        <a:xfrm flipH="1" flipV="1">
          <a:off x="3035785" y="1754560"/>
          <a:ext cx="3363824" cy="54963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65</xdr:row>
      <xdr:rowOff>80596</xdr:rowOff>
    </xdr:from>
    <xdr:to>
      <xdr:col>11</xdr:col>
      <xdr:colOff>101030</xdr:colOff>
      <xdr:row>80</xdr:row>
      <xdr:rowOff>538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89F3DC70-44AD-4131-8BF4-09DEF31F5DB8}"/>
            </a:ext>
          </a:extLst>
        </xdr:cNvPr>
        <xdr:cNvCxnSpPr>
          <a:endCxn id="88" idx="2"/>
        </xdr:cNvCxnSpPr>
      </xdr:nvCxnSpPr>
      <xdr:spPr>
        <a:xfrm>
          <a:off x="2119993" y="10182539"/>
          <a:ext cx="1720280" cy="221682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201706</xdr:colOff>
      <xdr:row>32</xdr:row>
      <xdr:rowOff>134471</xdr:rowOff>
    </xdr:from>
    <xdr:to>
      <xdr:col>18</xdr:col>
      <xdr:colOff>291353</xdr:colOff>
      <xdr:row>40</xdr:row>
      <xdr:rowOff>33617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4C9058CA-6174-CD5C-179A-A0835AB64320}"/>
            </a:ext>
          </a:extLst>
        </xdr:cNvPr>
        <xdr:cNvCxnSpPr/>
      </xdr:nvCxnSpPr>
      <xdr:spPr>
        <a:xfrm flipV="1">
          <a:off x="5468471" y="5143500"/>
          <a:ext cx="1232647" cy="1154205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9917</xdr:colOff>
      <xdr:row>11</xdr:row>
      <xdr:rowOff>99545</xdr:rowOff>
    </xdr:from>
    <xdr:to>
      <xdr:col>17</xdr:col>
      <xdr:colOff>345282</xdr:colOff>
      <xdr:row>47</xdr:row>
      <xdr:rowOff>35719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81BDDEE2-082F-8835-46F1-87E51C9FC568}"/>
            </a:ext>
          </a:extLst>
        </xdr:cNvPr>
        <xdr:cNvCxnSpPr>
          <a:stCxn id="310" idx="4"/>
        </xdr:cNvCxnSpPr>
      </xdr:nvCxnSpPr>
      <xdr:spPr>
        <a:xfrm>
          <a:off x="2980526" y="1814045"/>
          <a:ext cx="3383365" cy="5514252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170793</xdr:colOff>
      <xdr:row>8</xdr:row>
      <xdr:rowOff>144517</xdr:rowOff>
    </xdr:from>
    <xdr:to>
      <xdr:col>8</xdr:col>
      <xdr:colOff>351843</xdr:colOff>
      <xdr:row>11</xdr:row>
      <xdr:rowOff>1151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1277F013-DE2B-4339-93C0-0BB2D9EF3325}"/>
            </a:ext>
          </a:extLst>
        </xdr:cNvPr>
        <xdr:cNvCxnSpPr>
          <a:endCxn id="310" idx="1"/>
        </xdr:cNvCxnSpPr>
      </xdr:nvCxnSpPr>
      <xdr:spPr>
        <a:xfrm>
          <a:off x="2765534" y="1379483"/>
          <a:ext cx="181050" cy="30989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602376" y="825792"/>
          <a:ext cx="1495417" cy="1856950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63958</xdr:colOff>
      <xdr:row>10</xdr:row>
      <xdr:rowOff>73936</xdr:rowOff>
    </xdr:from>
    <xdr:to>
      <xdr:col>17</xdr:col>
      <xdr:colOff>241788</xdr:colOff>
      <xdr:row>49</xdr:row>
      <xdr:rowOff>43962</xdr:rowOff>
    </xdr:to>
    <xdr:cxnSp macro="">
      <xdr:nvCxnSpPr>
        <xdr:cNvPr id="299" name="Straight Connector 298">
          <a:extLst>
            <a:ext uri="{FF2B5EF4-FFF2-40B4-BE49-F238E27FC236}">
              <a16:creationId xmlns:a16="http://schemas.microsoft.com/office/drawing/2014/main" id="{D336887B-4057-4FA0-9CF2-E11904B5C442}"/>
            </a:ext>
          </a:extLst>
        </xdr:cNvPr>
        <xdr:cNvCxnSpPr/>
      </xdr:nvCxnSpPr>
      <xdr:spPr>
        <a:xfrm>
          <a:off x="2657689" y="1627244"/>
          <a:ext cx="3606830" cy="5992756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261155</xdr:colOff>
      <xdr:row>7</xdr:row>
      <xdr:rowOff>43324</xdr:rowOff>
    </xdr:from>
    <xdr:to>
      <xdr:col>11</xdr:col>
      <xdr:colOff>185486</xdr:colOff>
      <xdr:row>12</xdr:row>
      <xdr:rowOff>40106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40737A1-6DDB-42AC-A7ED-9994EA1D1A1A}"/>
            </a:ext>
          </a:extLst>
        </xdr:cNvPr>
        <xdr:cNvSpPr txBox="1"/>
      </xdr:nvSpPr>
      <xdr:spPr>
        <a:xfrm>
          <a:off x="3233958" y="1116140"/>
          <a:ext cx="686331" cy="74875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K3-351/16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CA5-1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CG-312A</a:t>
          </a:r>
        </a:p>
      </xdr:txBody>
    </xdr:sp>
    <xdr:clientData/>
  </xdr:twoCellAnchor>
  <xdr:twoCellAnchor>
    <xdr:from>
      <xdr:col>11</xdr:col>
      <xdr:colOff>126490</xdr:colOff>
      <xdr:row>20</xdr:row>
      <xdr:rowOff>44012</xdr:rowOff>
    </xdr:from>
    <xdr:to>
      <xdr:col>11</xdr:col>
      <xdr:colOff>237008</xdr:colOff>
      <xdr:row>21</xdr:row>
      <xdr:rowOff>12814</xdr:rowOff>
    </xdr:to>
    <xdr:grpSp>
      <xdr:nvGrpSpPr>
        <xdr:cNvPr id="301" name="Group 300">
          <a:extLst>
            <a:ext uri="{FF2B5EF4-FFF2-40B4-BE49-F238E27FC236}">
              <a16:creationId xmlns:a16="http://schemas.microsoft.com/office/drawing/2014/main" id="{6B1F80E1-1A56-4408-AF3A-48D384631A5C}"/>
            </a:ext>
          </a:extLst>
        </xdr:cNvPr>
        <xdr:cNvGrpSpPr/>
      </xdr:nvGrpSpPr>
      <xdr:grpSpPr>
        <a:xfrm>
          <a:off x="3874639" y="3155100"/>
          <a:ext cx="110518" cy="1234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2" name="Oval 301">
            <a:extLst>
              <a:ext uri="{FF2B5EF4-FFF2-40B4-BE49-F238E27FC236}">
                <a16:creationId xmlns:a16="http://schemas.microsoft.com/office/drawing/2014/main" id="{4409132B-D7EB-4DF6-B328-6EC86D61B03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3" name="Straight Connector 302">
            <a:extLst>
              <a:ext uri="{FF2B5EF4-FFF2-40B4-BE49-F238E27FC236}">
                <a16:creationId xmlns:a16="http://schemas.microsoft.com/office/drawing/2014/main" id="{A1643975-A456-4EE4-9CB6-056458C85628}"/>
              </a:ext>
            </a:extLst>
          </xdr:cNvPr>
          <xdr:cNvCxnSpPr>
            <a:stCxn id="302" idx="1"/>
            <a:endCxn id="3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Connector 303">
            <a:extLst>
              <a:ext uri="{FF2B5EF4-FFF2-40B4-BE49-F238E27FC236}">
                <a16:creationId xmlns:a16="http://schemas.microsoft.com/office/drawing/2014/main" id="{EA6EFC2A-099B-4400-B3B3-C2C85237DC1A}"/>
              </a:ext>
            </a:extLst>
          </xdr:cNvPr>
          <xdr:cNvCxnSpPr>
            <a:stCxn id="302" idx="3"/>
            <a:endCxn id="3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69543</xdr:colOff>
      <xdr:row>15</xdr:row>
      <xdr:rowOff>114782</xdr:rowOff>
    </xdr:from>
    <xdr:to>
      <xdr:col>10</xdr:col>
      <xdr:colOff>180061</xdr:colOff>
      <xdr:row>16</xdr:row>
      <xdr:rowOff>78972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3434218" y="2452737"/>
          <a:ext cx="110518" cy="1188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335658</xdr:colOff>
      <xdr:row>10</xdr:row>
      <xdr:rowOff>135355</xdr:rowOff>
    </xdr:from>
    <xdr:to>
      <xdr:col>9</xdr:col>
      <xdr:colOff>65176</xdr:colOff>
      <xdr:row>11</xdr:row>
      <xdr:rowOff>99545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2933385" y="1693991"/>
          <a:ext cx="112992" cy="1188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358174</xdr:colOff>
      <xdr:row>105</xdr:row>
      <xdr:rowOff>207489</xdr:rowOff>
    </xdr:from>
    <xdr:to>
      <xdr:col>18</xdr:col>
      <xdr:colOff>146538</xdr:colOff>
      <xdr:row>109</xdr:row>
      <xdr:rowOff>113560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64509B9-B843-42C0-ADDF-987659CA7856}"/>
            </a:ext>
          </a:extLst>
        </xdr:cNvPr>
        <xdr:cNvSpPr txBox="1"/>
      </xdr:nvSpPr>
      <xdr:spPr>
        <a:xfrm>
          <a:off x="5618905" y="16546527"/>
          <a:ext cx="931364" cy="62411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ES KRISTAL ABDUL MUIZ</a:t>
          </a:r>
        </a:p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 PAS DAYA 33 KVA</a:t>
          </a:r>
        </a:p>
        <a:p>
          <a:pPr algn="ctr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NFA2X4*35 mm2 : 30 Mtr</a:t>
          </a:r>
        </a:p>
      </xdr:txBody>
    </xdr:sp>
    <xdr:clientData/>
  </xdr:twoCellAnchor>
  <xdr:oneCellAnchor>
    <xdr:from>
      <xdr:col>19</xdr:col>
      <xdr:colOff>10849</xdr:colOff>
      <xdr:row>56</xdr:row>
      <xdr:rowOff>54428</xdr:rowOff>
    </xdr:from>
    <xdr:ext cx="858299" cy="804105"/>
    <xdr:pic>
      <xdr:nvPicPr>
        <xdr:cNvPr id="4" name="Picture 3">
          <a:extLst>
            <a:ext uri="{FF2B5EF4-FFF2-40B4-BE49-F238E27FC236}">
              <a16:creationId xmlns:a16="http://schemas.microsoft.com/office/drawing/2014/main" id="{880F43F1-C09E-4590-8463-21F9114CC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95580" y="215620"/>
          <a:ext cx="858299" cy="804105"/>
        </a:xfrm>
        <a:prstGeom prst="rect">
          <a:avLst/>
        </a:prstGeom>
      </xdr:spPr>
    </xdr:pic>
    <xdr:clientData/>
  </xdr:oneCellAnchor>
  <xdr:twoCellAnchor>
    <xdr:from>
      <xdr:col>26</xdr:col>
      <xdr:colOff>65006</xdr:colOff>
      <xdr:row>60</xdr:row>
      <xdr:rowOff>40289</xdr:rowOff>
    </xdr:from>
    <xdr:to>
      <xdr:col>29</xdr:col>
      <xdr:colOff>354335</xdr:colOff>
      <xdr:row>72</xdr:row>
      <xdr:rowOff>35534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2251AD2-50D5-453E-ADFA-9BDB7119408F}"/>
            </a:ext>
          </a:extLst>
        </xdr:cNvPr>
        <xdr:cNvGrpSpPr/>
      </xdr:nvGrpSpPr>
      <xdr:grpSpPr>
        <a:xfrm>
          <a:off x="9602376" y="9460143"/>
          <a:ext cx="1495417" cy="1856949"/>
          <a:chOff x="9713886" y="808452"/>
          <a:chExt cx="1342558" cy="1766630"/>
        </a:xfrm>
      </xdr:grpSpPr>
      <xdr:grpSp>
        <xdr:nvGrpSpPr>
          <xdr:cNvPr id="6" name="Group 13">
            <a:extLst>
              <a:ext uri="{FF2B5EF4-FFF2-40B4-BE49-F238E27FC236}">
                <a16:creationId xmlns:a16="http://schemas.microsoft.com/office/drawing/2014/main" id="{5BC63526-5E5F-D901-9B68-58AFB1E0779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5" name="Oval 1">
              <a:extLst>
                <a:ext uri="{FF2B5EF4-FFF2-40B4-BE49-F238E27FC236}">
                  <a16:creationId xmlns:a16="http://schemas.microsoft.com/office/drawing/2014/main" id="{24233200-A81A-0FA8-A81B-103A3BD01A3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6" name="Straight Connector 3">
              <a:extLst>
                <a:ext uri="{FF2B5EF4-FFF2-40B4-BE49-F238E27FC236}">
                  <a16:creationId xmlns:a16="http://schemas.microsoft.com/office/drawing/2014/main" id="{847E944A-0AD8-D321-6E1C-48B57A5BB63B}"/>
                </a:ext>
              </a:extLst>
            </xdr:cNvPr>
            <xdr:cNvCxnSpPr>
              <a:stCxn id="22" idx="1"/>
              <a:endCxn id="2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7">
              <a:extLst>
                <a:ext uri="{FF2B5EF4-FFF2-40B4-BE49-F238E27FC236}">
                  <a16:creationId xmlns:a16="http://schemas.microsoft.com/office/drawing/2014/main" id="{AF2B01EC-D122-D08E-A702-8C63D58931B6}"/>
                </a:ext>
              </a:extLst>
            </xdr:cNvPr>
            <xdr:cNvCxnSpPr>
              <a:stCxn id="22" idx="3"/>
              <a:endCxn id="2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2172D2E2-011B-0A7F-A78F-E7E78883757C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38BB879F-FB53-ACCA-4137-4168BD9ED56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2" name="Oval 61">
              <a:extLst>
                <a:ext uri="{FF2B5EF4-FFF2-40B4-BE49-F238E27FC236}">
                  <a16:creationId xmlns:a16="http://schemas.microsoft.com/office/drawing/2014/main" id="{A284EE40-BEA9-D1B4-8C34-F9BDBB12B9EC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3" name="Straight Connector 62">
              <a:extLst>
                <a:ext uri="{FF2B5EF4-FFF2-40B4-BE49-F238E27FC236}">
                  <a16:creationId xmlns:a16="http://schemas.microsoft.com/office/drawing/2014/main" id="{FBF1F3BE-FDAE-A17D-6045-F7C31EB86548}"/>
                </a:ext>
              </a:extLst>
            </xdr:cNvPr>
            <xdr:cNvCxnSpPr>
              <a:stCxn id="62" idx="1"/>
              <a:endCxn id="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4" name="Straight Connector 63">
              <a:extLst>
                <a:ext uri="{FF2B5EF4-FFF2-40B4-BE49-F238E27FC236}">
                  <a16:creationId xmlns:a16="http://schemas.microsoft.com/office/drawing/2014/main" id="{ED9BF41E-03BF-A908-61AA-85E258BBDD54}"/>
                </a:ext>
              </a:extLst>
            </xdr:cNvPr>
            <xdr:cNvCxnSpPr>
              <a:stCxn id="62" idx="3"/>
              <a:endCxn id="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B869B284-CC34-18A0-46EF-5C233510146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7139E56-FC68-95AB-7D29-1B60C501F191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BAFCAFB0-EA19-11F1-8A96-FB0667518CDA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B2F281EC-6857-E7CD-F1A2-A16F0C2E9E8D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504567DD-358C-6CE2-4BE3-9B274C2520B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E1B4D2D-F2BC-A105-3218-355B91EE29BE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C0F4F174-C99A-582F-A967-CD5AD5B73312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615D60BA-70D6-185A-F17C-2351D737ED9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82526497-038C-EB88-D07B-104955637EE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4DF04C4E-F73E-8153-A351-3A15669FBE27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7BC486C2-46A6-6F4B-6358-7ACC04E762E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C43781CD-2554-2B84-D82B-6F6E43DAA442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9182B103-F4BD-8AD2-6380-A54F8AEE6622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0">
            <a:extLst>
              <a:ext uri="{FF2B5EF4-FFF2-40B4-BE49-F238E27FC236}">
                <a16:creationId xmlns:a16="http://schemas.microsoft.com/office/drawing/2014/main" id="{DF85B477-9ADA-7E2E-EE31-8BD87E917042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A3C174D9-4549-4C3E-1350-4D50E621E804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52">
            <a:extLst>
              <a:ext uri="{FF2B5EF4-FFF2-40B4-BE49-F238E27FC236}">
                <a16:creationId xmlns:a16="http://schemas.microsoft.com/office/drawing/2014/main" id="{0916F159-78FA-214C-21BF-131B2697BB7F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066FA382-30E3-CD01-A95F-08CD692833A8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6A4CFBFC-3EA9-140F-8C5A-08F426EC4F5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30BC9A41-FF2F-F096-CA67-C1EE1BB0180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C8C793F1-8F89-D99C-E223-19AED48584D7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5549A1B2-20C9-C8DD-9762-65753BDAE923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5CB2DF03-B842-AB14-6057-F7C02BB8303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272E01B7-CE37-EFE1-472D-0EC09435149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Isosceles Triangle 31">
            <a:extLst>
              <a:ext uri="{FF2B5EF4-FFF2-40B4-BE49-F238E27FC236}">
                <a16:creationId xmlns:a16="http://schemas.microsoft.com/office/drawing/2014/main" id="{092A66B6-2F43-DC5C-412E-66F0F6EB0A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3" name="Isosceles Triangle 32">
            <a:extLst>
              <a:ext uri="{FF2B5EF4-FFF2-40B4-BE49-F238E27FC236}">
                <a16:creationId xmlns:a16="http://schemas.microsoft.com/office/drawing/2014/main" id="{41DF6862-6C6B-BBA3-8BFB-9DC360AC0C52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" name="Group 73">
            <a:extLst>
              <a:ext uri="{FF2B5EF4-FFF2-40B4-BE49-F238E27FC236}">
                <a16:creationId xmlns:a16="http://schemas.microsoft.com/office/drawing/2014/main" id="{A55B7188-27A2-7B90-2699-95E528A51B82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2DB5B7C6-53AD-FBF8-8836-479948CCFBA5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07999310-DA05-0660-60FE-6938B01403AB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74">
            <a:extLst>
              <a:ext uri="{FF2B5EF4-FFF2-40B4-BE49-F238E27FC236}">
                <a16:creationId xmlns:a16="http://schemas.microsoft.com/office/drawing/2014/main" id="{2C3176BB-2516-D6CD-F58F-1E554EACEE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E7DE68EF-B824-365D-E88E-BA8CB3444B29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A2A0287A-1E07-2BC8-2183-52442127839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Group 89">
            <a:extLst>
              <a:ext uri="{FF2B5EF4-FFF2-40B4-BE49-F238E27FC236}">
                <a16:creationId xmlns:a16="http://schemas.microsoft.com/office/drawing/2014/main" id="{9FA03B2E-8527-AADB-EC37-8DD3005E6CE6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4" name="Straight Connector 53">
              <a:extLst>
                <a:ext uri="{FF2B5EF4-FFF2-40B4-BE49-F238E27FC236}">
                  <a16:creationId xmlns:a16="http://schemas.microsoft.com/office/drawing/2014/main" id="{7C24A2B6-AD03-7EDE-5329-5BD19DA9E67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79">
              <a:extLst>
                <a:ext uri="{FF2B5EF4-FFF2-40B4-BE49-F238E27FC236}">
                  <a16:creationId xmlns:a16="http://schemas.microsoft.com/office/drawing/2014/main" id="{E35DE406-7249-1866-165B-CA4368F11D2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" name="Straight Connector 80">
              <a:extLst>
                <a:ext uri="{FF2B5EF4-FFF2-40B4-BE49-F238E27FC236}">
                  <a16:creationId xmlns:a16="http://schemas.microsoft.com/office/drawing/2014/main" id="{1546413D-23C5-3019-E2C6-4366617C3B38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7" name="Straight Connector 88">
              <a:extLst>
                <a:ext uri="{FF2B5EF4-FFF2-40B4-BE49-F238E27FC236}">
                  <a16:creationId xmlns:a16="http://schemas.microsoft.com/office/drawing/2014/main" id="{8B0F0880-C954-038A-805B-ED5DEC979CA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Group 90">
            <a:extLst>
              <a:ext uri="{FF2B5EF4-FFF2-40B4-BE49-F238E27FC236}">
                <a16:creationId xmlns:a16="http://schemas.microsoft.com/office/drawing/2014/main" id="{43CBDEB1-A763-B2AD-E7D9-D14DB71CDC08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59D12620-9F22-3485-E73E-33A517D81C3A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054CA23C-E30C-324C-00BA-9F2797D6A6C4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0C0CD9F8-7F9D-45B8-5755-E541A06E8DC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52">
              <a:extLst>
                <a:ext uri="{FF2B5EF4-FFF2-40B4-BE49-F238E27FC236}">
                  <a16:creationId xmlns:a16="http://schemas.microsoft.com/office/drawing/2014/main" id="{24E5A75C-93BA-C2AF-3062-6E72E712A6C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BDFC5F99-3EB1-4003-2498-8A22F892F5D6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A56EAD73-B953-46FE-1685-A59D5E0A1091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" name="Straight Arrow Connector 39">
            <a:extLst>
              <a:ext uri="{FF2B5EF4-FFF2-40B4-BE49-F238E27FC236}">
                <a16:creationId xmlns:a16="http://schemas.microsoft.com/office/drawing/2014/main" id="{FACBEC11-9F07-577A-9C63-3FDB8F12A00B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003007B8-4A6C-7A99-3BAF-96BE376CF0A8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2" name="Group 155">
            <a:extLst>
              <a:ext uri="{FF2B5EF4-FFF2-40B4-BE49-F238E27FC236}">
                <a16:creationId xmlns:a16="http://schemas.microsoft.com/office/drawing/2014/main" id="{27DD7061-2374-7B83-3DB9-52C5DC16933B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A7945FEF-00DF-724A-C3ED-48F8CEE1969D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" name="Isosceles Triangle 47">
              <a:extLst>
                <a:ext uri="{FF2B5EF4-FFF2-40B4-BE49-F238E27FC236}">
                  <a16:creationId xmlns:a16="http://schemas.microsoft.com/office/drawing/2014/main" id="{F34858F9-EC4B-FB29-DC9F-4B6A09E70F93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9" name="Isosceles Triangle 48">
              <a:extLst>
                <a:ext uri="{FF2B5EF4-FFF2-40B4-BE49-F238E27FC236}">
                  <a16:creationId xmlns:a16="http://schemas.microsoft.com/office/drawing/2014/main" id="{AE6E57F6-298B-36B7-50E0-95BC0B376E6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3" name="Group 134">
            <a:extLst>
              <a:ext uri="{FF2B5EF4-FFF2-40B4-BE49-F238E27FC236}">
                <a16:creationId xmlns:a16="http://schemas.microsoft.com/office/drawing/2014/main" id="{F9CECBF4-0635-2D48-87AD-2170A97C26B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E851A5E6-8A41-E2EE-9E75-1E6281903856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D6B40C36-C18E-2774-6A5A-697853473AE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DFFD3457-4EB2-14D4-72EF-8100A4BEAAAB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6</xdr:col>
      <xdr:colOff>369094</xdr:colOff>
      <xdr:row>65</xdr:row>
      <xdr:rowOff>59531</xdr:rowOff>
    </xdr:from>
    <xdr:to>
      <xdr:col>12</xdr:col>
      <xdr:colOff>187985</xdr:colOff>
      <xdr:row>82</xdr:row>
      <xdr:rowOff>149071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3A063AB3-C8CF-4809-95C7-054FA9D13F6B}"/>
            </a:ext>
          </a:extLst>
        </xdr:cNvPr>
        <xdr:cNvCxnSpPr>
          <a:cxnSpLocks/>
          <a:stCxn id="164" idx="0"/>
        </xdr:cNvCxnSpPr>
      </xdr:nvCxnSpPr>
      <xdr:spPr>
        <a:xfrm flipH="1" flipV="1">
          <a:off x="2196703" y="10263187"/>
          <a:ext cx="2104891" cy="27267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115248</xdr:colOff>
      <xdr:row>66</xdr:row>
      <xdr:rowOff>66610</xdr:rowOff>
    </xdr:from>
    <xdr:to>
      <xdr:col>18</xdr:col>
      <xdr:colOff>163286</xdr:colOff>
      <xdr:row>104</xdr:row>
      <xdr:rowOff>108857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35F2DE2-C684-499E-84C5-39B29BFEE0F5}"/>
            </a:ext>
          </a:extLst>
        </xdr:cNvPr>
        <xdr:cNvCxnSpPr/>
      </xdr:nvCxnSpPr>
      <xdr:spPr>
        <a:xfrm>
          <a:off x="1949491" y="10320953"/>
          <a:ext cx="4620038" cy="586610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50924</xdr:colOff>
      <xdr:row>66</xdr:row>
      <xdr:rowOff>79466</xdr:rowOff>
    </xdr:from>
    <xdr:to>
      <xdr:col>7</xdr:col>
      <xdr:colOff>161442</xdr:colOff>
      <xdr:row>67</xdr:row>
      <xdr:rowOff>49735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2A3B30F3-562E-41C1-AD17-8DD7D5246D1B}"/>
            </a:ext>
          </a:extLst>
        </xdr:cNvPr>
        <xdr:cNvGrpSpPr/>
      </xdr:nvGrpSpPr>
      <xdr:grpSpPr>
        <a:xfrm>
          <a:off x="2265177" y="10427080"/>
          <a:ext cx="110518" cy="12489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D39888D9-4CB5-AACC-CE62-B0A47972543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BB9E6FD8-9835-4B42-63B9-4F4985BEAB06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313DC3C2-C71B-B4E2-8FAF-9C9FB70E9609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368901</xdr:colOff>
      <xdr:row>75</xdr:row>
      <xdr:rowOff>51142</xdr:rowOff>
    </xdr:from>
    <xdr:to>
      <xdr:col>10</xdr:col>
      <xdr:colOff>98419</xdr:colOff>
      <xdr:row>76</xdr:row>
      <xdr:rowOff>15333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DD4DAA9F-36EC-4B6D-A3F8-4A58E77E44F8}"/>
            </a:ext>
          </a:extLst>
        </xdr:cNvPr>
        <xdr:cNvGrpSpPr/>
      </xdr:nvGrpSpPr>
      <xdr:grpSpPr>
        <a:xfrm>
          <a:off x="3350102" y="11796580"/>
          <a:ext cx="112992" cy="11881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C8E79880-5041-05D8-3143-6BE5655BA8F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8156C993-6826-2875-291F-4729AE46E500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6CCE05A-8551-FB39-7CCA-12A41D4CBB5D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175303</xdr:colOff>
      <xdr:row>70</xdr:row>
      <xdr:rowOff>118189</xdr:rowOff>
    </xdr:from>
    <xdr:to>
      <xdr:col>8</xdr:col>
      <xdr:colOff>285821</xdr:colOff>
      <xdr:row>71</xdr:row>
      <xdr:rowOff>82379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4ED8FB24-D68D-4C9D-BCEC-F005A7C39D6D}"/>
            </a:ext>
          </a:extLst>
        </xdr:cNvPr>
        <xdr:cNvGrpSpPr/>
      </xdr:nvGrpSpPr>
      <xdr:grpSpPr>
        <a:xfrm>
          <a:off x="2773030" y="11090494"/>
          <a:ext cx="110518" cy="11881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4B271301-BD6F-9619-7D5B-5FA65249904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D833F305-42D6-B9EA-E7A1-856650F1025B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C432FDE-9499-3917-F5D7-6A52CED63215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101030</xdr:colOff>
      <xdr:row>79</xdr:row>
      <xdr:rowOff>94643</xdr:rowOff>
    </xdr:from>
    <xdr:to>
      <xdr:col>11</xdr:col>
      <xdr:colOff>205017</xdr:colOff>
      <xdr:row>80</xdr:row>
      <xdr:rowOff>58833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91666947-76C4-44B2-B02A-D803EDFEED00}"/>
            </a:ext>
          </a:extLst>
        </xdr:cNvPr>
        <xdr:cNvGrpSpPr/>
      </xdr:nvGrpSpPr>
      <xdr:grpSpPr>
        <a:xfrm>
          <a:off x="3849179" y="12458588"/>
          <a:ext cx="103987" cy="1188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8" name="Oval 87">
            <a:extLst>
              <a:ext uri="{FF2B5EF4-FFF2-40B4-BE49-F238E27FC236}">
                <a16:creationId xmlns:a16="http://schemas.microsoft.com/office/drawing/2014/main" id="{B273456D-61C4-9605-692E-94C4E852F02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3661EC35-0CFF-BA86-BC83-4033D8C2D94A}"/>
              </a:ext>
            </a:extLst>
          </xdr:cNvPr>
          <xdr:cNvCxnSpPr>
            <a:stCxn id="88" idx="1"/>
            <a:endCxn id="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FF4713D-178B-8E2E-F738-BC388756D662}"/>
              </a:ext>
            </a:extLst>
          </xdr:cNvPr>
          <xdr:cNvCxnSpPr>
            <a:stCxn id="88" idx="3"/>
            <a:endCxn id="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224749</xdr:colOff>
      <xdr:row>83</xdr:row>
      <xdr:rowOff>95972</xdr:rowOff>
    </xdr:from>
    <xdr:to>
      <xdr:col>12</xdr:col>
      <xdr:colOff>322384</xdr:colOff>
      <xdr:row>84</xdr:row>
      <xdr:rowOff>58615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DCD58BD6-BA1D-4FD9-92DF-04AD9A3E6F20}"/>
            </a:ext>
          </a:extLst>
        </xdr:cNvPr>
        <xdr:cNvCxnSpPr>
          <a:stCxn id="164" idx="5"/>
        </xdr:cNvCxnSpPr>
      </xdr:nvCxnSpPr>
      <xdr:spPr>
        <a:xfrm>
          <a:off x="4342480" y="13035318"/>
          <a:ext cx="97635" cy="11650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30983</xdr:colOff>
      <xdr:row>87</xdr:row>
      <xdr:rowOff>24701</xdr:rowOff>
    </xdr:from>
    <xdr:to>
      <xdr:col>12</xdr:col>
      <xdr:colOff>141501</xdr:colOff>
      <xdr:row>87</xdr:row>
      <xdr:rowOff>140035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CF06FE84-7CD7-4063-8D5E-B57B2C95DDF4}"/>
            </a:ext>
          </a:extLst>
        </xdr:cNvPr>
        <xdr:cNvGrpSpPr/>
      </xdr:nvGrpSpPr>
      <xdr:grpSpPr>
        <a:xfrm>
          <a:off x="4162606" y="13613289"/>
          <a:ext cx="110518" cy="11533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0" name="Oval 99">
            <a:extLst>
              <a:ext uri="{FF2B5EF4-FFF2-40B4-BE49-F238E27FC236}">
                <a16:creationId xmlns:a16="http://schemas.microsoft.com/office/drawing/2014/main" id="{D4FB41E7-53F8-CC09-D47B-F1933E2BB95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200C40CD-92A7-446B-8113-A772F111A0CB}"/>
              </a:ext>
            </a:extLst>
          </xdr:cNvPr>
          <xdr:cNvCxnSpPr>
            <a:stCxn id="100" idx="1"/>
            <a:endCxn id="1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AD382612-5F45-E3B6-57BC-C8522217CDA5}"/>
              </a:ext>
            </a:extLst>
          </xdr:cNvPr>
          <xdr:cNvCxnSpPr>
            <a:stCxn id="100" idx="3"/>
            <a:endCxn id="1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223020</xdr:colOff>
      <xdr:row>25</xdr:row>
      <xdr:rowOff>110768</xdr:rowOff>
    </xdr:from>
    <xdr:to>
      <xdr:col>12</xdr:col>
      <xdr:colOff>333538</xdr:colOff>
      <xdr:row>26</xdr:row>
      <xdr:rowOff>79570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93D3F9FC-16F4-FCFE-FFCA-6C33FD95118C}"/>
            </a:ext>
          </a:extLst>
        </xdr:cNvPr>
        <xdr:cNvGrpSpPr/>
      </xdr:nvGrpSpPr>
      <xdr:grpSpPr>
        <a:xfrm>
          <a:off x="4354643" y="3994989"/>
          <a:ext cx="110518" cy="1234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1" name="Oval 110">
            <a:extLst>
              <a:ext uri="{FF2B5EF4-FFF2-40B4-BE49-F238E27FC236}">
                <a16:creationId xmlns:a16="http://schemas.microsoft.com/office/drawing/2014/main" id="{CDDDAC8E-F25B-DC35-97CC-2D0EE8635EF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494A782C-864D-6D09-8349-CE5238438DE3}"/>
              </a:ext>
            </a:extLst>
          </xdr:cNvPr>
          <xdr:cNvCxnSpPr>
            <a:stCxn id="111" idx="1"/>
            <a:endCxn id="1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372A699A-D5F5-6A62-B591-74707534BB3F}"/>
              </a:ext>
            </a:extLst>
          </xdr:cNvPr>
          <xdr:cNvCxnSpPr>
            <a:stCxn id="111" idx="3"/>
            <a:endCxn id="1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316277</xdr:colOff>
      <xdr:row>30</xdr:row>
      <xdr:rowOff>105307</xdr:rowOff>
    </xdr:from>
    <xdr:to>
      <xdr:col>14</xdr:col>
      <xdr:colOff>45795</xdr:colOff>
      <xdr:row>31</xdr:row>
      <xdr:rowOff>74109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6EB2ABC5-F7A0-307E-96E9-AF6F25EE1B76}"/>
            </a:ext>
          </a:extLst>
        </xdr:cNvPr>
        <xdr:cNvGrpSpPr/>
      </xdr:nvGrpSpPr>
      <xdr:grpSpPr>
        <a:xfrm>
          <a:off x="4831374" y="4750291"/>
          <a:ext cx="112992" cy="12342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38B4A491-D87C-04E5-157E-D967517D88E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A904080-A015-0296-E8F2-30C4F74ABE10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1BBC46E5-19C7-CF06-5F63-BB99DFC2D866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19266</xdr:colOff>
      <xdr:row>35</xdr:row>
      <xdr:rowOff>103879</xdr:rowOff>
    </xdr:from>
    <xdr:to>
      <xdr:col>15</xdr:col>
      <xdr:colOff>129784</xdr:colOff>
      <xdr:row>36</xdr:row>
      <xdr:rowOff>72681</xdr:rowOff>
    </xdr:to>
    <xdr:grpSp>
      <xdr:nvGrpSpPr>
        <xdr:cNvPr id="118" name="Group 117">
          <a:extLst>
            <a:ext uri="{FF2B5EF4-FFF2-40B4-BE49-F238E27FC236}">
              <a16:creationId xmlns:a16="http://schemas.microsoft.com/office/drawing/2014/main" id="{A7E85154-DA69-1913-483F-57F170CB54D8}"/>
            </a:ext>
          </a:extLst>
        </xdr:cNvPr>
        <xdr:cNvGrpSpPr/>
      </xdr:nvGrpSpPr>
      <xdr:grpSpPr>
        <a:xfrm>
          <a:off x="5301311" y="5521996"/>
          <a:ext cx="110518" cy="12342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9" name="Oval 128">
            <a:extLst>
              <a:ext uri="{FF2B5EF4-FFF2-40B4-BE49-F238E27FC236}">
                <a16:creationId xmlns:a16="http://schemas.microsoft.com/office/drawing/2014/main" id="{110C4D7E-C9CB-0528-3EAC-4831EB69872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106C0715-345E-E460-D642-CAEFFBB3DA06}"/>
              </a:ext>
            </a:extLst>
          </xdr:cNvPr>
          <xdr:cNvCxnSpPr>
            <a:stCxn id="129" idx="1"/>
            <a:endCxn id="1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A895158F-5203-92BF-C354-99CA8770B248}"/>
              </a:ext>
            </a:extLst>
          </xdr:cNvPr>
          <xdr:cNvCxnSpPr>
            <a:stCxn id="129" idx="3"/>
            <a:endCxn id="1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53935</xdr:colOff>
      <xdr:row>39</xdr:row>
      <xdr:rowOff>146055</xdr:rowOff>
    </xdr:from>
    <xdr:to>
      <xdr:col>16</xdr:col>
      <xdr:colOff>164453</xdr:colOff>
      <xdr:row>40</xdr:row>
      <xdr:rowOff>115394</xdr:rowOff>
    </xdr:to>
    <xdr:grpSp>
      <xdr:nvGrpSpPr>
        <xdr:cNvPr id="132" name="Group 131">
          <a:extLst>
            <a:ext uri="{FF2B5EF4-FFF2-40B4-BE49-F238E27FC236}">
              <a16:creationId xmlns:a16="http://schemas.microsoft.com/office/drawing/2014/main" id="{C5A1CB2D-6494-66A0-45DF-D4C96B7D0DC2}"/>
            </a:ext>
          </a:extLst>
        </xdr:cNvPr>
        <xdr:cNvGrpSpPr/>
      </xdr:nvGrpSpPr>
      <xdr:grpSpPr>
        <a:xfrm>
          <a:off x="5719454" y="6195049"/>
          <a:ext cx="110518" cy="1239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3" name="Oval 132">
            <a:extLst>
              <a:ext uri="{FF2B5EF4-FFF2-40B4-BE49-F238E27FC236}">
                <a16:creationId xmlns:a16="http://schemas.microsoft.com/office/drawing/2014/main" id="{CBD34448-46BB-6D0B-E2FB-181BCE85C8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95604241-130E-B189-C0BC-91FBE940DCEE}"/>
              </a:ext>
            </a:extLst>
          </xdr:cNvPr>
          <xdr:cNvCxnSpPr>
            <a:stCxn id="133" idx="1"/>
            <a:endCxn id="13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D73E70E6-60E4-3039-5D44-CDCD68780DE4}"/>
              </a:ext>
            </a:extLst>
          </xdr:cNvPr>
          <xdr:cNvCxnSpPr>
            <a:stCxn id="133" idx="3"/>
            <a:endCxn id="13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169201</xdr:colOff>
      <xdr:row>45</xdr:row>
      <xdr:rowOff>10595</xdr:rowOff>
    </xdr:from>
    <xdr:to>
      <xdr:col>17</xdr:col>
      <xdr:colOff>279719</xdr:colOff>
      <xdr:row>45</xdr:row>
      <xdr:rowOff>133263</xdr:rowOff>
    </xdr:to>
    <xdr:grpSp>
      <xdr:nvGrpSpPr>
        <xdr:cNvPr id="136" name="Group 135">
          <a:extLst>
            <a:ext uri="{FF2B5EF4-FFF2-40B4-BE49-F238E27FC236}">
              <a16:creationId xmlns:a16="http://schemas.microsoft.com/office/drawing/2014/main" id="{386813CF-5CE1-D500-761D-33C1E852CBCD}"/>
            </a:ext>
          </a:extLst>
        </xdr:cNvPr>
        <xdr:cNvGrpSpPr/>
      </xdr:nvGrpSpPr>
      <xdr:grpSpPr>
        <a:xfrm>
          <a:off x="6218195" y="6987348"/>
          <a:ext cx="110518" cy="1226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7" name="Oval 136">
            <a:extLst>
              <a:ext uri="{FF2B5EF4-FFF2-40B4-BE49-F238E27FC236}">
                <a16:creationId xmlns:a16="http://schemas.microsoft.com/office/drawing/2014/main" id="{D5C53EEB-3493-2216-1BEB-867EE96C81F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536683EC-D329-BFB2-8FF0-3CFD93C59DF1}"/>
              </a:ext>
            </a:extLst>
          </xdr:cNvPr>
          <xdr:cNvCxnSpPr>
            <a:stCxn id="137" idx="1"/>
            <a:endCxn id="1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9AA0CD8E-C500-A177-9179-010485A7D34E}"/>
              </a:ext>
            </a:extLst>
          </xdr:cNvPr>
          <xdr:cNvCxnSpPr>
            <a:stCxn id="137" idx="3"/>
            <a:endCxn id="1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117231</xdr:colOff>
      <xdr:row>46</xdr:row>
      <xdr:rowOff>134471</xdr:rowOff>
    </xdr:from>
    <xdr:to>
      <xdr:col>16</xdr:col>
      <xdr:colOff>224117</xdr:colOff>
      <xdr:row>50</xdr:row>
      <xdr:rowOff>102577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18C54E48-6379-5017-8C8B-23841D77DB86}"/>
            </a:ext>
          </a:extLst>
        </xdr:cNvPr>
        <xdr:cNvCxnSpPr/>
      </xdr:nvCxnSpPr>
      <xdr:spPr>
        <a:xfrm flipV="1">
          <a:off x="4996962" y="7241586"/>
          <a:ext cx="868886" cy="590895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134470</xdr:colOff>
      <xdr:row>14</xdr:row>
      <xdr:rowOff>11206</xdr:rowOff>
    </xdr:from>
    <xdr:to>
      <xdr:col>16</xdr:col>
      <xdr:colOff>134470</xdr:colOff>
      <xdr:row>47</xdr:row>
      <xdr:rowOff>22411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8AEB435E-E61C-ED03-E0C4-83D3D2853BCF}"/>
            </a:ext>
          </a:extLst>
        </xdr:cNvPr>
        <xdr:cNvCxnSpPr/>
      </xdr:nvCxnSpPr>
      <xdr:spPr>
        <a:xfrm>
          <a:off x="2734235" y="2207559"/>
          <a:ext cx="3048000" cy="5177117"/>
        </a:xfrm>
        <a:prstGeom prst="line">
          <a:avLst/>
        </a:prstGeom>
        <a:ln w="190500">
          <a:solidFill>
            <a:srgbClr val="33CCFF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184219</xdr:colOff>
      <xdr:row>81</xdr:row>
      <xdr:rowOff>132723</xdr:rowOff>
    </xdr:from>
    <xdr:to>
      <xdr:col>14</xdr:col>
      <xdr:colOff>184219</xdr:colOff>
      <xdr:row>89</xdr:row>
      <xdr:rowOff>104880</xdr:rowOff>
    </xdr:to>
    <xdr:cxnSp macro="">
      <xdr:nvCxnSpPr>
        <xdr:cNvPr id="160" name="Straight Connector 159">
          <a:extLst>
            <a:ext uri="{FF2B5EF4-FFF2-40B4-BE49-F238E27FC236}">
              <a16:creationId xmlns:a16="http://schemas.microsoft.com/office/drawing/2014/main" id="{59B164E2-B93F-59FF-6F1D-2AE4CBDA3E19}"/>
            </a:ext>
          </a:extLst>
        </xdr:cNvPr>
        <xdr:cNvCxnSpPr/>
      </xdr:nvCxnSpPr>
      <xdr:spPr>
        <a:xfrm flipV="1">
          <a:off x="3539950" y="12764338"/>
          <a:ext cx="1524000" cy="1195754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135991</xdr:colOff>
      <xdr:row>82</xdr:row>
      <xdr:rowOff>149071</xdr:rowOff>
    </xdr:from>
    <xdr:to>
      <xdr:col>12</xdr:col>
      <xdr:colOff>239978</xdr:colOff>
      <xdr:row>83</xdr:row>
      <xdr:rowOff>113261</xdr:rowOff>
    </xdr:to>
    <xdr:grpSp>
      <xdr:nvGrpSpPr>
        <xdr:cNvPr id="163" name="Group 162">
          <a:extLst>
            <a:ext uri="{FF2B5EF4-FFF2-40B4-BE49-F238E27FC236}">
              <a16:creationId xmlns:a16="http://schemas.microsoft.com/office/drawing/2014/main" id="{E310E114-0EAE-5EC8-BC7C-0275B54F31F4}"/>
            </a:ext>
          </a:extLst>
        </xdr:cNvPr>
        <xdr:cNvGrpSpPr/>
      </xdr:nvGrpSpPr>
      <xdr:grpSpPr>
        <a:xfrm>
          <a:off x="4267614" y="12976896"/>
          <a:ext cx="103987" cy="11881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4" name="Oval 163">
            <a:extLst>
              <a:ext uri="{FF2B5EF4-FFF2-40B4-BE49-F238E27FC236}">
                <a16:creationId xmlns:a16="http://schemas.microsoft.com/office/drawing/2014/main" id="{9840B26B-ECF2-3C5A-8D7F-4C857D6E89F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DE55BD11-C75C-3C68-5DF0-C8B7A8925361}"/>
              </a:ext>
            </a:extLst>
          </xdr:cNvPr>
          <xdr:cNvCxnSpPr>
            <a:stCxn id="164" idx="1"/>
            <a:endCxn id="1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87C3DDCB-6970-5A4D-157C-3EE4EA659FD9}"/>
              </a:ext>
            </a:extLst>
          </xdr:cNvPr>
          <xdr:cNvCxnSpPr>
            <a:stCxn id="164" idx="3"/>
            <a:endCxn id="1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153024</xdr:colOff>
      <xdr:row>80</xdr:row>
      <xdr:rowOff>58833</xdr:rowOff>
    </xdr:from>
    <xdr:to>
      <xdr:col>12</xdr:col>
      <xdr:colOff>30983</xdr:colOff>
      <xdr:row>87</xdr:row>
      <xdr:rowOff>82368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32F75AFA-95F4-1303-3B08-97599F590B03}"/>
            </a:ext>
          </a:extLst>
        </xdr:cNvPr>
        <xdr:cNvCxnSpPr>
          <a:stCxn id="88" idx="4"/>
          <a:endCxn id="100" idx="2"/>
        </xdr:cNvCxnSpPr>
      </xdr:nvCxnSpPr>
      <xdr:spPr>
        <a:xfrm>
          <a:off x="3892267" y="12457662"/>
          <a:ext cx="258959" cy="1079449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134398</xdr:colOff>
      <xdr:row>91</xdr:row>
      <xdr:rowOff>90015</xdr:rowOff>
    </xdr:from>
    <xdr:to>
      <xdr:col>13</xdr:col>
      <xdr:colOff>244916</xdr:colOff>
      <xdr:row>92</xdr:row>
      <xdr:rowOff>42063</xdr:rowOff>
    </xdr:to>
    <xdr:grpSp>
      <xdr:nvGrpSpPr>
        <xdr:cNvPr id="173" name="Group 172">
          <a:extLst>
            <a:ext uri="{FF2B5EF4-FFF2-40B4-BE49-F238E27FC236}">
              <a16:creationId xmlns:a16="http://schemas.microsoft.com/office/drawing/2014/main" id="{DFD80C1C-902E-50CE-D2F4-49D3A0D4D0D2}"/>
            </a:ext>
          </a:extLst>
        </xdr:cNvPr>
        <xdr:cNvGrpSpPr/>
      </xdr:nvGrpSpPr>
      <xdr:grpSpPr>
        <a:xfrm>
          <a:off x="4649495" y="14297109"/>
          <a:ext cx="110518" cy="1128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4" name="Oval 173">
            <a:extLst>
              <a:ext uri="{FF2B5EF4-FFF2-40B4-BE49-F238E27FC236}">
                <a16:creationId xmlns:a16="http://schemas.microsoft.com/office/drawing/2014/main" id="{31DD2D5D-56BF-F93F-0B15-D7643C9531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D1FE4E14-E071-AD3F-9751-A5D622B529E9}"/>
              </a:ext>
            </a:extLst>
          </xdr:cNvPr>
          <xdr:cNvCxnSpPr>
            <a:stCxn id="174" idx="1"/>
            <a:endCxn id="1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Connector 175">
            <a:extLst>
              <a:ext uri="{FF2B5EF4-FFF2-40B4-BE49-F238E27FC236}">
                <a16:creationId xmlns:a16="http://schemas.microsoft.com/office/drawing/2014/main" id="{6756692C-F213-D7D4-F84C-B5B7242E04F0}"/>
              </a:ext>
            </a:extLst>
          </xdr:cNvPr>
          <xdr:cNvCxnSpPr>
            <a:stCxn id="174" idx="3"/>
            <a:endCxn id="1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249378</xdr:colOff>
      <xdr:row>95</xdr:row>
      <xdr:rowOff>43241</xdr:rowOff>
    </xdr:from>
    <xdr:to>
      <xdr:col>14</xdr:col>
      <xdr:colOff>359896</xdr:colOff>
      <xdr:row>96</xdr:row>
      <xdr:rowOff>6175</xdr:rowOff>
    </xdr:to>
    <xdr:grpSp>
      <xdr:nvGrpSpPr>
        <xdr:cNvPr id="177" name="Group 176">
          <a:extLst>
            <a:ext uri="{FF2B5EF4-FFF2-40B4-BE49-F238E27FC236}">
              <a16:creationId xmlns:a16="http://schemas.microsoft.com/office/drawing/2014/main" id="{01F082A2-C210-7FF7-BE2B-676014160075}"/>
            </a:ext>
          </a:extLst>
        </xdr:cNvPr>
        <xdr:cNvGrpSpPr/>
      </xdr:nvGrpSpPr>
      <xdr:grpSpPr>
        <a:xfrm>
          <a:off x="5147949" y="14881212"/>
          <a:ext cx="110518" cy="1175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8" name="Oval 177">
            <a:extLst>
              <a:ext uri="{FF2B5EF4-FFF2-40B4-BE49-F238E27FC236}">
                <a16:creationId xmlns:a16="http://schemas.microsoft.com/office/drawing/2014/main" id="{CA43BB6B-518F-BC43-BF68-6F2491BAB9B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9" name="Straight Connector 178">
            <a:extLst>
              <a:ext uri="{FF2B5EF4-FFF2-40B4-BE49-F238E27FC236}">
                <a16:creationId xmlns:a16="http://schemas.microsoft.com/office/drawing/2014/main" id="{9FD1E69E-8004-B4F8-93C4-3A042796F9E6}"/>
              </a:ext>
            </a:extLst>
          </xdr:cNvPr>
          <xdr:cNvCxnSpPr>
            <a:stCxn id="178" idx="1"/>
            <a:endCxn id="17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65D7A240-528C-E5ED-B87E-3D67254F4E10}"/>
              </a:ext>
            </a:extLst>
          </xdr:cNvPr>
          <xdr:cNvCxnSpPr>
            <a:stCxn id="178" idx="3"/>
            <a:endCxn id="17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272851</xdr:colOff>
      <xdr:row>98</xdr:row>
      <xdr:rowOff>93587</xdr:rowOff>
    </xdr:from>
    <xdr:to>
      <xdr:col>16</xdr:col>
      <xdr:colOff>2369</xdr:colOff>
      <xdr:row>99</xdr:row>
      <xdr:rowOff>56521</xdr:rowOff>
    </xdr:to>
    <xdr:grpSp>
      <xdr:nvGrpSpPr>
        <xdr:cNvPr id="181" name="Group 180">
          <a:extLst>
            <a:ext uri="{FF2B5EF4-FFF2-40B4-BE49-F238E27FC236}">
              <a16:creationId xmlns:a16="http://schemas.microsoft.com/office/drawing/2014/main" id="{B0B4800A-99F3-A32E-0E62-7926EDD6294D}"/>
            </a:ext>
          </a:extLst>
        </xdr:cNvPr>
        <xdr:cNvGrpSpPr/>
      </xdr:nvGrpSpPr>
      <xdr:grpSpPr>
        <a:xfrm>
          <a:off x="5554896" y="15395438"/>
          <a:ext cx="112992" cy="1175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2" name="Oval 181">
            <a:extLst>
              <a:ext uri="{FF2B5EF4-FFF2-40B4-BE49-F238E27FC236}">
                <a16:creationId xmlns:a16="http://schemas.microsoft.com/office/drawing/2014/main" id="{4769D1F7-4BBD-A974-0126-36B13690CF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F856EEE5-FF3D-2FD4-68E1-F5E68868125B}"/>
              </a:ext>
            </a:extLst>
          </xdr:cNvPr>
          <xdr:cNvCxnSpPr>
            <a:stCxn id="182" idx="1"/>
            <a:endCxn id="18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43184B8D-0791-83A1-8B9A-BE73D3A7E256}"/>
              </a:ext>
            </a:extLst>
          </xdr:cNvPr>
          <xdr:cNvCxnSpPr>
            <a:stCxn id="182" idx="3"/>
            <a:endCxn id="18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208961</xdr:colOff>
      <xdr:row>101</xdr:row>
      <xdr:rowOff>49196</xdr:rowOff>
    </xdr:from>
    <xdr:to>
      <xdr:col>17</xdr:col>
      <xdr:colOff>208961</xdr:colOff>
      <xdr:row>108</xdr:row>
      <xdr:rowOff>49077</xdr:rowOff>
    </xdr:to>
    <xdr:cxnSp macro="">
      <xdr:nvCxnSpPr>
        <xdr:cNvPr id="189" name="Straight Connector 188">
          <a:extLst>
            <a:ext uri="{FF2B5EF4-FFF2-40B4-BE49-F238E27FC236}">
              <a16:creationId xmlns:a16="http://schemas.microsoft.com/office/drawing/2014/main" id="{CA8D5D87-9D30-EE48-8069-76F4AF45D289}"/>
            </a:ext>
          </a:extLst>
        </xdr:cNvPr>
        <xdr:cNvCxnSpPr/>
      </xdr:nvCxnSpPr>
      <xdr:spPr>
        <a:xfrm flipV="1">
          <a:off x="4703570" y="15830930"/>
          <a:ext cx="1524000" cy="118455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38130</xdr:colOff>
      <xdr:row>106</xdr:row>
      <xdr:rowOff>30490</xdr:rowOff>
    </xdr:from>
    <xdr:to>
      <xdr:col>15</xdr:col>
      <xdr:colOff>148648</xdr:colOff>
      <xdr:row>106</xdr:row>
      <xdr:rowOff>148205</xdr:rowOff>
    </xdr:to>
    <xdr:grpSp>
      <xdr:nvGrpSpPr>
        <xdr:cNvPr id="191" name="Group 190">
          <a:extLst>
            <a:ext uri="{FF2B5EF4-FFF2-40B4-BE49-F238E27FC236}">
              <a16:creationId xmlns:a16="http://schemas.microsoft.com/office/drawing/2014/main" id="{E205F3DA-7DED-E07A-D3F7-58C50A4E3E9C}"/>
            </a:ext>
          </a:extLst>
        </xdr:cNvPr>
        <xdr:cNvGrpSpPr/>
      </xdr:nvGrpSpPr>
      <xdr:grpSpPr>
        <a:xfrm>
          <a:off x="5320175" y="16668315"/>
          <a:ext cx="110518" cy="11771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2" name="Oval 191">
            <a:extLst>
              <a:ext uri="{FF2B5EF4-FFF2-40B4-BE49-F238E27FC236}">
                <a16:creationId xmlns:a16="http://schemas.microsoft.com/office/drawing/2014/main" id="{4B8029EF-8BCF-97D9-B9A7-86A82991840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F820586B-01DE-6FB4-7293-FCE43B04378C}"/>
              </a:ext>
            </a:extLst>
          </xdr:cNvPr>
          <xdr:cNvCxnSpPr>
            <a:stCxn id="192" idx="1"/>
            <a:endCxn id="1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A33F2964-0EA8-32A3-1E3E-B6181FB8B9EF}"/>
              </a:ext>
            </a:extLst>
          </xdr:cNvPr>
          <xdr:cNvCxnSpPr>
            <a:stCxn id="192" idx="3"/>
            <a:endCxn id="1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141501</xdr:colOff>
      <xdr:row>87</xdr:row>
      <xdr:rowOff>82368</xdr:rowOff>
    </xdr:from>
    <xdr:to>
      <xdr:col>17</xdr:col>
      <xdr:colOff>107116</xdr:colOff>
      <xdr:row>102</xdr:row>
      <xdr:rowOff>159472</xdr:rowOff>
    </xdr:to>
    <xdr:cxnSp macro="">
      <xdr:nvCxnSpPr>
        <xdr:cNvPr id="208" name="Straight Connector 207">
          <a:extLst>
            <a:ext uri="{FF2B5EF4-FFF2-40B4-BE49-F238E27FC236}">
              <a16:creationId xmlns:a16="http://schemas.microsoft.com/office/drawing/2014/main" id="{013AC376-D222-8D81-6679-F5261744A353}"/>
            </a:ext>
          </a:extLst>
        </xdr:cNvPr>
        <xdr:cNvCxnSpPr>
          <a:cxnSpLocks/>
          <a:stCxn id="186" idx="7"/>
          <a:endCxn id="100" idx="6"/>
        </xdr:cNvCxnSpPr>
      </xdr:nvCxnSpPr>
      <xdr:spPr>
        <a:xfrm flipH="1" flipV="1">
          <a:off x="4255110" y="13685259"/>
          <a:ext cx="1870615" cy="241072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132463</xdr:colOff>
      <xdr:row>103</xdr:row>
      <xdr:rowOff>81976</xdr:rowOff>
    </xdr:from>
    <xdr:to>
      <xdr:col>17</xdr:col>
      <xdr:colOff>28968</xdr:colOff>
      <xdr:row>106</xdr:row>
      <xdr:rowOff>47729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E83CEF2A-ED38-7260-3795-8FE5B0F6611B}"/>
            </a:ext>
          </a:extLst>
        </xdr:cNvPr>
        <xdr:cNvCxnSpPr>
          <a:cxnSpLocks/>
          <a:stCxn id="186" idx="3"/>
          <a:endCxn id="192" idx="7"/>
        </xdr:cNvCxnSpPr>
      </xdr:nvCxnSpPr>
      <xdr:spPr>
        <a:xfrm flipH="1">
          <a:off x="5389072" y="16179226"/>
          <a:ext cx="658505" cy="52534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12783</xdr:colOff>
      <xdr:row>102</xdr:row>
      <xdr:rowOff>142233</xdr:rowOff>
    </xdr:from>
    <xdr:to>
      <xdr:col>17</xdr:col>
      <xdr:colOff>123301</xdr:colOff>
      <xdr:row>103</xdr:row>
      <xdr:rowOff>99215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E136D1B7-694D-376E-D07D-DF9FC277EAB3}"/>
            </a:ext>
          </a:extLst>
        </xdr:cNvPr>
        <xdr:cNvGrpSpPr/>
      </xdr:nvGrpSpPr>
      <xdr:grpSpPr>
        <a:xfrm>
          <a:off x="6061777" y="16062590"/>
          <a:ext cx="110518" cy="11779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6" name="Oval 185">
            <a:extLst>
              <a:ext uri="{FF2B5EF4-FFF2-40B4-BE49-F238E27FC236}">
                <a16:creationId xmlns:a16="http://schemas.microsoft.com/office/drawing/2014/main" id="{188C01B3-8F35-23BF-A96B-79A7E4972E0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09B1DA88-DDFB-D0D9-0B5B-D4280232218F}"/>
              </a:ext>
            </a:extLst>
          </xdr:cNvPr>
          <xdr:cNvCxnSpPr>
            <a:stCxn id="186" idx="1"/>
            <a:endCxn id="1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A18154FC-130C-5765-994E-168750A2C61D}"/>
              </a:ext>
            </a:extLst>
          </xdr:cNvPr>
          <xdr:cNvCxnSpPr>
            <a:stCxn id="186" idx="3"/>
            <a:endCxn id="1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85694</xdr:colOff>
      <xdr:row>12</xdr:row>
      <xdr:rowOff>98469</xdr:rowOff>
    </xdr:from>
    <xdr:to>
      <xdr:col>13</xdr:col>
      <xdr:colOff>10025</xdr:colOff>
      <xdr:row>16</xdr:row>
      <xdr:rowOff>20052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FC72E1DB-5604-01D2-B152-1B1174A0522B}"/>
            </a:ext>
          </a:extLst>
        </xdr:cNvPr>
        <xdr:cNvSpPr txBox="1"/>
      </xdr:nvSpPr>
      <xdr:spPr>
        <a:xfrm>
          <a:off x="3820497" y="1923258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K3-351/17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11</xdr:col>
      <xdr:colOff>371444</xdr:colOff>
      <xdr:row>17</xdr:row>
      <xdr:rowOff>8232</xdr:rowOff>
    </xdr:from>
    <xdr:to>
      <xdr:col>13</xdr:col>
      <xdr:colOff>295775</xdr:colOff>
      <xdr:row>20</xdr:row>
      <xdr:rowOff>90236</xdr:rowOff>
    </xdr:to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63607F3-ECEA-D71F-AEA5-360150D9D224}"/>
            </a:ext>
          </a:extLst>
        </xdr:cNvPr>
        <xdr:cNvSpPr txBox="1"/>
      </xdr:nvSpPr>
      <xdr:spPr>
        <a:xfrm>
          <a:off x="4106247" y="2595021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K3-351/18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13</xdr:col>
      <xdr:colOff>50603</xdr:colOff>
      <xdr:row>22</xdr:row>
      <xdr:rowOff>48336</xdr:rowOff>
    </xdr:from>
    <xdr:to>
      <xdr:col>14</xdr:col>
      <xdr:colOff>355934</xdr:colOff>
      <xdr:row>25</xdr:row>
      <xdr:rowOff>130341</xdr:rowOff>
    </xdr:to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989C03B8-703F-F2C0-34DF-97C1678C49DF}"/>
            </a:ext>
          </a:extLst>
        </xdr:cNvPr>
        <xdr:cNvSpPr txBox="1"/>
      </xdr:nvSpPr>
      <xdr:spPr>
        <a:xfrm>
          <a:off x="4547406" y="3387099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K3-351/19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14</xdr:col>
      <xdr:colOff>130814</xdr:colOff>
      <xdr:row>27</xdr:row>
      <xdr:rowOff>48335</xdr:rowOff>
    </xdr:from>
    <xdr:to>
      <xdr:col>16</xdr:col>
      <xdr:colOff>55145</xdr:colOff>
      <xdr:row>30</xdr:row>
      <xdr:rowOff>135353</xdr:rowOff>
    </xdr:to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4D5F15-3537-ACB2-C9D3-05614AB01AED}"/>
            </a:ext>
          </a:extLst>
        </xdr:cNvPr>
        <xdr:cNvSpPr txBox="1"/>
      </xdr:nvSpPr>
      <xdr:spPr>
        <a:xfrm>
          <a:off x="5008617" y="4139072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K3-351/20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15</xdr:col>
      <xdr:colOff>206011</xdr:colOff>
      <xdr:row>32</xdr:row>
      <xdr:rowOff>3217</xdr:rowOff>
    </xdr:from>
    <xdr:to>
      <xdr:col>17</xdr:col>
      <xdr:colOff>130342</xdr:colOff>
      <xdr:row>35</xdr:row>
      <xdr:rowOff>85221</xdr:rowOff>
    </xdr:to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3F291A7F-8622-0A61-59F8-8FE6500ED812}"/>
            </a:ext>
          </a:extLst>
        </xdr:cNvPr>
        <xdr:cNvSpPr txBox="1"/>
      </xdr:nvSpPr>
      <xdr:spPr>
        <a:xfrm>
          <a:off x="5464814" y="4840914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K3-351/21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17</xdr:col>
      <xdr:colOff>15511</xdr:colOff>
      <xdr:row>37</xdr:row>
      <xdr:rowOff>153612</xdr:rowOff>
    </xdr:from>
    <xdr:to>
      <xdr:col>18</xdr:col>
      <xdr:colOff>320842</xdr:colOff>
      <xdr:row>41</xdr:row>
      <xdr:rowOff>75195</xdr:rowOff>
    </xdr:to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C559ABE-F567-9C0D-EFC2-BF1D77E8D9D3}"/>
            </a:ext>
          </a:extLst>
        </xdr:cNvPr>
        <xdr:cNvSpPr txBox="1"/>
      </xdr:nvSpPr>
      <xdr:spPr>
        <a:xfrm>
          <a:off x="6036314" y="5753309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K3-351/22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18</xdr:col>
      <xdr:colOff>55616</xdr:colOff>
      <xdr:row>42</xdr:row>
      <xdr:rowOff>108493</xdr:rowOff>
    </xdr:from>
    <xdr:to>
      <xdr:col>19</xdr:col>
      <xdr:colOff>360947</xdr:colOff>
      <xdr:row>46</xdr:row>
      <xdr:rowOff>40103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D37B1837-F182-8AAB-4545-76DD669AF09B}"/>
            </a:ext>
          </a:extLst>
        </xdr:cNvPr>
        <xdr:cNvSpPr txBox="1"/>
      </xdr:nvSpPr>
      <xdr:spPr>
        <a:xfrm>
          <a:off x="6457419" y="6470190"/>
          <a:ext cx="686331" cy="53318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K3-351/23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7</xdr:col>
      <xdr:colOff>370674</xdr:colOff>
      <xdr:row>63</xdr:row>
      <xdr:rowOff>108493</xdr:rowOff>
    </xdr:from>
    <xdr:to>
      <xdr:col>9</xdr:col>
      <xdr:colOff>295005</xdr:colOff>
      <xdr:row>67</xdr:row>
      <xdr:rowOff>40103</xdr:rowOff>
    </xdr:to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FBCA6B-CB94-258E-D010-7F05E6B11E58}"/>
            </a:ext>
          </a:extLst>
        </xdr:cNvPr>
        <xdr:cNvSpPr txBox="1"/>
      </xdr:nvSpPr>
      <xdr:spPr>
        <a:xfrm>
          <a:off x="2583405" y="9963205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K3-351/24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9</xdr:col>
      <xdr:colOff>26309</xdr:colOff>
      <xdr:row>67</xdr:row>
      <xdr:rowOff>130475</xdr:rowOff>
    </xdr:from>
    <xdr:to>
      <xdr:col>10</xdr:col>
      <xdr:colOff>331640</xdr:colOff>
      <xdr:row>71</xdr:row>
      <xdr:rowOff>54757</xdr:rowOff>
    </xdr:to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46EC98B4-F4F6-97E9-8836-C6F2E57722F8}"/>
            </a:ext>
          </a:extLst>
        </xdr:cNvPr>
        <xdr:cNvSpPr txBox="1"/>
      </xdr:nvSpPr>
      <xdr:spPr>
        <a:xfrm>
          <a:off x="3001040" y="10600648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K3-351/24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10</xdr:col>
      <xdr:colOff>216809</xdr:colOff>
      <xdr:row>72</xdr:row>
      <xdr:rowOff>35225</xdr:rowOff>
    </xdr:from>
    <xdr:to>
      <xdr:col>12</xdr:col>
      <xdr:colOff>141140</xdr:colOff>
      <xdr:row>75</xdr:row>
      <xdr:rowOff>120700</xdr:rowOff>
    </xdr:to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9A4DC189-E6BA-E331-A823-8F9BC9B87E25}"/>
            </a:ext>
          </a:extLst>
        </xdr:cNvPr>
        <xdr:cNvSpPr txBox="1"/>
      </xdr:nvSpPr>
      <xdr:spPr>
        <a:xfrm>
          <a:off x="3572540" y="11282052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K3-351/24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12</xdr:col>
      <xdr:colOff>18982</xdr:colOff>
      <xdr:row>76</xdr:row>
      <xdr:rowOff>71861</xdr:rowOff>
    </xdr:from>
    <xdr:to>
      <xdr:col>13</xdr:col>
      <xdr:colOff>324313</xdr:colOff>
      <xdr:row>80</xdr:row>
      <xdr:rowOff>3470</xdr:rowOff>
    </xdr:to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0902321B-5ED5-BCB9-D645-CD2DF4BC5E63}"/>
            </a:ext>
          </a:extLst>
        </xdr:cNvPr>
        <xdr:cNvSpPr txBox="1"/>
      </xdr:nvSpPr>
      <xdr:spPr>
        <a:xfrm>
          <a:off x="4136713" y="11934149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K3-351/24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</xdr:txBody>
    </xdr:sp>
    <xdr:clientData/>
  </xdr:twoCellAnchor>
  <xdr:twoCellAnchor>
    <xdr:from>
      <xdr:col>13</xdr:col>
      <xdr:colOff>287788</xdr:colOff>
      <xdr:row>80</xdr:row>
      <xdr:rowOff>129102</xdr:rowOff>
    </xdr:from>
    <xdr:to>
      <xdr:col>15</xdr:col>
      <xdr:colOff>212119</xdr:colOff>
      <xdr:row>89</xdr:row>
      <xdr:rowOff>119063</xdr:rowOff>
    </xdr:to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47127D4B-B08C-4353-52DA-0A1F819B9CE7}"/>
            </a:ext>
          </a:extLst>
        </xdr:cNvPr>
        <xdr:cNvSpPr txBox="1"/>
      </xdr:nvSpPr>
      <xdr:spPr>
        <a:xfrm>
          <a:off x="4782397" y="12660430"/>
          <a:ext cx="686331" cy="137108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K3-351/24/A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CG-312A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CM2-12M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  <xdr:twoCellAnchor>
    <xdr:from>
      <xdr:col>10</xdr:col>
      <xdr:colOff>180174</xdr:colOff>
      <xdr:row>88</xdr:row>
      <xdr:rowOff>71861</xdr:rowOff>
    </xdr:from>
    <xdr:to>
      <xdr:col>12</xdr:col>
      <xdr:colOff>104505</xdr:colOff>
      <xdr:row>91</xdr:row>
      <xdr:rowOff>157336</xdr:rowOff>
    </xdr:to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D39A9042-FCF5-39AC-FC68-10362F125C8E}"/>
            </a:ext>
          </a:extLst>
        </xdr:cNvPr>
        <xdr:cNvSpPr txBox="1"/>
      </xdr:nvSpPr>
      <xdr:spPr>
        <a:xfrm>
          <a:off x="3535905" y="13773207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K3-351/24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CA9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</xdr:txBody>
    </xdr:sp>
    <xdr:clientData/>
  </xdr:twoCellAnchor>
  <xdr:twoCellAnchor>
    <xdr:from>
      <xdr:col>11</xdr:col>
      <xdr:colOff>70270</xdr:colOff>
      <xdr:row>92</xdr:row>
      <xdr:rowOff>130475</xdr:rowOff>
    </xdr:from>
    <xdr:to>
      <xdr:col>12</xdr:col>
      <xdr:colOff>375601</xdr:colOff>
      <xdr:row>96</xdr:row>
      <xdr:rowOff>54758</xdr:rowOff>
    </xdr:to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4B5BD1FC-DBAE-3636-4065-268C06A66A14}"/>
            </a:ext>
          </a:extLst>
        </xdr:cNvPr>
        <xdr:cNvSpPr txBox="1"/>
      </xdr:nvSpPr>
      <xdr:spPr>
        <a:xfrm>
          <a:off x="3807001" y="14454610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K3-351/25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CA9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106905</xdr:colOff>
      <xdr:row>96</xdr:row>
      <xdr:rowOff>123148</xdr:rowOff>
    </xdr:from>
    <xdr:to>
      <xdr:col>14</xdr:col>
      <xdr:colOff>31236</xdr:colOff>
      <xdr:row>100</xdr:row>
      <xdr:rowOff>54757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D2629F1-9677-A86C-ED0E-44AD0CD24333}"/>
            </a:ext>
          </a:extLst>
        </xdr:cNvPr>
        <xdr:cNvSpPr txBox="1"/>
      </xdr:nvSpPr>
      <xdr:spPr>
        <a:xfrm>
          <a:off x="4224636" y="15070071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K3-351/26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CA9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13</xdr:col>
      <xdr:colOff>84925</xdr:colOff>
      <xdr:row>101</xdr:row>
      <xdr:rowOff>13244</xdr:rowOff>
    </xdr:from>
    <xdr:to>
      <xdr:col>15</xdr:col>
      <xdr:colOff>9256</xdr:colOff>
      <xdr:row>104</xdr:row>
      <xdr:rowOff>91392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142F88C5-9EA0-0A13-0230-72AB0813BA3D}"/>
            </a:ext>
          </a:extLst>
        </xdr:cNvPr>
        <xdr:cNvSpPr txBox="1"/>
      </xdr:nvSpPr>
      <xdr:spPr>
        <a:xfrm>
          <a:off x="4583656" y="15729494"/>
          <a:ext cx="686331" cy="547071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K3-351/27</a:t>
          </a:r>
          <a:endParaRPr lang="en-US" sz="700" b="0" u="non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CA9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18</xdr:col>
      <xdr:colOff>290077</xdr:colOff>
      <xdr:row>99</xdr:row>
      <xdr:rowOff>71862</xdr:rowOff>
    </xdr:from>
    <xdr:to>
      <xdr:col>20</xdr:col>
      <xdr:colOff>214408</xdr:colOff>
      <xdr:row>103</xdr:row>
      <xdr:rowOff>109905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86C7A5A1-AD6E-81BA-89A1-168B25D0517B}"/>
            </a:ext>
          </a:extLst>
        </xdr:cNvPr>
        <xdr:cNvSpPr txBox="1"/>
      </xdr:nvSpPr>
      <xdr:spPr>
        <a:xfrm>
          <a:off x="6693808" y="15480381"/>
          <a:ext cx="686331" cy="66083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K3-351/27/A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7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18</xdr:col>
      <xdr:colOff>297403</xdr:colOff>
      <xdr:row>105</xdr:row>
      <xdr:rowOff>86516</xdr:rowOff>
    </xdr:from>
    <xdr:to>
      <xdr:col>20</xdr:col>
      <xdr:colOff>221734</xdr:colOff>
      <xdr:row>108</xdr:row>
      <xdr:rowOff>102577</xdr:rowOff>
    </xdr:to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8F026F2-9066-82EF-7CCE-7B48CC0D784D}"/>
            </a:ext>
          </a:extLst>
        </xdr:cNvPr>
        <xdr:cNvSpPr txBox="1"/>
      </xdr:nvSpPr>
      <xdr:spPr>
        <a:xfrm>
          <a:off x="6701134" y="16425554"/>
          <a:ext cx="686331" cy="5729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K3-351/27/B</a:t>
          </a:r>
          <a:endParaRPr lang="en-US" sz="7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7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15</xdr:col>
      <xdr:colOff>93389</xdr:colOff>
      <xdr:row>106</xdr:row>
      <xdr:rowOff>148205</xdr:rowOff>
    </xdr:from>
    <xdr:to>
      <xdr:col>15</xdr:col>
      <xdr:colOff>358174</xdr:colOff>
      <xdr:row>107</xdr:row>
      <xdr:rowOff>116563</xdr:rowOff>
    </xdr:to>
    <xdr:cxnSp macro="">
      <xdr:nvCxnSpPr>
        <xdr:cNvPr id="241" name="Straight Connector 240">
          <a:extLst>
            <a:ext uri="{FF2B5EF4-FFF2-40B4-BE49-F238E27FC236}">
              <a16:creationId xmlns:a16="http://schemas.microsoft.com/office/drawing/2014/main" id="{26DF78E6-E920-0972-6FC7-46C29A7FA221}"/>
            </a:ext>
          </a:extLst>
        </xdr:cNvPr>
        <xdr:cNvCxnSpPr>
          <a:cxnSpLocks/>
          <a:stCxn id="318" idx="1"/>
          <a:endCxn id="192" idx="4"/>
        </xdr:cNvCxnSpPr>
      </xdr:nvCxnSpPr>
      <xdr:spPr>
        <a:xfrm flipH="1" flipV="1">
          <a:off x="5354120" y="16736359"/>
          <a:ext cx="264785" cy="12222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259514</xdr:colOff>
      <xdr:row>81</xdr:row>
      <xdr:rowOff>127738</xdr:rowOff>
    </xdr:from>
    <xdr:to>
      <xdr:col>13</xdr:col>
      <xdr:colOff>47561</xdr:colOff>
      <xdr:row>82</xdr:row>
      <xdr:rowOff>101603</xdr:rowOff>
    </xdr:to>
    <xdr:grpSp>
      <xdr:nvGrpSpPr>
        <xdr:cNvPr id="246" name="Group 245">
          <a:extLst>
            <a:ext uri="{FF2B5EF4-FFF2-40B4-BE49-F238E27FC236}">
              <a16:creationId xmlns:a16="http://schemas.microsoft.com/office/drawing/2014/main" id="{D7742995-7305-A88D-8598-30DEBAB87C8D}"/>
            </a:ext>
          </a:extLst>
        </xdr:cNvPr>
        <xdr:cNvGrpSpPr/>
      </xdr:nvGrpSpPr>
      <xdr:grpSpPr>
        <a:xfrm>
          <a:off x="4391137" y="12800936"/>
          <a:ext cx="171521" cy="128492"/>
          <a:chOff x="5887338" y="10752875"/>
          <a:chExt cx="169047" cy="126266"/>
        </a:xfrm>
      </xdr:grpSpPr>
      <xdr:sp macro="" textlink="">
        <xdr:nvSpPr>
          <xdr:cNvPr id="244" name="Isosceles Triangle 243">
            <a:extLst>
              <a:ext uri="{FF2B5EF4-FFF2-40B4-BE49-F238E27FC236}">
                <a16:creationId xmlns:a16="http://schemas.microsoft.com/office/drawing/2014/main" id="{23C773CD-43A0-439B-F590-24EBB6E95481}"/>
              </a:ext>
            </a:extLst>
          </xdr:cNvPr>
          <xdr:cNvSpPr/>
        </xdr:nvSpPr>
        <xdr:spPr>
          <a:xfrm>
            <a:off x="5887338" y="10753296"/>
            <a:ext cx="119742" cy="113379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45" name="Isosceles Triangle 244">
            <a:extLst>
              <a:ext uri="{FF2B5EF4-FFF2-40B4-BE49-F238E27FC236}">
                <a16:creationId xmlns:a16="http://schemas.microsoft.com/office/drawing/2014/main" id="{34A9CE24-E525-1C55-9401-47384EC7508D}"/>
              </a:ext>
            </a:extLst>
          </xdr:cNvPr>
          <xdr:cNvSpPr/>
        </xdr:nvSpPr>
        <xdr:spPr>
          <a:xfrm>
            <a:off x="5936643" y="10752875"/>
            <a:ext cx="119742" cy="112258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84" name="Isosceles Triangle 83">
            <a:extLst>
              <a:ext uri="{FF2B5EF4-FFF2-40B4-BE49-F238E27FC236}">
                <a16:creationId xmlns:a16="http://schemas.microsoft.com/office/drawing/2014/main" id="{02FCA9CE-4284-4DAB-B389-FED188E06680}"/>
              </a:ext>
            </a:extLst>
          </xdr:cNvPr>
          <xdr:cNvSpPr/>
        </xdr:nvSpPr>
        <xdr:spPr>
          <a:xfrm>
            <a:off x="5911571" y="10765762"/>
            <a:ext cx="119742" cy="113379"/>
          </a:xfrm>
          <a:prstGeom prst="triangle">
            <a:avLst/>
          </a:prstGeom>
          <a:solidFill>
            <a:srgbClr val="FF0000"/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12</xdr:col>
      <xdr:colOff>176562</xdr:colOff>
      <xdr:row>82</xdr:row>
      <xdr:rowOff>74340</xdr:rowOff>
    </xdr:from>
    <xdr:to>
      <xdr:col>13</xdr:col>
      <xdr:colOff>236964</xdr:colOff>
      <xdr:row>83</xdr:row>
      <xdr:rowOff>148682</xdr:rowOff>
    </xdr:to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631AEB53-FC36-F04E-8E3E-97084B218BCF}"/>
            </a:ext>
          </a:extLst>
        </xdr:cNvPr>
        <xdr:cNvSpPr txBox="1"/>
      </xdr:nvSpPr>
      <xdr:spPr>
        <a:xfrm>
          <a:off x="4297867" y="12833194"/>
          <a:ext cx="441402" cy="227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700"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12</xdr:col>
      <xdr:colOff>86242</xdr:colOff>
      <xdr:row>83</xdr:row>
      <xdr:rowOff>95838</xdr:rowOff>
    </xdr:from>
    <xdr:to>
      <xdr:col>12</xdr:col>
      <xdr:colOff>151220</xdr:colOff>
      <xdr:row>87</xdr:row>
      <xdr:rowOff>24701</xdr:rowOff>
    </xdr:to>
    <xdr:cxnSp macro="">
      <xdr:nvCxnSpPr>
        <xdr:cNvPr id="248" name="Straight Connector 247">
          <a:extLst>
            <a:ext uri="{FF2B5EF4-FFF2-40B4-BE49-F238E27FC236}">
              <a16:creationId xmlns:a16="http://schemas.microsoft.com/office/drawing/2014/main" id="{DB1A617E-E18C-EF70-1050-5CC64A4405E8}"/>
            </a:ext>
          </a:extLst>
        </xdr:cNvPr>
        <xdr:cNvCxnSpPr>
          <a:stCxn id="164" idx="3"/>
          <a:endCxn id="100" idx="0"/>
        </xdr:cNvCxnSpPr>
      </xdr:nvCxnSpPr>
      <xdr:spPr>
        <a:xfrm flipH="1">
          <a:off x="4199851" y="13091510"/>
          <a:ext cx="64978" cy="536082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346365</xdr:colOff>
      <xdr:row>13</xdr:row>
      <xdr:rowOff>86590</xdr:rowOff>
    </xdr:from>
    <xdr:to>
      <xdr:col>21</xdr:col>
      <xdr:colOff>675410</xdr:colOff>
      <xdr:row>60</xdr:row>
      <xdr:rowOff>88513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4D833-406D-4DEA-9D91-8EDE46327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1" y="2078181"/>
          <a:ext cx="9421091" cy="7327514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11</xdr:col>
      <xdr:colOff>173182</xdr:colOff>
      <xdr:row>32</xdr:row>
      <xdr:rowOff>121227</xdr:rowOff>
    </xdr:from>
    <xdr:to>
      <xdr:col>11</xdr:col>
      <xdr:colOff>181841</xdr:colOff>
      <xdr:row>36</xdr:row>
      <xdr:rowOff>17318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>
          <a:stCxn id="6" idx="2"/>
        </xdr:cNvCxnSpPr>
      </xdr:nvCxnSpPr>
      <xdr:spPr>
        <a:xfrm flipH="1">
          <a:off x="5524500" y="5074227"/>
          <a:ext cx="8659" cy="519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51955</xdr:colOff>
      <xdr:row>31</xdr:row>
      <xdr:rowOff>34637</xdr:rowOff>
    </xdr:from>
    <xdr:to>
      <xdr:col>11</xdr:col>
      <xdr:colOff>311727</xdr:colOff>
      <xdr:row>32</xdr:row>
      <xdr:rowOff>121227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5403273" y="4831773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1</xdr:col>
      <xdr:colOff>381000</xdr:colOff>
      <xdr:row>12</xdr:row>
      <xdr:rowOff>95250</xdr:rowOff>
    </xdr:from>
    <xdr:to>
      <xdr:col>22</xdr:col>
      <xdr:colOff>47626</xdr:colOff>
      <xdr:row>51</xdr:row>
      <xdr:rowOff>119063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75D5FA-50F9-0457-27B6-368DBE710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762" t="17132" r="46053" b="9711"/>
        <a:stretch/>
      </xdr:blipFill>
      <xdr:spPr>
        <a:xfrm>
          <a:off x="500063" y="2238375"/>
          <a:ext cx="12263438" cy="65246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/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/>
      <sheetData sheetId="241"/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Sudah Berjalan"/>
      <sheetName val="PMT"/>
      <sheetName val="W-NAD"/>
      <sheetName val="INPBA"/>
      <sheetName val="HARGA SATUAN"/>
      <sheetName val="SuMBER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2" t="s">
        <v>1133</v>
      </c>
      <c r="C4" s="522"/>
      <c r="D4" s="522"/>
      <c r="E4" s="522"/>
      <c r="F4" s="522"/>
      <c r="G4" s="522"/>
      <c r="H4" s="52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3" t="s">
        <v>0</v>
      </c>
      <c r="C7" s="523" t="s">
        <v>1</v>
      </c>
      <c r="D7" s="524" t="s">
        <v>42</v>
      </c>
      <c r="E7" s="524" t="s">
        <v>43</v>
      </c>
      <c r="F7" s="524" t="s">
        <v>1134</v>
      </c>
      <c r="G7" s="525" t="s">
        <v>41</v>
      </c>
      <c r="H7" s="521" t="s">
        <v>1041</v>
      </c>
      <c r="I7" s="521" t="s">
        <v>1136</v>
      </c>
      <c r="J7" s="521" t="s">
        <v>1025</v>
      </c>
      <c r="K7" s="515" t="s">
        <v>1023</v>
      </c>
      <c r="L7" s="516"/>
    </row>
    <row r="8" spans="1:12" ht="15" customHeight="1">
      <c r="B8" s="523"/>
      <c r="C8" s="523"/>
      <c r="D8" s="524"/>
      <c r="E8" s="524"/>
      <c r="F8" s="524"/>
      <c r="G8" s="525"/>
      <c r="H8" s="521"/>
      <c r="I8" s="521"/>
      <c r="J8" s="521"/>
      <c r="K8" s="517"/>
      <c r="L8" s="518"/>
    </row>
    <row r="9" spans="1:12" ht="15" customHeight="1">
      <c r="B9" s="523"/>
      <c r="C9" s="523"/>
      <c r="D9" s="524"/>
      <c r="E9" s="524"/>
      <c r="F9" s="524"/>
      <c r="G9" s="525"/>
      <c r="H9" s="521"/>
      <c r="I9" s="521"/>
      <c r="J9" s="521"/>
      <c r="K9" s="519"/>
      <c r="L9" s="52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2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7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6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 Polymer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34</v>
      </c>
      <c r="G17" s="41">
        <f ca="1">IF(ISERROR(OFFSET('HARGA SATUAN'!$I$6,MATCH(C17,'HARGA SATUAN'!$C$7:$C$1492,0),0)),"",OFFSET('HARGA SATUAN'!$I$6,MATCH(C17,'HARGA SATUAN'!$C$7:$C$1492,0),0))</f>
        <v>176900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Suspension Polymer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7</v>
      </c>
      <c r="G18" s="41">
        <f ca="1">IF(ISERROR(OFFSET('HARGA SATUAN'!$I$6,MATCH(C18,'HARGA SATUAN'!$C$7:$C$1492,0),0)),"",OFFSET('HARGA SATUAN'!$I$6,MATCH(C18,'HARGA SATUAN'!$C$7:$C$1492,0),0))</f>
        <v>205700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1938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253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SUMIFS(RAB!$F$14:$F$229,RAB!$C$14:$C$229,C714)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SUMIFS(RAB!$F$14:$F$229,RAB!$C$14:$C$229,C715)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SUMIFS(RAB!$F$14:$F$229,RAB!$C$14:$C$229,C716)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SUMIFS(RAB!$F$14:$F$229,RAB!$C$14:$C$229,C717)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SUMIFS(RAB!$F$14:$F$229,RAB!$C$14:$C$229,C718)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SUMIFS(RAB!$F$14:$F$229,RAB!$C$14:$C$229,C719)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SUMIFS(RAB!$F$14:$F$229,RAB!$C$14:$C$229,C720)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SUMIFS(RAB!$F$14:$F$229,RAB!$C$14:$C$229,C721)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SUMIFS(RAB!$F$14:$F$229,RAB!$C$14:$C$229,C722)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SUMIFS(RAB!$F$14:$F$229,RAB!$C$14:$C$229,C723)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SUMIFS(RAB!$F$14:$F$229,RAB!$C$14:$C$229,C724)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SUMIFS(RAB!$F$14:$F$229,RAB!$C$14:$C$229,C725)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SUMIFS(RAB!$F$14:$F$229,RAB!$C$14:$C$229,C726)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SUMIFS(RAB!$F$14:$F$229,RAB!$C$14:$C$229,C727)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SUMIFS(RAB!$F$14:$F$229,RAB!$C$14:$C$229,C728)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SUMIFS(RAB!$F$14:$F$229,RAB!$C$14:$C$229,C729)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SUMIFS(RAB!$F$14:$F$229,RAB!$C$14:$C$229,C730)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SUMIFS(RAB!$F$14:$F$229,RAB!$C$14:$C$229,C731)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SUMIFS(RAB!$F$14:$F$229,RAB!$C$14:$C$229,C732)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SUMIFS(RAB!$F$14:$F$229,RAB!$C$14:$C$229,C733)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SUMIFS(RAB!$F$14:$F$229,RAB!$C$14:$C$229,C734)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SUMIFS(RAB!$F$14:$F$229,RAB!$C$14:$C$229,C735)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SUMIFS(RAB!$F$14:$F$229,RAB!$C$14:$C$229,C736)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SUMIFS(RAB!$F$14:$F$229,RAB!$C$14:$C$229,C737)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SUMIFS(RAB!$F$14:$F$229,RAB!$C$14:$C$229,C738)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SUMIFS(RAB!$F$14:$F$229,RAB!$C$14:$C$229,C739)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SUMIFS(RAB!$F$14:$F$229,RAB!$C$14:$C$229,C740)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SUMIFS(RAB!$F$14:$F$229,RAB!$C$14:$C$229,C741)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SUMIFS(RAB!$F$14:$F$229,RAB!$C$14:$C$229,C742)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SUMIFS(RAB!$F$14:$F$229,RAB!$C$14:$C$229,C743)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SUMIFS(RAB!$F$14:$F$229,RAB!$C$14:$C$229,C744)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SUMIFS(RAB!$F$14:$F$229,RAB!$C$14:$C$229,C745)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SUMIFS(RAB!$F$14:$F$229,RAB!$C$14:$C$229,C746)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SUMIFS(RAB!$F$14:$F$229,RAB!$C$14:$C$229,C747)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SUMIFS(RAB!$F$14:$F$229,RAB!$C$14:$C$229,C748)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SUMIFS(RAB!$F$14:$F$229,RAB!$C$14:$C$229,C749)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SUMIFS(RAB!$F$14:$F$229,RAB!$C$14:$C$229,C750)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SUMIFS(RAB!$F$14:$F$229,RAB!$C$14:$C$229,C751)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SUMIFS(RAB!$F$14:$F$229,RAB!$C$14:$C$229,C752)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SUMIFS(RAB!$F$14:$F$229,RAB!$C$14:$C$229,C753)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SUMIFS(RAB!$F$14:$F$229,RAB!$C$14:$C$229,C754)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SUMIFS(RAB!$F$14:$F$229,RAB!$C$14:$C$229,C755)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SUMIFS(RAB!$F$14:$F$229,RAB!$C$14:$C$229,C756)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SUMIFS(RAB!$F$14:$F$229,RAB!$C$14:$C$229,C757)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SUMIFS(RAB!$F$14:$F$229,RAB!$C$14:$C$229,C758)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SUMIFS(RAB!$F$14:$F$229,RAB!$C$14:$C$229,C759)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SUMIFS(RAB!$F$14:$F$229,RAB!$C$14:$C$229,C760)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SUMIFS(RAB!$F$14:$F$229,RAB!$C$14:$C$229,C761)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SUMIFS(RAB!$F$14:$F$229,RAB!$C$14:$C$229,C762)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SUMIFS(RAB!$F$14:$F$229,RAB!$C$14:$C$229,C763)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SUMIFS(RAB!$F$14:$F$229,RAB!$C$14:$C$229,C764)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SUMIFS(RAB!$F$14:$F$229,RAB!$C$14:$C$229,C765)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SUMIFS(RAB!$F$14:$F$229,RAB!$C$14:$C$229,C766)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SUMIFS(RAB!$F$14:$F$229,RAB!$C$14:$C$229,C767)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SUMIFS(RAB!$F$14:$F$229,RAB!$C$14:$C$229,C768)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SUMIFS(RAB!$F$14:$F$229,RAB!$C$14:$C$229,C769)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SUMIFS(RAB!$F$14:$F$229,RAB!$C$14:$C$229,C770)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SUMIFS(RAB!$F$14:$F$229,RAB!$C$14:$C$229,C771)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SUMIFS(RAB!$F$14:$F$229,RAB!$C$14:$C$229,C772)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SUMIFS(RAB!$F$14:$F$229,RAB!$C$14:$C$229,C773)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SUMIFS(RAB!$F$14:$F$229,RAB!$C$14:$C$229,C774)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SUMIFS(RAB!$F$14:$F$229,RAB!$C$14:$C$229,C775)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SUMIFS(RAB!$F$14:$F$229,RAB!$C$14:$C$229,C776)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SUMIFS(RAB!$F$14:$F$229,RAB!$C$14:$C$229,C777)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SUMIFS(RAB!$F$14:$F$229,RAB!$C$14:$C$229,C778)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SUMIFS(RAB!$F$14:$F$229,RAB!$C$14:$C$229,C779)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SUMIFS(RAB!$F$14:$F$229,RAB!$C$14:$C$229,C780)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SUMIFS(RAB!$F$14:$F$229,RAB!$C$14:$C$229,C781)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SUMIFS(RAB!$F$14:$F$229,RAB!$C$14:$C$229,C782)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SUMIFS(RAB!$F$14:$F$229,RAB!$C$14:$C$229,C783)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SUMIFS(RAB!$F$14:$F$229,RAB!$C$14:$C$229,C784)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SUMIFS(RAB!$F$14:$F$229,RAB!$C$14:$C$229,C785)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SUMIFS(RAB!$F$14:$F$229,RAB!$C$14:$C$229,C786)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SUMIFS(RAB!$F$14:$F$229,RAB!$C$14:$C$229,C787)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SUMIFS(RAB!$F$14:$F$229,RAB!$C$14:$C$229,C788)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SUMIFS(RAB!$F$14:$F$229,RAB!$C$14:$C$229,C789)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SUMIFS(RAB!$F$14:$F$229,RAB!$C$14:$C$229,C790)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SUMIFS(RAB!$F$14:$F$229,RAB!$C$14:$C$229,C791)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SUMIFS(RAB!$F$14:$F$229,RAB!$C$14:$C$229,C792)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SUMIFS(RAB!$F$14:$F$229,RAB!$C$14:$C$229,C793)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SUMIFS(RAB!$F$14:$F$229,RAB!$C$14:$C$229,C794)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SUMIFS(RAB!$F$14:$F$229,RAB!$C$14:$C$229,C795)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SUMIFS(RAB!$F$14:$F$229,RAB!$C$14:$C$229,C796)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SUMIFS(RAB!$F$14:$F$229,RAB!$C$14:$C$229,C797)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SUMIFS(RAB!$F$14:$F$229,RAB!$C$14:$C$229,C798)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SUMIFS(RAB!$F$14:$F$229,RAB!$C$14:$C$229,C799)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SUMIFS(RAB!$F$14:$F$229,RAB!$C$14:$C$229,C800)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SUMIFS(RAB!$F$14:$F$229,RAB!$C$14:$C$229,C801)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SUMIFS(RAB!$F$14:$F$229,RAB!$C$14:$C$229,C802)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SUMIFS(RAB!$F$14:$F$229,RAB!$C$14:$C$229,C803)</f>
        <v>2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SUMIFS(RAB!$F$14:$F$229,RAB!$C$14:$C$229,C804)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SUMIFS(RAB!$F$14:$F$229,RAB!$C$14:$C$229,C805)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SUMIFS(RAB!$F$14:$F$229,RAB!$C$14:$C$229,C806)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SUMIFS(RAB!$F$14:$F$229,RAB!$C$14:$C$229,C807)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SUMIFS(RAB!$F$14:$F$229,RAB!$C$14:$C$229,C808)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SUMIFS(RAB!$F$14:$F$229,RAB!$C$14:$C$229,C809)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SUMIFS(RAB!$F$14:$F$229,RAB!$C$14:$C$229,C810)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SUMIFS(RAB!$F$14:$F$229,RAB!$C$14:$C$229,C811)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SUMIFS(RAB!$F$14:$F$229,RAB!$C$14:$C$229,C812)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SUMIFS(RAB!$F$14:$F$229,RAB!$C$14:$C$229,C813)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SUMIFS(RAB!$F$14:$F$229,RAB!$C$14:$C$229,C814)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SUMIFS(RAB!$F$14:$F$229,RAB!$C$14:$C$229,C815)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SUMIFS(RAB!$F$14:$F$229,RAB!$C$14:$C$229,C816)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SUMIFS(RAB!$F$14:$F$229,RAB!$C$14:$C$229,C817)</f>
        <v>7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SUMIFS(RAB!$F$14:$F$229,RAB!$C$14:$C$229,C818)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SUMIFS(RAB!$F$14:$F$229,RAB!$C$14:$C$229,C819)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SUMIFS(RAB!$F$14:$F$229,RAB!$C$14:$C$229,C820)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SUMIFS(RAB!$F$14:$F$229,RAB!$C$14:$C$229,C821)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SUMIFS(RAB!$F$14:$F$229,RAB!$C$14:$C$229,C822)</f>
        <v>6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SUMIFS(RAB!$F$14:$F$229,RAB!$C$14:$C$229,C823)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SUMIFS(RAB!$F$14:$F$229,RAB!$C$14:$C$229,C824)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SUMIFS(RAB!$F$14:$F$229,RAB!$C$14:$C$229,C825)</f>
        <v>34</v>
      </c>
      <c r="E825" s="26">
        <f t="shared" ca="1" si="34"/>
        <v>1</v>
      </c>
      <c r="F825" s="26">
        <f ca="1">IF(D825=0,0,SUM($E$713:E825))</f>
        <v>6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SUMIFS(RAB!$F$14:$F$229,RAB!$C$14:$C$229,C826)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SUMIFS(RAB!$F$14:$F$229,RAB!$C$14:$C$229,C827)</f>
        <v>7</v>
      </c>
      <c r="E827" s="26">
        <f t="shared" ca="1" si="34"/>
        <v>1</v>
      </c>
      <c r="F827" s="26">
        <f ca="1">IF(D827=0,0,SUM($E$713:E827))</f>
        <v>7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SUMIFS(RAB!$F$14:$F$229,RAB!$C$14:$C$229,C828)</f>
        <v>1938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SUMIFS(RAB!$F$14:$F$229,RAB!$C$14:$C$229,C829)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SUMIFS(RAB!$F$14:$F$229,RAB!$C$14:$C$229,C830)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SUMIFS(RAB!$F$14:$F$229,RAB!$C$14:$C$229,C831)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SUMIFS(RAB!$F$14:$F$229,RAB!$C$14:$C$229,C832)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SUMIFS(RAB!$F$14:$F$229,RAB!$C$14:$C$229,C833)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SUMIFS(RAB!$F$14:$F$229,RAB!$C$14:$C$229,C834)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SUMIFS(RAB!$F$14:$F$229,RAB!$C$14:$C$229,C835)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SUMIFS(RAB!$F$14:$F$229,RAB!$C$14:$C$229,C836)</f>
        <v>253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SUMIFS(RAB!$F$14:$F$229,RAB!$C$14:$C$229,C837)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SUMIFS(RAB!$F$14:$F$229,RAB!$C$14:$C$229,C838)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SUMIFS(RAB!$F$14:$F$229,RAB!$C$14:$C$229,C839)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SUMIFS(RAB!$F$14:$F$229,RAB!$C$14:$C$229,C840)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SUMIFS(RAB!$F$14:$F$229,RAB!$C$14:$C$229,C841)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SUMIFS(RAB!$F$14:$F$229,RAB!$C$14:$C$229,C842)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SUMIFS(RAB!$F$14:$F$229,RAB!$C$14:$C$229,C843)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SUMIFS(RAB!$F$14:$F$229,RAB!$C$14:$C$229,C844)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SUMIFS(RAB!$F$14:$F$229,RAB!$C$14:$C$229,C845)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SUMIFS(RAB!$F$14:$F$229,RAB!$C$14:$C$229,C846)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SUMIFS(RAB!$F$14:$F$229,RAB!$C$14:$C$229,C847)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SUMIFS(RAB!$F$14:$F$229,RAB!$C$14:$C$229,C848)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SUMIFS(RAB!$F$14:$F$229,RAB!$C$14:$C$229,C849)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SUMIFS(RAB!$F$14:$F$229,RAB!$C$14:$C$229,C850)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SUMIFS(RAB!$F$14:$F$229,RAB!$C$14:$C$229,C851)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SUMIFS(RAB!$F$14:$F$229,RAB!$C$14:$C$229,C852)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SUMIFS(RAB!$F$14:$F$229,RAB!$C$14:$C$229,C853)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SUMIFS(RAB!$F$14:$F$229,RAB!$C$14:$C$229,C854)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SUMIFS(RAB!$F$14:$F$229,RAB!$C$14:$C$229,C855)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SUMIFS(RAB!$F$14:$F$229,RAB!$C$14:$C$229,C856)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SUMIFS(RAB!$F$14:$F$229,RAB!$C$14:$C$229,C857)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SUMIFS(RAB!$F$14:$F$229,RAB!$C$14:$C$229,C858)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SUMIFS(RAB!$F$14:$F$229,RAB!$C$14:$C$229,C859)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SUMIFS(RAB!$F$14:$F$229,RAB!$C$14:$C$229,C860)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SUMIFS(RAB!$F$14:$F$229,RAB!$C$14:$C$229,C861)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SUMIFS(RAB!$F$14:$F$229,RAB!$C$14:$C$229,C862)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SUMIFS(RAB!$F$14:$F$229,RAB!$C$14:$C$229,C863)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SUMIFS(RAB!$F$14:$F$229,RAB!$C$14:$C$229,C864)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SUMIFS(RAB!$F$14:$F$229,RAB!$C$14:$C$229,C865)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SUMIFS(RAB!$F$14:$F$229,RAB!$C$14:$C$229,C866)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SUMIFS(RAB!$F$14:$F$229,RAB!$C$14:$C$229,C867)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SUMIFS(RAB!$F$14:$F$229,RAB!$C$14:$C$229,C868)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SUMIFS(RAB!$F$14:$F$229,RAB!$C$14:$C$229,C869)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SUMIFS(RAB!$F$14:$F$229,RAB!$C$14:$C$229,C870)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SUMIFS(RAB!$F$14:$F$229,RAB!$C$14:$C$229,C871)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SUMIFS(RAB!$F$14:$F$229,RAB!$C$14:$C$229,C872)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SUMIFS(RAB!$F$14:$F$229,RAB!$C$14:$C$229,C873)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SUMIFS(RAB!$F$14:$F$229,RAB!$C$14:$C$229,C874)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SUMIFS(RAB!$F$14:$F$229,RAB!$C$14:$C$229,C875)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SUMIFS(RAB!$F$14:$F$229,RAB!$C$14:$C$229,C876)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SUMIFS(RAB!$F$14:$F$229,RAB!$C$14:$C$229,C877)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SUMIFS(RAB!$F$14:$F$229,RAB!$C$14:$C$229,C878)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SUMIFS(RAB!$F$14:$F$229,RAB!$C$14:$C$229,C879)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SUMIFS(RAB!$F$14:$F$229,RAB!$C$14:$C$229,C880)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SUMIFS(RAB!$F$14:$F$229,RAB!$C$14:$C$229,C881)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SUMIFS(RAB!$F$14:$F$229,RAB!$C$14:$C$229,C882)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SUMIFS(RAB!$F$14:$F$229,RAB!$C$14:$C$229,C883)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SUMIFS(RAB!$F$14:$F$229,RAB!$C$14:$C$229,C884)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SUMIFS(RAB!$F$14:$F$229,RAB!$C$14:$C$229,C885)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SUMIFS(RAB!$F$14:$F$229,RAB!$C$14:$C$229,C886)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SUMIFS(RAB!$F$14:$F$229,RAB!$C$14:$C$229,C887)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SUMIFS(RAB!$F$14:$F$229,RAB!$C$14:$C$229,C888)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SUMIFS(RAB!$F$14:$F$229,RAB!$C$14:$C$229,C889)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SUMIFS(RAB!$F$14:$F$229,RAB!$C$14:$C$229,C890)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SUMIFS(RAB!$F$14:$F$229,RAB!$C$14:$C$229,C891)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SUMIFS(RAB!$F$14:$F$229,RAB!$C$14:$C$229,C892)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SUMIFS(RAB!$F$14:$F$229,RAB!$C$14:$C$229,C893)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SUMIFS(RAB!$F$14:$F$229,RAB!$C$14:$C$229,C894)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SUMIFS(RAB!$F$14:$F$229,RAB!$C$14:$C$229,C895)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SUMIFS(RAB!$F$14:$F$229,RAB!$C$14:$C$229,C896)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SUMIFS(RAB!$F$14:$F$229,RAB!$C$14:$C$229,C897)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SUMIFS(RAB!$F$14:$F$229,RAB!$C$14:$C$229,C898)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SUMIFS(RAB!$F$14:$F$229,RAB!$C$14:$C$229,C899)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SUMIFS(RAB!$F$14:$F$229,RAB!$C$14:$C$229,C900)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SUMIFS(RAB!$F$14:$F$229,RAB!$C$14:$C$229,C901)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SUMIFS(RAB!$F$14:$F$229,RAB!$C$14:$C$229,C902)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SUMIFS(RAB!$F$14:$F$229,RAB!$C$14:$C$229,C903)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SUMIFS(RAB!$F$14:$F$229,RAB!$C$14:$C$229,C904)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SUMIFS(RAB!$F$14:$F$229,RAB!$C$14:$C$229,C905)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SUMIFS(RAB!$F$14:$F$229,RAB!$C$14:$C$229,C906)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SUMIFS(RAB!$F$14:$F$229,RAB!$C$14:$C$229,C907)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SUMIFS(RAB!$F$14:$F$229,RAB!$C$14:$C$229,C908)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SUMIFS(RAB!$F$14:$F$229,RAB!$C$14:$C$229,C909)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SUMIFS(RAB!$F$14:$F$229,RAB!$C$14:$C$229,C910)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SUMIFS(RAB!$F$14:$F$229,RAB!$C$14:$C$229,C911)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SUMIFS(RAB!$F$14:$F$229,RAB!$C$14:$C$229,C912)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SUMIFS(RAB!$F$14:$F$229,RAB!$C$14:$C$229,C913)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SUMIFS(RAB!$F$14:$F$229,RAB!$C$14:$C$229,C914)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SUMIFS(RAB!$F$14:$F$229,RAB!$C$14:$C$229,C915)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SUMIFS(RAB!$F$14:$F$229,RAB!$C$14:$C$229,C916)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SUMIFS(RAB!$F$14:$F$229,RAB!$C$14:$C$229,C917)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SUMIFS(RAB!$F$14:$F$229,RAB!$C$14:$C$229,C918)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SUMIFS(RAB!$F$14:$F$229,RAB!$C$14:$C$229,C919)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SUMIFS(RAB!$F$14:$F$229,RAB!$C$14:$C$229,C920)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SUMIFS(RAB!$F$14:$F$229,RAB!$C$14:$C$229,C921)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SUMIFS(RAB!$F$14:$F$229,RAB!$C$14:$C$229,C922)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SUMIFS(RAB!$F$14:$F$229,RAB!$C$14:$C$229,C923)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SUMIFS(RAB!$F$14:$F$229,RAB!$C$14:$C$229,C924)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SUMIFS(RAB!$F$14:$F$229,RAB!$C$14:$C$229,C925)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SUMIFS(RAB!$F$14:$F$229,RAB!$C$14:$C$229,C926)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SUMIFS(RAB!$F$14:$F$229,RAB!$C$14:$C$229,C927)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SUMIFS(RAB!$F$14:$F$229,RAB!$C$14:$C$229,C928)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SUMIFS(RAB!$F$14:$F$229,RAB!$C$14:$C$229,C929)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SUMIFS(RAB!$F$14:$F$229,RAB!$C$14:$C$229,C930)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SUMIFS(RAB!$F$14:$F$229,RAB!$C$14:$C$229,C931)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SUMIFS(RAB!$F$14:$F$229,RAB!$C$14:$C$229,C932)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SUMIFS(RAB!$F$14:$F$229,RAB!$C$14:$C$229,C933)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SUMIFS(RAB!$F$14:$F$229,RAB!$C$14:$C$229,C934)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SUMIFS(RAB!$F$14:$F$229,RAB!$C$14:$C$229,C935)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SUMIFS(RAB!$F$14:$F$229,RAB!$C$14:$C$229,C936)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SUMIFS(RAB!$F$14:$F$229,RAB!$C$14:$C$229,C937)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SUMIFS(RAB!$F$14:$F$229,RAB!$C$14:$C$229,C938)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SUMIFS(RAB!$F$14:$F$229,RAB!$C$14:$C$229,C939)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SUMIFS(RAB!$F$14:$F$229,RAB!$C$14:$C$229,C940)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SUMIFS(RAB!$F$14:$F$229,RAB!$C$14:$C$229,C941)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SUMIFS(RAB!$F$14:$F$229,RAB!$C$14:$C$229,C942)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SUMIFS(RAB!$F$14:$F$229,RAB!$C$14:$C$229,C943)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SUMIFS(RAB!$F$14:$F$229,RAB!$C$14:$C$229,C944)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SUMIFS(RAB!$F$14:$F$229,RAB!$C$14:$C$229,C945)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SUMIFS(RAB!$F$14:$F$229,RAB!$C$14:$C$229,C946)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SUMIFS(RAB!$F$14:$F$229,RAB!$C$14:$C$229,C947)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SUMIFS(RAB!$F$14:$F$229,RAB!$C$14:$C$229,C948)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SUMIFS(RAB!$F$14:$F$229,RAB!$C$14:$C$229,C949)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SUMIFS(RAB!$F$14:$F$229,RAB!$C$14:$C$229,C950)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SUMIFS(RAB!$F$14:$F$229,RAB!$C$14:$C$229,C951)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SUMIFS(RAB!$F$14:$F$229,RAB!$C$14:$C$229,C952)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SUMIFS(RAB!$F$14:$F$229,RAB!$C$14:$C$229,C953)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SUMIFS(RAB!$F$14:$F$229,RAB!$C$14:$C$229,C954)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SUMIFS(RAB!$F$14:$F$229,RAB!$C$14:$C$229,C955)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SUMIFS(RAB!$F$14:$F$229,RAB!$C$14:$C$229,C956)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SUMIFS(RAB!$F$14:$F$229,RAB!$C$14:$C$229,C957)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SUMIFS(RAB!$F$14:$F$229,RAB!$C$14:$C$229,C958)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SUMIFS(RAB!$F$14:$F$229,RAB!$C$14:$C$229,C959)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SUMIFS(RAB!$F$14:$F$229,RAB!$C$14:$C$229,C960)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SUMIFS(RAB!$F$14:$F$229,RAB!$C$14:$C$229,C961)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SUMIFS(RAB!$F$14:$F$229,RAB!$C$14:$C$229,C962)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SUMIFS(RAB!$F$14:$F$229,RAB!$C$14:$C$229,C963)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SUMIFS(RAB!$F$14:$F$229,RAB!$C$14:$C$229,C964)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SUMIFS(RAB!$F$14:$F$229,RAB!$C$14:$C$229,C965)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SUMIFS(RAB!$F$14:$F$229,RAB!$C$14:$C$229,C966)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SUMIFS(RAB!$F$14:$F$229,RAB!$C$14:$C$229,C967)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SUMIFS(RAB!$F$14:$F$229,RAB!$C$14:$C$229,C968)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SUMIFS(RAB!$F$14:$F$229,RAB!$C$14:$C$229,C969)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SUMIFS(RAB!$F$14:$F$229,RAB!$C$14:$C$229,C970)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SUMIFS(RAB!$F$14:$F$229,RAB!$C$14:$C$229,C971)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SUMIFS(RAB!$F$14:$F$229,RAB!$C$14:$C$229,C972)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SUMIFS(RAB!$F$14:$F$229,RAB!$C$14:$C$229,C973)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SUMIFS(RAB!$F$14:$F$229,RAB!$C$14:$C$229,C974)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SUMIFS(RAB!$F$14:$F$229,RAB!$C$14:$C$229,C975)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SUMIFS(RAB!$F$14:$F$229,RAB!$C$14:$C$229,C976)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SUMIFS(RAB!$F$14:$F$229,RAB!$C$14:$C$229,C977)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SUMIFS(RAB!$F$14:$F$229,RAB!$C$14:$C$229,C978)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SUMIFS(RAB!$F$14:$F$229,RAB!$C$14:$C$229,C979)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SUMIFS(RAB!$F$14:$F$229,RAB!$C$14:$C$229,C980)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SUMIFS(RAB!$F$14:$F$229,RAB!$C$14:$C$229,C981)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SUMIFS(RAB!$F$14:$F$229,RAB!$C$14:$C$229,C982)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SUMIFS(RAB!$F$14:$F$229,RAB!$C$14:$C$229,C983)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SUMIFS(RAB!$F$14:$F$229,RAB!$C$14:$C$229,C984)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SUMIFS(RAB!$F$14:$F$229,RAB!$C$14:$C$229,C985)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SUMIFS(RAB!$F$14:$F$229,RAB!$C$14:$C$229,C986)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SUMIFS(RAB!$F$14:$F$229,RAB!$C$14:$C$229,C987)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SUMIFS(RAB!$F$14:$F$229,RAB!$C$14:$C$229,C988)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SUMIFS(RAB!$F$14:$F$229,RAB!$C$14:$C$229,C989)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SUMIFS(RAB!$F$14:$F$229,RAB!$C$14:$C$229,C990)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SUMIFS(RAB!$F$14:$F$229,RAB!$C$14:$C$229,C991)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SUMIFS(RAB!$F$14:$F$229,RAB!$C$14:$C$229,C992)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SUMIFS(RAB!$F$14:$F$229,RAB!$C$14:$C$229,C993)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SUMIFS(RAB!$F$14:$F$229,RAB!$C$14:$C$229,C994)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SUMIFS(RAB!$F$14:$F$229,RAB!$C$14:$C$229,C995)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SUMIFS(RAB!$F$14:$F$229,RAB!$C$14:$C$229,C996)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SUMIFS(RAB!$F$14:$F$229,RAB!$C$14:$C$229,C997)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SUMIFS(RAB!$F$14:$F$229,RAB!$C$14:$C$229,C998)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SUMIFS(RAB!$F$14:$F$229,RAB!$C$14:$C$229,C999)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SUMIFS(RAB!$F$14:$F$229,RAB!$C$14:$C$229,C1000)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SUMIFS(RAB!$F$14:$F$229,RAB!$C$14:$C$229,C1001)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SUMIFS(RAB!$F$14:$F$229,RAB!$C$14:$C$229,C1002)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SUMIFS(RAB!$F$14:$F$229,RAB!$C$14:$C$229,C1003)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SUMIFS(RAB!$F$14:$F$229,RAB!$C$14:$C$229,C1004)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SUMIFS(RAB!$F$14:$F$229,RAB!$C$14:$C$229,C1005)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SUMIFS(RAB!$F$14:$F$229,RAB!$C$14:$C$229,C1006)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SUMIFS(RAB!$F$14:$F$229,RAB!$C$14:$C$229,C1007)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SUMIFS(RAB!$F$14:$F$229,RAB!$C$14:$C$229,C1008)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SUMIFS(RAB!$F$14:$F$229,RAB!$C$14:$C$229,C1009)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SUMIFS(RAB!$F$14:$F$229,RAB!$C$14:$C$229,C1010)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SUMIFS(RAB!$F$14:$F$229,RAB!$C$14:$C$229,C1011)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SUMIFS(RAB!$F$14:$F$229,RAB!$C$14:$C$229,C1012)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SUMIFS(RAB!$F$14:$F$229,RAB!$C$14:$C$229,C1013)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SUMIFS(RAB!$F$14:$F$229,RAB!$C$14:$C$229,C1014)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SUMIFS(RAB!$F$14:$F$229,RAB!$C$14:$C$229,C1015)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SUMIFS(RAB!$F$14:$F$229,RAB!$C$14:$C$229,C1016)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SUMIFS(RAB!$F$14:$F$229,RAB!$C$14:$C$229,C1017)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SUMIFS(RAB!$F$14:$F$229,RAB!$C$14:$C$229,C1018)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SUMIFS(RAB!$F$14:$F$229,RAB!$C$14:$C$229,C1019)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SUMIFS(RAB!$F$14:$F$229,RAB!$C$14:$C$229,C1020)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SUMIFS(RAB!$F$14:$F$229,RAB!$C$14:$C$229,C1021)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SUMIFS(RAB!$F$14:$F$229,RAB!$C$14:$C$229,C1022)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SUMIFS(RAB!$F$14:$F$229,RAB!$C$14:$C$229,C1023)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SUMIFS(RAB!$F$14:$F$229,RAB!$C$14:$C$229,C1024)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SUMIFS(RAB!$F$14:$F$229,RAB!$C$14:$C$229,C1025)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SUMIFS(RAB!$F$14:$F$229,RAB!$C$14:$C$229,C1026)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SUMIFS(RAB!$F$14:$F$229,RAB!$C$14:$C$229,C1027)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SUMIFS(RAB!$F$14:$F$229,RAB!$C$14:$C$229,C1028)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SUMIFS(RAB!$F$14:$F$229,RAB!$C$14:$C$229,C1029)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SUMIFS(RAB!$F$14:$F$229,RAB!$C$14:$C$229,C1030)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SUMIFS(RAB!$F$14:$F$229,RAB!$C$14:$C$229,C1031)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SUMIFS(RAB!$F$14:$F$229,RAB!$C$14:$C$229,C1032)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SUMIFS(RAB!$F$14:$F$229,RAB!$C$14:$C$229,C1033)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SUMIFS(RAB!$F$14:$F$229,RAB!$C$14:$C$229,C1034)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SUMIFS(RAB!$F$14:$F$229,RAB!$C$14:$C$229,C1035)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SUMIFS(RAB!$F$14:$F$229,RAB!$C$14:$C$229,C1036)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SUMIFS(RAB!$F$14:$F$229,RAB!$C$14:$C$229,C1037)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SUMIFS(RAB!$F$14:$F$229,RAB!$C$14:$C$229,C1038)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SUMIFS(RAB!$F$14:$F$229,RAB!$C$14:$C$229,C1039)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SUMIFS(RAB!$F$14:$F$229,RAB!$C$14:$C$229,C1040)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SUMIFS(RAB!$F$14:$F$229,RAB!$C$14:$C$229,C1041)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SUMIFS(RAB!$F$14:$F$229,RAB!$C$14:$C$229,C1042)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SUMIFS(RAB!$F$14:$F$229,RAB!$C$14:$C$229,C1043)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SUMIFS(RAB!$F$14:$F$229,RAB!$C$14:$C$229,C1044)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SUMIFS(RAB!$F$14:$F$229,RAB!$C$14:$C$229,C1045)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SUMIFS(RAB!$F$14:$F$229,RAB!$C$14:$C$229,C1046)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SUMIFS(RAB!$F$14:$F$229,RAB!$C$14:$C$229,C1047)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SUMIFS(RAB!$F$14:$F$229,RAB!$C$14:$C$229,C1048)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SUMIFS(RAB!$F$14:$F$229,RAB!$C$14:$C$229,C1049)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SUMIFS(RAB!$F$14:$F$229,RAB!$C$14:$C$229,C1050)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SUMIFS(RAB!$F$14:$F$229,RAB!$C$14:$C$229,C1051)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SUMIFS(RAB!$F$14:$F$229,RAB!$C$14:$C$229,C1052)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SUMIFS(RAB!$F$14:$F$229,RAB!$C$14:$C$229,C1053)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SUMIFS(RAB!$F$14:$F$229,RAB!$C$14:$C$229,C1054)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SUMIFS(RAB!$F$14:$F$229,RAB!$C$14:$C$229,C1055)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SUMIFS(RAB!$F$14:$F$229,RAB!$C$14:$C$229,C1056)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SUMIFS(RAB!$F$14:$F$229,RAB!$C$14:$C$229,C1057)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SUMIFS(RAB!$F$14:$F$229,RAB!$C$14:$C$229,C1058)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SUMIFS(RAB!$F$14:$F$229,RAB!$C$14:$C$229,C1059)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SUMIFS(RAB!$F$14:$F$229,RAB!$C$14:$C$229,C1060)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SUMIFS(RAB!$F$14:$F$229,RAB!$C$14:$C$229,C1061)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SUMIFS(RAB!$F$14:$F$229,RAB!$C$14:$C$229,C1062)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SUMIFS(RAB!$F$14:$F$229,RAB!$C$14:$C$229,C1063)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SUMIFS(RAB!$F$14:$F$229,RAB!$C$14:$C$229,C1064)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SUMIFS(RAB!$F$14:$F$229,RAB!$C$14:$C$229,C1065)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SUMIFS(RAB!$F$14:$F$229,RAB!$C$14:$C$229,C1066)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SUMIFS(RAB!$F$14:$F$229,RAB!$C$14:$C$229,C1067)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SUMIFS(RAB!$F$14:$F$229,RAB!$C$14:$C$229,C1068)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SUMIFS(RAB!$F$14:$F$229,RAB!$C$14:$C$229,C1069)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SUMIFS(RAB!$F$14:$F$229,RAB!$C$14:$C$229,C1070)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SUMIFS(RAB!$F$14:$F$229,RAB!$C$14:$C$229,C1071)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SUMIFS(RAB!$F$14:$F$229,RAB!$C$14:$C$229,C1072)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SUMIFS(RAB!$F$14:$F$229,RAB!$C$14:$C$229,C1073)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SUMIFS(RAB!$F$14:$F$229,RAB!$C$14:$C$229,C1074)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SUMIFS(RAB!$F$14:$F$229,RAB!$C$14:$C$229,C1075)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SUMIFS(RAB!$F$14:$F$229,RAB!$C$14:$C$229,C1076)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SUMIFS(RAB!$F$14:$F$229,RAB!$C$14:$C$229,C1077)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SUMIFS(RAB!$F$14:$F$229,RAB!$C$14:$C$229,C1078)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SUMIFS(RAB!$F$14:$F$229,RAB!$C$14:$C$229,C1079)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SUMIFS(RAB!$F$14:$F$229,RAB!$C$14:$C$229,C1080)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SUMIFS(RAB!$F$14:$F$229,RAB!$C$14:$C$229,C1081)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SUMIFS(RAB!$F$14:$F$229,RAB!$C$14:$C$229,C1082)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SUMIFS(RAB!$F$14:$F$229,RAB!$C$14:$C$229,C1083)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SUMIFS(RAB!$F$14:$F$229,RAB!$C$14:$C$229,C1084)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SUMIFS(RAB!$F$14:$F$229,RAB!$C$14:$C$229,C1085)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SUMIFS(RAB!$F$14:$F$229,RAB!$C$14:$C$229,C1086)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SUMIFS(RAB!$F$14:$F$229,RAB!$C$14:$C$229,C1087)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SUMIFS(RAB!$F$14:$F$229,RAB!$C$14:$C$229,C1088)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SUMIFS(RAB!$F$14:$F$229,RAB!$C$14:$C$229,C1089)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SUMIFS(RAB!$F$14:$F$229,RAB!$C$14:$C$229,C1090)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SUMIFS(RAB!$F$14:$F$229,RAB!$C$14:$C$229,C1091)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SUMIFS(RAB!$F$14:$F$229,RAB!$C$14:$C$229,C1092)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SUMIFS(RAB!$F$14:$F$229,RAB!$C$14:$C$229,C1093)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SUMIFS(RAB!$F$14:$F$229,RAB!$C$14:$C$229,C1094)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SUMIFS(RAB!$F$14:$F$229,RAB!$C$14:$C$229,C1095)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SUMIFS(RAB!$F$14:$F$229,RAB!$C$14:$C$229,C1096)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SUMIFS(RAB!$F$14:$F$229,RAB!$C$14:$C$229,C1097)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SUMIFS(RAB!$F$14:$F$229,RAB!$C$14:$C$229,C1098)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SUMIFS(RAB!$F$14:$F$229,RAB!$C$14:$C$229,C1099)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SUMIFS(RAB!$F$14:$F$229,RAB!$C$14:$C$229,C1100)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SUMIFS(RAB!$F$14:$F$229,RAB!$C$14:$C$229,C1101)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SUMIFS(RAB!$F$14:$F$229,RAB!$C$14:$C$229,C1102)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SUMIFS(RAB!$F$14:$F$229,RAB!$C$14:$C$229,C1103)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SUMIFS(RAB!$F$14:$F$229,RAB!$C$14:$C$229,C1104)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SUMIFS(RAB!$F$14:$F$229,RAB!$C$14:$C$229,C1105)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SUMIFS(RAB!$F$14:$F$229,RAB!$C$14:$C$229,C1106)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SUMIFS(RAB!$F$14:$F$229,RAB!$C$14:$C$229,C1107)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SUMIFS(RAB!$F$14:$F$229,RAB!$C$14:$C$229,C1108)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SUMIFS(RAB!$F$14:$F$229,RAB!$C$14:$C$229,C1109)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SUMIFS(RAB!$F$14:$F$229,RAB!$C$14:$C$229,C1110)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SUMIFS(RAB!$F$14:$F$229,RAB!$C$14:$C$229,C1111)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SUMIFS(RAB!$F$14:$F$229,RAB!$C$14:$C$229,C1112)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SUMIFS(RAB!$F$14:$F$229,RAB!$C$14:$C$229,C1113)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SUMIFS(RAB!$F$14:$F$229,RAB!$C$14:$C$229,C1114)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SUMIFS(RAB!$F$14:$F$229,RAB!$C$14:$C$229,C1115)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SUMIFS(RAB!$F$14:$F$229,RAB!$C$14:$C$229,C1116)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SUMIFS(RAB!$F$14:$F$229,RAB!$C$14:$C$229,C1117)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SUMIFS(RAB!$F$14:$F$229,RAB!$C$14:$C$229,C1118)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SUMIFS(RAB!$F$14:$F$229,RAB!$C$14:$C$229,C1119)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SUMIFS(RAB!$F$14:$F$229,RAB!$C$14:$C$229,C1120)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SUMIFS(RAB!$F$14:$F$229,RAB!$C$14:$C$229,C1121)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SUMIFS(RAB!$F$14:$F$229,RAB!$C$14:$C$229,C1122)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SUMIFS(RAB!$F$14:$F$229,RAB!$C$14:$C$229,C1123)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SUMIFS(RAB!$F$14:$F$229,RAB!$C$14:$C$229,C1124)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SUMIFS(RAB!$F$14:$F$229,RAB!$C$14:$C$229,C1125)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SUMIFS(RAB!$F$14:$F$229,RAB!$C$14:$C$229,C1126)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SUMIFS(RAB!$F$14:$F$229,RAB!$C$14:$C$229,C1127)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SUMIFS(RAB!$F$14:$F$229,RAB!$C$14:$C$229,C1128)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SUMIFS(RAB!$F$14:$F$229,RAB!$C$14:$C$229,C1129)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SUMIFS(RAB!$F$14:$F$229,RAB!$C$14:$C$229,C1130)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SUMIFS(RAB!$F$14:$F$229,RAB!$C$14:$C$229,C1131)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SUMIFS(RAB!$F$14:$F$229,RAB!$C$14:$C$229,C1132)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SUMIFS(RAB!$F$14:$F$229,RAB!$C$14:$C$229,C1133)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SUMIFS(RAB!$F$14:$F$229,RAB!$C$14:$C$229,C1134)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SUMIFS(RAB!$F$14:$F$229,RAB!$C$14:$C$229,C1135)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SUMIFS(RAB!$F$14:$F$229,RAB!$C$14:$C$229,C1136)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SUMIFS(RAB!$F$14:$F$229,RAB!$C$14:$C$229,C1137)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SUMIFS(RAB!$F$14:$F$229,RAB!$C$14:$C$229,C1138)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SUMIFS(RAB!$F$14:$F$229,RAB!$C$14:$C$229,C1139)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SUMIFS(RAB!$F$14:$F$229,RAB!$C$14:$C$229,C1140)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SUMIFS(RAB!$F$14:$F$229,RAB!$C$14:$C$229,C1141)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SUMIFS(RAB!$F$14:$F$229,RAB!$C$14:$C$229,C1142)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SUMIFS(RAB!$F$14:$F$229,RAB!$C$14:$C$229,C1143)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SUMIFS(RAB!$F$14:$F$229,RAB!$C$14:$C$229,C1144)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SUMIFS(RAB!$F$14:$F$229,RAB!$C$14:$C$229,C1145)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SUMIFS(RAB!$F$14:$F$229,RAB!$C$14:$C$229,C1146)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SUMIFS(RAB!$F$14:$F$229,RAB!$C$14:$C$229,C1147)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SUMIFS(RAB!$F$14:$F$229,RAB!$C$14:$C$229,C1148)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SUMIFS(RAB!$F$14:$F$229,RAB!$C$14:$C$229,C1149)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SUMIFS(RAB!$F$14:$F$229,RAB!$C$14:$C$229,C1150)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SUMIFS(RAB!$F$14:$F$229,RAB!$C$14:$C$229,C1151)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SUMIFS(RAB!$F$14:$F$229,RAB!$C$14:$C$229,C1152)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SUMIFS(RAB!$F$14:$F$229,RAB!$C$14:$C$229,C1153)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SUMIFS(RAB!$F$14:$F$229,RAB!$C$14:$C$229,C1154)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SUMIFS(RAB!$F$14:$F$229,RAB!$C$14:$C$229,C1155)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SUMIFS(RAB!$F$14:$F$229,RAB!$C$14:$C$229,C1156)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SUMIFS(RAB!$F$14:$F$229,RAB!$C$14:$C$229,C1157)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SUMIFS(RAB!$F$14:$F$229,RAB!$C$14:$C$229,C1158)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SUMIFS(RAB!$F$14:$F$229,RAB!$C$14:$C$229,C1159)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SUMIFS(RAB!$F$14:$F$229,RAB!$C$14:$C$229,C1160)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SUMIFS(RAB!$F$14:$F$229,RAB!$C$14:$C$229,C1161)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SUMIFS(RAB!$F$14:$F$229,RAB!$C$14:$C$229,C1162)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SUMIFS(RAB!$F$14:$F$229,RAB!$C$14:$C$229,C1163)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SUMIFS(RAB!$F$14:$F$229,RAB!$C$14:$C$229,C1164)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SUMIFS(RAB!$F$14:$F$229,RAB!$C$14:$C$229,C1165)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SUMIFS(RAB!$F$14:$F$229,RAB!$C$14:$C$229,C1166)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SUMIFS(RAB!$F$14:$F$229,RAB!$C$14:$C$229,C1167)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SUMIFS(RAB!$F$14:$F$229,RAB!$C$14:$C$229,C1168)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SUMIFS(RAB!$F$14:$F$229,RAB!$C$14:$C$229,C1169)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SUMIFS(RAB!$F$14:$F$229,RAB!$C$14:$C$229,C1170)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SUMIFS(RAB!$F$14:$F$229,RAB!$C$14:$C$229,C1171)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SUMIFS(RAB!$F$14:$F$229,RAB!$C$14:$C$229,C1172)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SUMIFS(RAB!$F$14:$F$229,RAB!$C$14:$C$229,C1173)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SUMIFS(RAB!$F$14:$F$229,RAB!$C$14:$C$229,C1174)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SUMIFS(RAB!$F$14:$F$229,RAB!$C$14:$C$229,C1175)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SUMIFS(RAB!$F$14:$F$229,RAB!$C$14:$C$229,C1176)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SUMIFS(RAB!$F$14:$F$229,RAB!$C$14:$C$229,C1177)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SUMIFS(RAB!$F$14:$F$229,RAB!$C$14:$C$229,C1178)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SUMIFS(RAB!$F$14:$F$229,RAB!$C$14:$C$229,C1179)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SUMIFS(RAB!$F$14:$F$229,RAB!$C$14:$C$229,C1180)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SUMIFS(RAB!$F$14:$F$229,RAB!$C$14:$C$229,C1181)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SUMIFS(RAB!$F$14:$F$229,RAB!$C$14:$C$229,C1182)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SUMIFS(RAB!$F$14:$F$229,RAB!$C$14:$C$229,C1183)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SUMIFS(RAB!$F$14:$F$229,RAB!$C$14:$C$229,C1184)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SUMIFS(RAB!$F$14:$F$229,RAB!$C$14:$C$229,C1185)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SUMIFS(RAB!$F$14:$F$229,RAB!$C$14:$C$229,C1186)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SUMIFS(RAB!$F$14:$F$229,RAB!$C$14:$C$229,C1187)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SUMIFS(RAB!$F$14:$F$229,RAB!$C$14:$C$229,C1188)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SUMIFS(RAB!$F$14:$F$229,RAB!$C$14:$C$229,C1189)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SUMIFS(RAB!$F$14:$F$229,RAB!$C$14:$C$229,C1190)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SUMIFS(RAB!$F$14:$F$229,RAB!$C$14:$C$229,C1191)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SUMIFS(RAB!$F$14:$F$229,RAB!$C$14:$C$229,C1192)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SUMIFS(RAB!$F$14:$F$229,RAB!$C$14:$C$229,C1193)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SUMIFS(RAB!$F$14:$F$229,RAB!$C$14:$C$229,C1194)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SUMIFS(RAB!$F$14:$F$229,RAB!$C$14:$C$229,C1195)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SUMIFS(RAB!$F$14:$F$229,RAB!$C$14:$C$229,C1196)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SUMIFS(RAB!$F$14:$F$229,RAB!$C$14:$C$229,C1197)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SUMIFS(RAB!$F$14:$F$229,RAB!$C$14:$C$229,C1198)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SUMIFS(RAB!$F$14:$F$229,RAB!$C$14:$C$229,C1199)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SUMIFS(RAB!$F$14:$F$229,RAB!$C$14:$C$229,C1200)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SUMIFS(RAB!$F$14:$F$229,RAB!$C$14:$C$229,C1201)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SUMIFS(RAB!$F$14:$F$229,RAB!$C$14:$C$229,C1202)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SUMIFS(RAB!$F$14:$F$229,RAB!$C$14:$C$229,C1203)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SUMIFS(RAB!$F$14:$F$229,RAB!$C$14:$C$229,C1204)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SUMIFS(RAB!$F$14:$F$229,RAB!$C$14:$C$229,C1205)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SUMIFS(RAB!$F$14:$F$229,RAB!$C$14:$C$229,C1206)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SUMIFS(RAB!$F$14:$F$229,RAB!$C$14:$C$229,C1207)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SUMIFS(RAB!$F$14:$F$229,RAB!$C$14:$C$229,C1208)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SUMIFS(RAB!$F$14:$F$229,RAB!$C$14:$C$229,C1209)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SUMIFS(RAB!$F$14:$F$229,RAB!$C$14:$C$229,C1210)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SUMIFS(RAB!$F$14:$F$229,RAB!$C$14:$C$229,C1211)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SUMIFS(RAB!$F$14:$F$229,RAB!$C$14:$C$229,C1212)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SUMIFS(RAB!$F$14:$F$229,RAB!$C$14:$C$229,C1213)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SUMIFS(RAB!$F$14:$F$229,RAB!$C$14:$C$229,C1214)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SUMIFS(RAB!$F$14:$F$229,RAB!$C$14:$C$229,C1215)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SUMIFS(RAB!$F$14:$F$229,RAB!$C$14:$C$229,C1216)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SUMIFS(RAB!$F$14:$F$229,RAB!$C$14:$C$229,C1217)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SUMIFS(RAB!$F$14:$F$229,RAB!$C$14:$C$229,C1218)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SUMIFS(RAB!$F$14:$F$229,RAB!$C$14:$C$229,C1219)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SUMIFS(RAB!$F$14:$F$229,RAB!$C$14:$C$229,C1220)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SUMIFS(RAB!$F$14:$F$229,RAB!$C$14:$C$229,C1221)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SUMIFS(RAB!$F$14:$F$229,RAB!$C$14:$C$229,C1222)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SUMIFS(RAB!$F$14:$F$229,RAB!$C$14:$C$229,C1223)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SUMIFS(RAB!$F$14:$F$229,RAB!$C$14:$C$229,C1224)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SUMIFS(RAB!$F$14:$F$229,RAB!$C$14:$C$229,C1225)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SUMIFS(RAB!$F$14:$F$229,RAB!$C$14:$C$229,C1226)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SUMIFS(RAB!$F$14:$F$229,RAB!$C$14:$C$229,C1227)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SUMIFS(RAB!$F$14:$F$229,RAB!$C$14:$C$229,C1228)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SUMIFS(RAB!$F$14:$F$229,RAB!$C$14:$C$229,C1229)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SUMIFS(RAB!$F$14:$F$229,RAB!$C$14:$C$229,C1230)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SUMIFS(RAB!$F$14:$F$229,RAB!$C$14:$C$229,C1231)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SUMIFS(RAB!$F$14:$F$229,RAB!$C$14:$C$229,C1232)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SUMIFS(RAB!$F$14:$F$229,RAB!$C$14:$C$229,C1233)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SUMIFS(RAB!$F$14:$F$229,RAB!$C$14:$C$229,C1234)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SUMIFS(RAB!$F$14:$F$229,RAB!$C$14:$C$229,C1235)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SUMIFS(RAB!$F$14:$F$229,RAB!$C$14:$C$229,C1236)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SUMIFS(RAB!$F$14:$F$229,RAB!$C$14:$C$229,C1237)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SUMIFS(RAB!$F$14:$F$229,RAB!$C$14:$C$229,C1238)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SUMIFS(RAB!$F$14:$F$229,RAB!$C$14:$C$229,C1239)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SUMIFS(RAB!$F$14:$F$229,RAB!$C$14:$C$229,C1240)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SUMIFS(RAB!$F$14:$F$229,RAB!$C$14:$C$229,C1241)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SUMIFS(RAB!$F$14:$F$229,RAB!$C$14:$C$229,C1242)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SUMIFS(RAB!$F$14:$F$229,RAB!$C$14:$C$229,C1243)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SUMIFS(RAB!$F$14:$F$229,RAB!$C$14:$C$229,C1244)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SUMIFS(RAB!$F$14:$F$229,RAB!$C$14:$C$229,C1245)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SUMIFS(RAB!$F$14:$F$229,RAB!$C$14:$C$229,C1246)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SUMIFS(RAB!$F$14:$F$229,RAB!$C$14:$C$229,C1247)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SUMIFS(RAB!$F$14:$F$229,RAB!$C$14:$C$229,C1248)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SUMIFS(RAB!$F$14:$F$229,RAB!$C$14:$C$229,C1249)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SUMIFS(RAB!$F$14:$F$229,RAB!$C$14:$C$229,C1250)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SUMIFS(RAB!$F$14:$F$229,RAB!$C$14:$C$229,C1251)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SUMIFS(RAB!$F$14:$F$229,RAB!$C$14:$C$229,C1252)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SUMIFS(RAB!$F$14:$F$229,RAB!$C$14:$C$229,C1253)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SUMIFS(RAB!$F$14:$F$229,RAB!$C$14:$C$229,C1254)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SUMIFS(RAB!$F$14:$F$229,RAB!$C$14:$C$229,C1255)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SUMIFS(RAB!$F$14:$F$229,RAB!$C$14:$C$229,C1256)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SUMIFS(RAB!$F$14:$F$229,RAB!$C$14:$C$229,C1257)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SUMIFS(RAB!$F$14:$F$229,RAB!$C$14:$C$229,C1258)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SUMIFS(RAB!$F$14:$F$229,RAB!$C$14:$C$229,C1259)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SUMIFS(RAB!$F$14:$F$229,RAB!$C$14:$C$229,C1260)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SUMIFS(RAB!$F$14:$F$229,RAB!$C$14:$C$229,C1261)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SUMIFS(RAB!$F$14:$F$229,RAB!$C$14:$C$229,C1262)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SUMIFS(RAB!$F$14:$F$229,RAB!$C$14:$C$229,C1263)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SUMIFS(RAB!$F$14:$F$229,RAB!$C$14:$C$229,C1264)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SUMIFS(RAB!$F$14:$F$229,RAB!$C$14:$C$229,C1265)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SUMIFS(RAB!$F$14:$F$229,RAB!$C$14:$C$229,C1266)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SUMIFS(RAB!$F$14:$F$229,RAB!$C$14:$C$229,C1267)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SUMIFS(RAB!$F$14:$F$229,RAB!$C$14:$C$229,C1268)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SUMIFS(RAB!$F$14:$F$229,RAB!$C$14:$C$229,C1269)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SUMIFS(RAB!$F$14:$F$229,RAB!$C$14:$C$229,C1270)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SUMIFS(RAB!$F$14:$F$229,RAB!$C$14:$C$229,C1271)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SUMIFS(RAB!$F$14:$F$229,RAB!$C$14:$C$229,C1272)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SUMIFS(RAB!$F$14:$F$229,RAB!$C$14:$C$229,C1273)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SUMIFS(RAB!$F$14:$F$229,RAB!$C$14:$C$229,C1274)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SUMIFS(RAB!$F$14:$F$229,RAB!$C$14:$C$229,C1275)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SUMIFS(RAB!$F$14:$F$229,RAB!$C$14:$C$229,C1276)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SUMIFS(RAB!$F$14:$F$229,RAB!$C$14:$C$229,C1277)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SUMIFS(RAB!$F$14:$F$229,RAB!$C$14:$C$229,C1278)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SUMIFS(RAB!$F$14:$F$229,RAB!$C$14:$C$229,C1279)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SUMIFS(RAB!$F$14:$F$229,RAB!$C$14:$C$229,C1280)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SUMIFS(RAB!$F$14:$F$229,RAB!$C$14:$C$229,C1281)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SUMIFS(RAB!$F$14:$F$229,RAB!$C$14:$C$229,C1282)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SUMIFS(RAB!$F$14:$F$229,RAB!$C$14:$C$229,C1283)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SUMIFS(RAB!$F$14:$F$229,RAB!$C$14:$C$229,C1284)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SUMIFS(RAB!$F$14:$F$229,RAB!$C$14:$C$229,C1285)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SUMIFS(RAB!$F$14:$F$229,RAB!$C$14:$C$229,C1286)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SUMIFS(RAB!$F$14:$F$229,RAB!$C$14:$C$229,C1287)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SUMIFS(RAB!$F$14:$F$229,RAB!$C$14:$C$229,C1288)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SUMIFS(RAB!$F$14:$F$229,RAB!$C$14:$C$229,C1289)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SUMIFS(RAB!$F$14:$F$229,RAB!$C$14:$C$229,C1290)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SUMIFS(RAB!$F$14:$F$229,RAB!$C$14:$C$229,C1291)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SUMIFS(RAB!$F$14:$F$229,RAB!$C$14:$C$229,C1292)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SUMIFS(RAB!$F$14:$F$229,RAB!$C$14:$C$229,C1293)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SUMIFS(RAB!$F$14:$F$229,RAB!$C$14:$C$229,C1294)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SUMIFS(RAB!$F$14:$F$229,RAB!$C$14:$C$229,C1295)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SUMIFS(RAB!$F$14:$F$229,RAB!$C$14:$C$229,C1296)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SUMIFS(RAB!$F$14:$F$229,RAB!$C$14:$C$229,C1297)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SUMIFS(RAB!$F$14:$F$229,RAB!$C$14:$C$229,C1298)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SUMIFS(RAB!$F$14:$F$229,RAB!$C$14:$C$229,C1299)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SUMIFS(RAB!$F$14:$F$229,RAB!$C$14:$C$229,C1300)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SUMIFS(RAB!$F$14:$F$229,RAB!$C$14:$C$229,C1301)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SUMIFS(RAB!$F$14:$F$229,RAB!$C$14:$C$229,C1302)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SUMIFS(RAB!$F$14:$F$229,RAB!$C$14:$C$229,C1303)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SUMIFS(RAB!$F$14:$F$229,RAB!$C$14:$C$229,C1304)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SUMIFS(RAB!$F$14:$F$229,RAB!$C$14:$C$229,C1305)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SUMIFS(RAB!$F$14:$F$229,RAB!$C$14:$C$229,C1306)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SUMIFS(RAB!$F$14:$F$229,RAB!$C$14:$C$229,C1307)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SUMIFS(RAB!$F$14:$F$229,RAB!$C$14:$C$229,C1308)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SUMIFS(RAB!$F$14:$F$229,RAB!$C$14:$C$229,C1309)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SUMIFS(RAB!$F$14:$F$229,RAB!$C$14:$C$229,C1310)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SUMIFS(RAB!$F$14:$F$229,RAB!$C$14:$C$229,C1311)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SUMIFS(RAB!$F$14:$F$229,RAB!$C$14:$C$229,C1312)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SUMIFS(RAB!$F$14:$F$229,RAB!$C$14:$C$229,C1313)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SUMIFS(RAB!$F$14:$F$229,RAB!$C$14:$C$229,C1314)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SUMIFS(RAB!$F$14:$F$229,RAB!$C$14:$C$229,C1315)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SUMIFS(RAB!$F$14:$F$229,RAB!$C$14:$C$229,C1316)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SUMIFS(RAB!$F$14:$F$229,RAB!$C$14:$C$229,C1317)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SUMIFS(RAB!$F$14:$F$229,RAB!$C$14:$C$229,C1318)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SUMIFS(RAB!$F$14:$F$229,RAB!$C$14:$C$229,C1319)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SUMIFS(RAB!$F$14:$F$229,RAB!$C$14:$C$229,C1320)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7" priority="5" operator="equal">
      <formula>0</formula>
    </cfRule>
  </conditionalFormatting>
  <conditionalFormatting sqref="A10:L65536">
    <cfRule type="cellIs" dxfId="66" priority="1" operator="equal">
      <formula>0</formula>
    </cfRule>
  </conditionalFormatting>
  <conditionalFormatting sqref="C12:C711">
    <cfRule type="cellIs" dxfId="65" priority="66" stopIfTrue="1" operator="equal">
      <formula>0</formula>
    </cfRule>
  </conditionalFormatting>
  <conditionalFormatting sqref="E712:E65536">
    <cfRule type="cellIs" dxfId="64" priority="16" stopIfTrue="1" operator="equal">
      <formula>0</formula>
    </cfRule>
  </conditionalFormatting>
  <conditionalFormatting sqref="G1:G11 E6:E11 E1:E3 H7 H10:H11 F10:F711 G712:G65536">
    <cfRule type="cellIs" dxfId="63" priority="69" stopIfTrue="1" operator="equal">
      <formula>0</formula>
    </cfRule>
  </conditionalFormatting>
  <conditionalFormatting sqref="G12:H711">
    <cfRule type="cellIs" dxfId="62" priority="12" stopIfTrue="1" operator="equal">
      <formula>0</formula>
    </cfRule>
  </conditionalFormatting>
  <conditionalFormatting sqref="I7:K7">
    <cfRule type="cellIs" dxfId="61" priority="4" stopIfTrue="1" operator="equal">
      <formula>0</formula>
    </cfRule>
  </conditionalFormatting>
  <conditionalFormatting sqref="I10:L711">
    <cfRule type="cellIs" dxfId="60" priority="2" stopIfTrue="1" operator="equal">
      <formula>0</formula>
    </cfRule>
  </conditionalFormatting>
  <conditionalFormatting sqref="L1:L6">
    <cfRule type="cellIs" dxfId="59" priority="10" operator="equal">
      <formula>0</formula>
    </cfRule>
  </conditionalFormatting>
  <conditionalFormatting sqref="M1:IV1048576 A8:G9">
    <cfRule type="cellIs" dxfId="5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1126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5" t="str">
        <f>RAB!G6</f>
        <v>ES KRISTAL ABDUL MUIZ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DS KARANGREJO WONOSALAM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49" t="s">
        <v>41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46</v>
      </c>
      <c r="I12" s="540" t="s">
        <v>5</v>
      </c>
      <c r="J12" s="538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1127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5800000</v>
      </c>
      <c r="J17" s="42">
        <f t="shared" ca="1" si="3"/>
        <v>0</v>
      </c>
      <c r="K17" s="43">
        <f t="shared" ca="1" si="0"/>
        <v>5800000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6" t="s">
        <v>1007</v>
      </c>
      <c r="D38" s="536"/>
      <c r="E38" s="536"/>
      <c r="F38" s="536"/>
      <c r="G38" s="77" t="s">
        <v>9</v>
      </c>
      <c r="H38" s="55">
        <f ca="1">SUM(H14:H37)</f>
        <v>0</v>
      </c>
      <c r="I38" s="55">
        <f ca="1">SUM(I14:I37)</f>
        <v>15257000</v>
      </c>
      <c r="J38" s="55">
        <f ca="1">SUM(J14:J37)</f>
        <v>0</v>
      </c>
      <c r="K38" s="55">
        <f ca="1">SUM(K14:K37)</f>
        <v>15257000</v>
      </c>
      <c r="L38" s="44"/>
      <c r="R38" s="99"/>
      <c r="S38" s="99"/>
      <c r="T38" s="99"/>
    </row>
    <row r="39" spans="1:20" s="36" customFormat="1">
      <c r="A39" s="30"/>
      <c r="B39" s="56"/>
      <c r="C39" s="537" t="s">
        <v>462</v>
      </c>
      <c r="D39" s="537"/>
      <c r="E39" s="537"/>
      <c r="F39" s="537"/>
      <c r="G39" s="59" t="s">
        <v>9</v>
      </c>
      <c r="H39" s="60">
        <f ca="1">H38*0.1</f>
        <v>0</v>
      </c>
      <c r="I39" s="60">
        <f ca="1">I38*0.1</f>
        <v>1525700</v>
      </c>
      <c r="J39" s="60">
        <f ca="1">J38*0.1</f>
        <v>0</v>
      </c>
      <c r="K39" s="60">
        <f ca="1">K38*0.1</f>
        <v>1525700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6" t="s">
        <v>463</v>
      </c>
      <c r="D40" s="526"/>
      <c r="E40" s="526"/>
      <c r="F40" s="526"/>
      <c r="G40" s="61" t="s">
        <v>9</v>
      </c>
      <c r="H40" s="78">
        <f ca="1">SUM(H38:H39)</f>
        <v>0</v>
      </c>
      <c r="I40" s="78">
        <f ca="1">SUM(I38:I39)</f>
        <v>16782700</v>
      </c>
      <c r="J40" s="61">
        <f ca="1">SUM(J38:J39)</f>
        <v>0</v>
      </c>
      <c r="K40" s="61">
        <f ca="1">SUM(K38:K39)</f>
        <v>16782700</v>
      </c>
      <c r="L40" s="44"/>
      <c r="R40" s="99"/>
      <c r="S40" s="99"/>
      <c r="T40" s="99"/>
    </row>
    <row r="41" spans="1:20" s="36" customFormat="1">
      <c r="A41" s="30"/>
      <c r="B41" s="529" t="e">
        <f ca="1">"Terbilang : ( "&amp;L42&amp;" Rupiah )"</f>
        <v>#NAME?</v>
      </c>
      <c r="C41" s="530"/>
      <c r="D41" s="530"/>
      <c r="E41" s="530"/>
      <c r="F41" s="530"/>
      <c r="G41" s="530"/>
      <c r="H41" s="530"/>
      <c r="I41" s="530"/>
      <c r="J41" s="530"/>
      <c r="K41" s="531"/>
      <c r="L41" s="44"/>
      <c r="R41" s="58"/>
      <c r="S41" s="58"/>
      <c r="T41" s="58"/>
    </row>
    <row r="42" spans="1:20" s="36" customFormat="1">
      <c r="A42" s="30"/>
      <c r="B42" s="532"/>
      <c r="C42" s="533"/>
      <c r="D42" s="533"/>
      <c r="E42" s="533"/>
      <c r="F42" s="533"/>
      <c r="G42" s="533"/>
      <c r="H42" s="533"/>
      <c r="I42" s="533"/>
      <c r="J42" s="533"/>
      <c r="K42" s="534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7"/>
      <c r="I45" s="527"/>
      <c r="J45" s="528"/>
      <c r="K45" s="52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7"/>
      <c r="I46" s="527"/>
      <c r="J46" s="528"/>
      <c r="K46" s="52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7"/>
      <c r="I47" s="527"/>
      <c r="J47" s="528"/>
      <c r="K47" s="52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7"/>
      <c r="I52" s="527"/>
      <c r="J52" s="528"/>
      <c r="K52" s="52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SUMIFS(RAB!$F$14:$F$229,RAB!$C$14:$C$229,'REKAP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SUMIFS(RAB!$F$14:$F$229,RAB!$C$14:$C$229,'REKAP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SUMIFS(RAB!$F$14:$F$229,RAB!$C$14:$C$229,'REKAP TIANG'!C59)</f>
        <v>1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SUMIFS(RAB!$F$14:$F$229,RAB!$C$14:$C$229,'REKAP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SUMIFS(RAB!$F$14:$F$229,RAB!$C$14:$C$229,'REKAP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SUMIFS(RAB!$F$14:$F$229,RAB!$C$14:$C$229,'REKAP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SUMIFS(RAB!$F$14:$F$229,RAB!$C$14:$C$229,'REKAP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SUMIFS(RAB!$F$14:$F$229,RAB!$C$14:$C$229,'REKAP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SUMIFS(RAB!$F$14:$F$229,RAB!$C$14:$C$229,'REKAP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SUMIFS(RAB!$F$14:$F$229,RAB!$C$14:$C$229,'REKAP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SUMIFS(RAB!$F$14:$F$229,RAB!$C$14:$C$229,'REKAP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SUMIFS(RAB!$F$14:$F$229,RAB!$C$14:$C$229,'REKAP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SUMIFS(RAB!$F$14:$F$229,RAB!$C$14:$C$229,'REKAP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SUMIFS(RAB!$F$14:$F$229,RAB!$C$14:$C$229,'REKAP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SUMIFS(RAB!$F$14:$F$229,RAB!$C$14:$C$229,'REKAP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SUMIFS(RAB!$F$14:$F$229,RAB!$C$14:$C$229,'REKAP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SUMIFS(RAB!$F$14:$F$229,RAB!$C$14:$C$229,'REKAP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SUMIFS(RAB!$F$14:$F$229,RAB!$C$14:$C$229,'REKAP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SUMIFS(RAB!$F$14:$F$229,RAB!$C$14:$C$229,'REKAP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SUMIFS(RAB!$F$14:$F$229,RAB!$C$14:$C$229,'REKAP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2" t="s">
        <v>1033</v>
      </c>
      <c r="C4" s="542"/>
      <c r="D4" s="542"/>
      <c r="E4" s="542"/>
      <c r="F4" s="542"/>
      <c r="G4" s="542"/>
      <c r="H4" s="542"/>
      <c r="I4" s="542"/>
      <c r="J4" s="542"/>
      <c r="K4" s="542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35" t="str">
        <f>RAB!G6</f>
        <v>ES KRISTAL ABDUL MUIZ</v>
      </c>
      <c r="H6" s="535"/>
      <c r="I6" s="535"/>
      <c r="J6" s="535"/>
      <c r="K6" s="535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DS KARANGREJO WONOSALAM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3" t="s">
        <v>0</v>
      </c>
      <c r="C11" s="545" t="s">
        <v>1</v>
      </c>
      <c r="D11" s="548" t="s">
        <v>42</v>
      </c>
      <c r="E11" s="548" t="s">
        <v>43</v>
      </c>
      <c r="F11" s="548" t="s">
        <v>2</v>
      </c>
      <c r="G11" s="549" t="s">
        <v>41</v>
      </c>
      <c r="H11" s="548" t="s">
        <v>3</v>
      </c>
      <c r="I11" s="548"/>
      <c r="J11" s="548"/>
      <c r="K11" s="552"/>
      <c r="M11" s="33"/>
      <c r="N11" s="33"/>
      <c r="O11" s="33"/>
      <c r="P11" s="33"/>
      <c r="R11" s="34"/>
      <c r="S11" s="74"/>
      <c r="T11" s="74"/>
    </row>
    <row r="12" spans="1:21" ht="15" customHeight="1">
      <c r="B12" s="544"/>
      <c r="C12" s="546"/>
      <c r="D12" s="538"/>
      <c r="E12" s="538"/>
      <c r="F12" s="538"/>
      <c r="G12" s="550"/>
      <c r="H12" s="540" t="s">
        <v>46</v>
      </c>
      <c r="I12" s="540" t="s">
        <v>5</v>
      </c>
      <c r="J12" s="538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4"/>
      <c r="C13" s="547"/>
      <c r="D13" s="538"/>
      <c r="E13" s="538"/>
      <c r="F13" s="538"/>
      <c r="G13" s="551"/>
      <c r="H13" s="541"/>
      <c r="I13" s="541"/>
      <c r="J13" s="538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2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85514400</v>
      </c>
      <c r="I18" s="42">
        <f t="shared" ca="1" si="2"/>
        <v>0</v>
      </c>
      <c r="J18" s="42">
        <f t="shared" ca="1" si="3"/>
        <v>0</v>
      </c>
      <c r="K18" s="43">
        <f t="shared" ca="1" si="0"/>
        <v>85514400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7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5937750</v>
      </c>
      <c r="I19" s="42">
        <f t="shared" ca="1" si="2"/>
        <v>0</v>
      </c>
      <c r="J19" s="42">
        <f t="shared" ca="1" si="3"/>
        <v>0</v>
      </c>
      <c r="K19" s="43">
        <f t="shared" ca="1" si="0"/>
        <v>5937750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6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4355400</v>
      </c>
      <c r="I20" s="42">
        <f t="shared" ca="1" si="2"/>
        <v>0</v>
      </c>
      <c r="J20" s="42">
        <f t="shared" ca="1" si="3"/>
        <v>0</v>
      </c>
      <c r="K20" s="43">
        <f t="shared" ca="1" si="0"/>
        <v>4355400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 Polymer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34</v>
      </c>
      <c r="G21" s="41">
        <f ca="1">IF(ISERROR(OFFSET('HARGA SATUAN'!$I$6,MATCH(C21,'HARGA SATUAN'!$C$7:$C$1492,0),0)),"",OFFSET('HARGA SATUAN'!$I$6,MATCH(C21,'HARGA SATUAN'!$C$7:$C$1492,0),0))</f>
        <v>176900</v>
      </c>
      <c r="H21" s="42">
        <f t="shared" ca="1" si="1"/>
        <v>6014600</v>
      </c>
      <c r="I21" s="42">
        <f t="shared" ca="1" si="2"/>
        <v>0</v>
      </c>
      <c r="J21" s="42">
        <f t="shared" ca="1" si="3"/>
        <v>0</v>
      </c>
      <c r="K21" s="43">
        <f t="shared" ca="1" si="0"/>
        <v>6014600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Suspension Polymer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7</v>
      </c>
      <c r="G22" s="41">
        <f ca="1">IF(ISERROR(OFFSET('HARGA SATUAN'!$I$6,MATCH(C22,'HARGA SATUAN'!$C$7:$C$1492,0),0)),"",OFFSET('HARGA SATUAN'!$I$6,MATCH(C22,'HARGA SATUAN'!$C$7:$C$1492,0),0))</f>
        <v>205700</v>
      </c>
      <c r="H22" s="42">
        <f t="shared" ca="1" si="1"/>
        <v>1439900</v>
      </c>
      <c r="I22" s="42">
        <f t="shared" ca="1" si="2"/>
        <v>0</v>
      </c>
      <c r="J22" s="42">
        <f t="shared" ca="1" si="3"/>
        <v>0</v>
      </c>
      <c r="K22" s="43">
        <f t="shared" ca="1" si="0"/>
        <v>1439900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1938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27519600</v>
      </c>
      <c r="I23" s="42">
        <f t="shared" ca="1" si="2"/>
        <v>0</v>
      </c>
      <c r="J23" s="42">
        <f t="shared" ca="1" si="3"/>
        <v>0</v>
      </c>
      <c r="K23" s="43">
        <f t="shared" ca="1" si="0"/>
        <v>27519600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253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13788500</v>
      </c>
      <c r="I24" s="42">
        <f t="shared" ca="1" si="2"/>
        <v>0</v>
      </c>
      <c r="J24" s="42">
        <f t="shared" ca="1" si="3"/>
        <v>0</v>
      </c>
      <c r="K24" s="43">
        <f t="shared" ca="1" si="0"/>
        <v>13788500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6" t="s">
        <v>1007</v>
      </c>
      <c r="D168" s="536"/>
      <c r="E168" s="536"/>
      <c r="F168" s="536"/>
      <c r="G168" s="77" t="s">
        <v>9</v>
      </c>
      <c r="H168" s="55">
        <f ca="1">SUM(H14:H167)</f>
        <v>149562450</v>
      </c>
      <c r="I168" s="55">
        <f ca="1">SUM(I14:I167)</f>
        <v>0</v>
      </c>
      <c r="J168" s="55">
        <f ca="1">SUM(J14:J167)</f>
        <v>0</v>
      </c>
      <c r="K168" s="55">
        <f ca="1">SUM(K14:K167)</f>
        <v>149562450</v>
      </c>
      <c r="L168" s="44"/>
      <c r="R168" s="99"/>
      <c r="S168" s="99"/>
      <c r="T168" s="99"/>
    </row>
    <row r="169" spans="1:20" s="36" customFormat="1">
      <c r="A169" s="30"/>
      <c r="B169" s="56"/>
      <c r="C169" s="537" t="s">
        <v>462</v>
      </c>
      <c r="D169" s="537"/>
      <c r="E169" s="537"/>
      <c r="F169" s="537"/>
      <c r="G169" s="59" t="s">
        <v>9</v>
      </c>
      <c r="H169" s="60">
        <f ca="1">H168*0.1</f>
        <v>14956245</v>
      </c>
      <c r="I169" s="60">
        <f ca="1">I168*0.1</f>
        <v>0</v>
      </c>
      <c r="J169" s="60">
        <f ca="1">J168*0.1</f>
        <v>0</v>
      </c>
      <c r="K169" s="60">
        <f ca="1">K168*0.1</f>
        <v>14956245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6" t="s">
        <v>463</v>
      </c>
      <c r="D170" s="526"/>
      <c r="E170" s="526"/>
      <c r="F170" s="526"/>
      <c r="G170" s="61" t="s">
        <v>9</v>
      </c>
      <c r="H170" s="78">
        <f ca="1">SUM(H168:H169)</f>
        <v>164518695</v>
      </c>
      <c r="I170" s="78">
        <f ca="1">SUM(I168:I169)</f>
        <v>0</v>
      </c>
      <c r="J170" s="61">
        <f ca="1">SUM(J168:J169)</f>
        <v>0</v>
      </c>
      <c r="K170" s="61">
        <f ca="1">SUM(K168:K169)</f>
        <v>164518695</v>
      </c>
      <c r="L170" s="44"/>
      <c r="R170" s="99"/>
      <c r="S170" s="99"/>
      <c r="T170" s="99"/>
    </row>
    <row r="171" spans="1:20" s="36" customFormat="1">
      <c r="A171" s="30"/>
      <c r="B171" s="529" t="e">
        <f ca="1">"Terbilang : ( "&amp;L172&amp;" Rupiah )"</f>
        <v>#NAME?</v>
      </c>
      <c r="C171" s="530"/>
      <c r="D171" s="530"/>
      <c r="E171" s="530"/>
      <c r="F171" s="530"/>
      <c r="G171" s="530"/>
      <c r="H171" s="530"/>
      <c r="I171" s="530"/>
      <c r="J171" s="530"/>
      <c r="K171" s="531"/>
      <c r="L171" s="44"/>
      <c r="R171" s="58"/>
      <c r="S171" s="58"/>
      <c r="T171" s="58"/>
    </row>
    <row r="172" spans="1:20" s="36" customFormat="1">
      <c r="A172" s="30"/>
      <c r="B172" s="532"/>
      <c r="C172" s="533"/>
      <c r="D172" s="533"/>
      <c r="E172" s="533"/>
      <c r="F172" s="533"/>
      <c r="G172" s="533"/>
      <c r="H172" s="533"/>
      <c r="I172" s="533"/>
      <c r="J172" s="533"/>
      <c r="K172" s="534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7"/>
      <c r="I175" s="527"/>
      <c r="J175" s="528"/>
      <c r="K175" s="52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7"/>
      <c r="I176" s="527"/>
      <c r="J176" s="528"/>
      <c r="K176" s="52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7"/>
      <c r="I177" s="527"/>
      <c r="J177" s="528"/>
      <c r="K177" s="52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7"/>
      <c r="I182" s="527"/>
      <c r="J182" s="528"/>
      <c r="K182" s="52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SUMIFS(RAB!$F$14:$F$229,RAB!$C$14:$C$229,C224)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SUMIFS(RAB!$F$14:$F$229,RAB!$C$14:$C$229,C225)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SUMIFS(RAB!$F$14:$F$229,RAB!$C$14:$C$229,C226)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SUMIFS(RAB!$F$14:$F$229,RAB!$C$14:$C$229,C227)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SUMIFS(RAB!$F$14:$F$229,RAB!$C$14:$C$229,C228)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SUMIFS(RAB!$F$14:$F$229,RAB!$C$14:$C$229,C229)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SUMIFS(RAB!$F$14:$F$229,RAB!$C$14:$C$229,C230)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SUMIFS(RAB!$F$14:$F$229,RAB!$C$14:$C$229,C231)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SUMIFS(RAB!$F$14:$F$229,RAB!$C$14:$C$229,C232)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SUMIFS(RAB!$F$14:$F$229,RAB!$C$14:$C$229,C233)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SUMIFS(RAB!$F$14:$F$229,RAB!$C$14:$C$229,C234)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SUMIFS(RAB!$F$14:$F$229,RAB!$C$14:$C$229,C235)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SUMIFS(RAB!$F$14:$F$229,RAB!$C$14:$C$229,C236)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SUMIFS(RAB!$F$14:$F$229,RAB!$C$14:$C$229,C237)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SUMIFS(RAB!$F$14:$F$229,RAB!$C$14:$C$229,C238)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SUMIFS(RAB!$F$14:$F$229,RAB!$C$14:$C$229,C239)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SUMIFS(RAB!$F$14:$F$229,RAB!$C$14:$C$229,C240)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SUMIFS(RAB!$F$14:$F$229,RAB!$C$14:$C$229,C241)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SUMIFS(RAB!$F$14:$F$229,RAB!$C$14:$C$229,C242)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SUMIFS(RAB!$F$14:$F$229,RAB!$C$14:$C$229,C243)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SUMIFS(RAB!$F$14:$F$229,RAB!$C$14:$C$229,C244)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SUMIFS(RAB!$F$14:$F$229,RAB!$C$14:$C$229,C245)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SUMIFS(RAB!$F$14:$F$229,RAB!$C$14:$C$229,C246)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SUMIFS(RAB!$F$14:$F$229,RAB!$C$14:$C$229,C247)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SUMIFS(RAB!$F$14:$F$229,RAB!$C$14:$C$229,C248)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SUMIFS(RAB!$F$14:$F$229,RAB!$C$14:$C$229,C249)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SUMIFS(RAB!$F$14:$F$229,RAB!$C$14:$C$229,C250)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SUMIFS(RAB!$F$14:$F$229,RAB!$C$14:$C$229,C251)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SUMIFS(RAB!$F$14:$F$229,RAB!$C$14:$C$229,C252)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SUMIFS(RAB!$F$14:$F$229,RAB!$C$14:$C$229,C253)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SUMIFS(RAB!$F$14:$F$229,RAB!$C$14:$C$229,C254)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SUMIFS(RAB!$F$14:$F$229,RAB!$C$14:$C$229,C255)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SUMIFS(RAB!$F$14:$F$229,RAB!$C$14:$C$229,C256)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SUMIFS(RAB!$F$14:$F$229,RAB!$C$14:$C$229,C257)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SUMIFS(RAB!$F$14:$F$229,RAB!$C$14:$C$229,C258)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SUMIFS(RAB!$F$14:$F$229,RAB!$C$14:$C$229,C259)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SUMIFS(RAB!$F$14:$F$229,RAB!$C$14:$C$229,C260)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SUMIFS(RAB!$F$14:$F$229,RAB!$C$14:$C$229,C261)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SUMIFS(RAB!$F$14:$F$229,RAB!$C$14:$C$229,C262)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SUMIFS(RAB!$F$14:$F$229,RAB!$C$14:$C$229,C263)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SUMIFS(RAB!$F$14:$F$229,RAB!$C$14:$C$229,C264)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SUMIFS(RAB!$F$14:$F$229,RAB!$C$14:$C$229,C265)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SUMIFS(RAB!$F$14:$F$229,RAB!$C$14:$C$229,C266)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SUMIFS(RAB!$F$14:$F$229,RAB!$C$14:$C$229,C267)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SUMIFS(RAB!$F$14:$F$229,RAB!$C$14:$C$229,C268)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SUMIFS(RAB!$F$14:$F$229,RAB!$C$14:$C$229,C269)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SUMIFS(RAB!$F$14:$F$229,RAB!$C$14:$C$229,C270)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SUMIFS(RAB!$F$14:$F$229,RAB!$C$14:$C$229,C271)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SUMIFS(RAB!$F$14:$F$229,RAB!$C$14:$C$229,C272)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SUMIFS(RAB!$F$14:$F$229,RAB!$C$14:$C$229,C273)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SUMIFS(RAB!$F$14:$F$229,RAB!$C$14:$C$229,C274)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SUMIFS(RAB!$F$14:$F$229,RAB!$C$14:$C$229,C275)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SUMIFS(RAB!$F$14:$F$229,RAB!$C$14:$C$229,C276)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SUMIFS(RAB!$F$14:$F$229,RAB!$C$14:$C$229,C277)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SUMIFS(RAB!$F$14:$F$229,RAB!$C$14:$C$229,C278)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SUMIFS(RAB!$F$14:$F$229,RAB!$C$14:$C$229,C279)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SUMIFS(RAB!$F$14:$F$229,RAB!$C$14:$C$229,C280)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SUMIFS(RAB!$F$14:$F$229,RAB!$C$14:$C$229,C281)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SUMIFS(RAB!$F$14:$F$229,RAB!$C$14:$C$229,C282)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SUMIFS(RAB!$F$14:$F$229,RAB!$C$14:$C$229,C283)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SUMIFS(RAB!$F$14:$F$229,RAB!$C$14:$C$229,C284)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SUMIFS(RAB!$F$14:$F$229,RAB!$C$14:$C$229,C285)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SUMIFS(RAB!$F$14:$F$229,RAB!$C$14:$C$229,C286)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SUMIFS(RAB!$F$14:$F$229,RAB!$C$14:$C$229,C287)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SUMIFS(RAB!$F$14:$F$229,RAB!$C$14:$C$229,C288)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SUMIFS(RAB!$F$14:$F$229,RAB!$C$14:$C$229,C289)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SUMIFS(RAB!$F$14:$F$229,RAB!$C$14:$C$229,C290)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SUMIFS(RAB!$F$14:$F$229,RAB!$C$14:$C$229,C291)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SUMIFS(RAB!$F$14:$F$229,RAB!$C$14:$C$229,C292)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SUMIFS(RAB!$F$14:$F$229,RAB!$C$14:$C$229,C293)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SUMIFS(RAB!$F$14:$F$229,RAB!$C$14:$C$229,C294)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SUMIFS(RAB!$F$14:$F$229,RAB!$C$14:$C$229,C295)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SUMIFS(RAB!$F$14:$F$229,RAB!$C$14:$C$229,C296)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SUMIFS(RAB!$F$14:$F$229,RAB!$C$14:$C$229,C297)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SUMIFS(RAB!$F$14:$F$229,RAB!$C$14:$C$229,C298)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SUMIFS(RAB!$F$14:$F$229,RAB!$C$14:$C$229,C299)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SUMIFS(RAB!$F$14:$F$229,RAB!$C$14:$C$229,C300)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SUMIFS(RAB!$F$14:$F$229,RAB!$C$14:$C$229,C301)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SUMIFS(RAB!$F$14:$F$229,RAB!$C$14:$C$229,C302)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SUMIFS(RAB!$F$14:$F$229,RAB!$C$14:$C$229,C303)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SUMIFS(RAB!$F$14:$F$229,RAB!$C$14:$C$229,C304)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SUMIFS(RAB!$F$14:$F$229,RAB!$C$14:$C$229,C305)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SUMIFS(RAB!$F$14:$F$229,RAB!$C$14:$C$229,C306)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SUMIFS(RAB!$F$14:$F$229,RAB!$C$14:$C$229,C307)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SUMIFS(RAB!$F$14:$F$229,RAB!$C$14:$C$229,C308)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SUMIFS(RAB!$F$14:$F$229,RAB!$C$14:$C$229,C309)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SUMIFS(RAB!$F$14:$F$229,RAB!$C$14:$C$229,C310)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SUMIFS(RAB!$F$14:$F$229,RAB!$C$14:$C$229,C311)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SUMIFS(RAB!$F$14:$F$229,RAB!$C$14:$C$229,C312)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SUMIFS(RAB!$F$14:$F$229,RAB!$C$14:$C$229,C313)</f>
        <v>2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SUMIFS(RAB!$F$14:$F$229,RAB!$C$14:$C$229,C314)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SUMIFS(RAB!$F$14:$F$229,RAB!$C$14:$C$229,C315)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SUMIFS(RAB!$F$14:$F$229,RAB!$C$14:$C$229,C316)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SUMIFS(RAB!$F$14:$F$229,RAB!$C$14:$C$229,C317)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SUMIFS(RAB!$F$14:$F$229,RAB!$C$14:$C$229,C318)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SUMIFS(RAB!$F$14:$F$229,RAB!$C$14:$C$229,C319)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SUMIFS(RAB!$F$14:$F$229,RAB!$C$14:$C$229,C320)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SUMIFS(RAB!$F$14:$F$229,RAB!$C$14:$C$229,C321)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SUMIFS(RAB!$F$14:$F$229,RAB!$C$14:$C$229,C322)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SUMIFS(RAB!$F$14:$F$229,RAB!$C$14:$C$229,C323)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SUMIFS(RAB!$F$14:$F$229,RAB!$C$14:$C$229,C324)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SUMIFS(RAB!$F$14:$F$229,RAB!$C$14:$C$229,C325)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SUMIFS(RAB!$F$14:$F$229,RAB!$C$14:$C$229,C326)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SUMIFS(RAB!$F$14:$F$229,RAB!$C$14:$C$229,C327)</f>
        <v>7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SUMIFS(RAB!$F$14:$F$229,RAB!$C$14:$C$229,C328)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SUMIFS(RAB!$F$14:$F$229,RAB!$C$14:$C$229,C329)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SUMIFS(RAB!$F$14:$F$229,RAB!$C$14:$C$229,C330)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SUMIFS(RAB!$F$14:$F$229,RAB!$C$14:$C$229,C331)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SUMIFS(RAB!$F$14:$F$229,RAB!$C$14:$C$229,C332)</f>
        <v>6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SUMIFS(RAB!$F$14:$F$229,RAB!$C$14:$C$229,C333)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SUMIFS(RAB!$F$14:$F$229,RAB!$C$14:$C$229,C334)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SUMIFS(RAB!$F$14:$F$229,RAB!$C$14:$C$229,C335)</f>
        <v>34</v>
      </c>
      <c r="E335" s="24">
        <f t="shared" ca="1" si="22"/>
        <v>1</v>
      </c>
      <c r="F335" s="24">
        <f ca="1">IF(D335=0,0,SUM($E$223:E335))</f>
        <v>6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SUMIFS(RAB!$F$14:$F$229,RAB!$C$14:$C$229,C336)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SUMIFS(RAB!$F$14:$F$229,RAB!$C$14:$C$229,C337)</f>
        <v>7</v>
      </c>
      <c r="E337" s="24">
        <f t="shared" ca="1" si="22"/>
        <v>1</v>
      </c>
      <c r="F337" s="24">
        <f ca="1">IF(D337=0,0,SUM($E$223:E337))</f>
        <v>7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SUMIFS(RAB!$F$14:$F$229,RAB!$C$14:$C$229,C338)</f>
        <v>1938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SUMIFS(RAB!$F$14:$F$229,RAB!$C$14:$C$229,C339)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SUMIFS(RAB!$F$14:$F$229,RAB!$C$14:$C$229,C340)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SUMIFS(RAB!$F$14:$F$229,RAB!$C$14:$C$229,C341)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SUMIFS(RAB!$F$14:$F$229,RAB!$C$14:$C$229,C342)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SUMIFS(RAB!$F$14:$F$229,RAB!$C$14:$C$229,C343)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SUMIFS(RAB!$F$14:$F$229,RAB!$C$14:$C$229,C344)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SUMIFS(RAB!$F$14:$F$229,RAB!$C$14:$C$229,C345)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SUMIFS(RAB!$F$14:$F$229,RAB!$C$14:$C$229,C346)</f>
        <v>253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SUMIFS(RAB!$F$14:$F$229,RAB!$C$14:$C$229,C347)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SUMIFS(RAB!$F$14:$F$229,RAB!$C$14:$C$229,C348)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SUMIFS(RAB!$F$14:$F$229,RAB!$C$14:$C$229,C349)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SUMIFS(RAB!$F$14:$F$229,RAB!$C$14:$C$229,C350)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SUMIFS(RAB!$F$14:$F$229,RAB!$C$14:$C$229,C351)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SUMIFS(RAB!$F$14:$F$229,RAB!$C$14:$C$229,C352)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SUMIFS(RAB!$F$14:$F$229,RAB!$C$14:$C$229,C353)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SUMIFS(RAB!$F$14:$F$229,RAB!$C$14:$C$229,C354)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SUMIFS(RAB!$F$14:$F$229,RAB!$C$14:$C$229,C355)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SUMIFS(RAB!$F$14:$F$229,RAB!$C$14:$C$229,C356)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SUMIFS(RAB!$F$14:$F$229,RAB!$C$14:$C$229,C357)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SUMIFS(RAB!$F$14:$F$229,RAB!$C$14:$C$229,C358)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SUMIFS(RAB!$F$14:$F$229,RAB!$C$14:$C$229,C359)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SUMIFS(RAB!$F$14:$F$229,RAB!$C$14:$C$229,C360)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SUMIFS(RAB!$F$14:$F$229,RAB!$C$14:$C$229,C361)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SUMIFS(RAB!$F$14:$F$229,RAB!$C$14:$C$229,C362)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SUMIFS(RAB!$F$14:$F$229,RAB!$C$14:$C$229,C363)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SUMIFS(RAB!$F$14:$F$229,RAB!$C$14:$C$229,C364)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SUMIFS(RAB!$F$14:$F$229,RAB!$C$14:$C$229,C365)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SUMIFS(RAB!$F$14:$F$229,RAB!$C$14:$C$229,C366)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SUMIFS(RAB!$F$14:$F$229,RAB!$C$14:$C$229,C367)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SUMIFS(RAB!$F$14:$F$229,RAB!$C$14:$C$229,C368)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SUMIFS(RAB!$F$14:$F$229,RAB!$C$14:$C$229,C369)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SUMIFS(RAB!$F$14:$F$229,RAB!$C$14:$C$229,C370)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SUMIFS(RAB!$F$14:$F$229,RAB!$C$14:$C$229,C371)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SUMIFS(RAB!$F$14:$F$229,RAB!$C$14:$C$229,C372)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SUMIFS(RAB!$F$14:$F$229,RAB!$C$14:$C$229,C373)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5" priority="5" operator="equal">
      <formula>0</formula>
    </cfRule>
  </conditionalFormatting>
  <conditionalFormatting sqref="C16:C165">
    <cfRule type="cellIs" dxfId="54" priority="4" stopIfTrue="1" operator="equal">
      <formula>0</formula>
    </cfRule>
  </conditionalFormatting>
  <conditionalFormatting sqref="C16:E165">
    <cfRule type="cellIs" dxfId="53" priority="1" operator="equal">
      <formula>0</formula>
    </cfRule>
  </conditionalFormatting>
  <conditionalFormatting sqref="D224:F373">
    <cfRule type="cellIs" dxfId="52" priority="8" operator="equal">
      <formula>0</formula>
    </cfRule>
  </conditionalFormatting>
  <conditionalFormatting sqref="E1:E3 G1:G115 E6:E15 H12:I12 N13 F14:F15 H14:K115 E166:K166 G166:G223 E167:F167 H167:K167">
    <cfRule type="cellIs" dxfId="51" priority="43" stopIfTrue="1" operator="equal">
      <formula>0</formula>
    </cfRule>
  </conditionalFormatting>
  <conditionalFormatting sqref="E171:E65536">
    <cfRule type="cellIs" dxfId="50" priority="9" stopIfTrue="1" operator="equal">
      <formula>0</formula>
    </cfRule>
  </conditionalFormatting>
  <conditionalFormatting sqref="G224">
    <cfRule type="cellIs" dxfId="49" priority="10" operator="equal">
      <formula>0</formula>
    </cfRule>
  </conditionalFormatting>
  <conditionalFormatting sqref="G225:G65536">
    <cfRule type="cellIs" dxfId="48" priority="14" stopIfTrue="1" operator="equal">
      <formula>0</formula>
    </cfRule>
  </conditionalFormatting>
  <conditionalFormatting sqref="R14:T166 G116:K165">
    <cfRule type="cellIs" dxfId="4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81" activePane="bottomRight" state="frozen"/>
      <selection activeCell="D209" sqref="D209"/>
      <selection pane="topRight" activeCell="D209" sqref="D209"/>
      <selection pane="bottomLeft" activeCell="D209" sqref="D209"/>
      <selection pane="bottomRight" activeCell="C1091" sqref="C109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4" t="s">
        <v>41</v>
      </c>
      <c r="C2" s="554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5" t="s">
        <v>23</v>
      </c>
      <c r="C4" s="556" t="s">
        <v>1011</v>
      </c>
      <c r="D4" s="556" t="s">
        <v>42</v>
      </c>
      <c r="E4" s="555" t="s">
        <v>43</v>
      </c>
      <c r="F4" s="108" t="s">
        <v>1611</v>
      </c>
      <c r="G4" s="108" t="s">
        <v>1610</v>
      </c>
      <c r="H4" s="553" t="s">
        <v>1024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5"/>
      <c r="C5" s="556"/>
      <c r="D5" s="556"/>
      <c r="E5" s="555"/>
      <c r="F5" s="93"/>
      <c r="G5" s="93"/>
      <c r="H5" s="553"/>
      <c r="I5" s="193" t="s">
        <v>1610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1140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1139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1196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1197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1195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1141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1554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1555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1556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1557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1558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1559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1560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1561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1322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1323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1324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1325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1326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1327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1328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1329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1330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1331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1332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1333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1334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1335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1336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1337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1338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1339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1340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1341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1342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1343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1380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1381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1382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1383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1384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1385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1386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1387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1388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1389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1390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1391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1392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1393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1394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1395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1344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1345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1193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1194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1192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1396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1397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1398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1142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1143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1144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1145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1146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1147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1148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1149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1150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1151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1460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1562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1043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1044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1045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1563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1399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1400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1152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1564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1565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1046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1566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1128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1567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1568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1401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1402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1461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1462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1569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1570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1571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1572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1573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1574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1575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1576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1577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1578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1579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1580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1581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1582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1583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1584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1585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1586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1587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1588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1589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1590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1591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1592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1593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1594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1595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1596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1597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1598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1599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1600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1601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1602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1603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1604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1605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1463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1464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1155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1153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1154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1465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1466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1467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1468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1403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1156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1469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2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1047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1048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1049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1050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1051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1052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2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1470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1471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1472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1473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1474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1475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1476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1477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1478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1479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1480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1481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1482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1483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1484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1485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1486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1487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1488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1489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1490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1491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1492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1493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1494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1495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1496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1091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1092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1053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1054</v>
      </c>
      <c r="D599" s="279" t="s">
        <v>45</v>
      </c>
      <c r="E599" s="280" t="s">
        <v>1089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1055</v>
      </c>
      <c r="D600" s="279" t="s">
        <v>45</v>
      </c>
      <c r="E600" s="280" t="s">
        <v>1089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1157</v>
      </c>
      <c r="D601" s="279" t="s">
        <v>45</v>
      </c>
      <c r="E601" s="280" t="s">
        <v>1089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1158</v>
      </c>
      <c r="D602" s="279" t="s">
        <v>45</v>
      </c>
      <c r="E602" s="280" t="s">
        <v>1089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1159</v>
      </c>
      <c r="D603" s="279" t="s">
        <v>45</v>
      </c>
      <c r="E603" s="280" t="s">
        <v>1089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1056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1160</v>
      </c>
      <c r="D605" s="279" t="s">
        <v>45</v>
      </c>
      <c r="E605" s="280" t="s">
        <v>1089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1058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1065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1066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1067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1068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1069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1070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1071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1072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1073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1074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1075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1076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1077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1078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1079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1080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1163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1081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1082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1083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1084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1085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1086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1087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1088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1103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1189</v>
      </c>
      <c r="C635" s="109" t="s">
        <v>1346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1104</v>
      </c>
      <c r="D636" s="279" t="s">
        <v>47</v>
      </c>
      <c r="E636" s="280" t="s">
        <v>1120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1105</v>
      </c>
      <c r="D637" s="279" t="s">
        <v>47</v>
      </c>
      <c r="E637" s="280" t="s">
        <v>1121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1106</v>
      </c>
      <c r="D638" s="279" t="s">
        <v>47</v>
      </c>
      <c r="E638" s="280" t="s">
        <v>1122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1107</v>
      </c>
      <c r="D639" s="279" t="s">
        <v>47</v>
      </c>
      <c r="E639" s="280" t="s">
        <v>1122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1108</v>
      </c>
      <c r="D640" s="279" t="s">
        <v>45</v>
      </c>
      <c r="E640" s="280" t="s">
        <v>1122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1109</v>
      </c>
      <c r="D641" s="279" t="s">
        <v>45</v>
      </c>
      <c r="E641" s="280" t="s">
        <v>1122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1110</v>
      </c>
      <c r="D642" s="279" t="s">
        <v>45</v>
      </c>
      <c r="E642" s="280" t="s">
        <v>1122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1111</v>
      </c>
      <c r="D643" s="279" t="s">
        <v>45</v>
      </c>
      <c r="E643" s="280" t="s">
        <v>1122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1112</v>
      </c>
      <c r="D644" s="279" t="s">
        <v>45</v>
      </c>
      <c r="E644" s="280" t="s">
        <v>1123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1190</v>
      </c>
      <c r="C646" s="109" t="s">
        <v>1113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1114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1115</v>
      </c>
      <c r="D648" s="279" t="s">
        <v>47</v>
      </c>
      <c r="E648" s="280" t="s">
        <v>1122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1116</v>
      </c>
      <c r="D649" s="279" t="s">
        <v>47</v>
      </c>
      <c r="E649" s="280" t="s">
        <v>1122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1117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1118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1191</v>
      </c>
      <c r="C653" s="109" t="s">
        <v>1119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1057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1497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1498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1499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1500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1501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1502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1503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1504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1505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1506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1507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1508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1509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1510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1511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1512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1513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1514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1515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1516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1517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1518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1520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1519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1058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1059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1060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1061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1062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1063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1064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1161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1162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1164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1165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1167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1168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1169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1170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1171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1606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1124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1198</v>
      </c>
      <c r="D927" s="279" t="s">
        <v>47</v>
      </c>
      <c r="E927" s="280" t="s">
        <v>1101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1199</v>
      </c>
      <c r="D928" s="279" t="s">
        <v>47</v>
      </c>
      <c r="E928" s="280" t="s">
        <v>1101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1200</v>
      </c>
      <c r="D929" s="279" t="s">
        <v>47</v>
      </c>
      <c r="E929" s="280" t="s">
        <v>1101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1201</v>
      </c>
      <c r="D930" s="279" t="s">
        <v>47</v>
      </c>
      <c r="E930" s="280" t="s">
        <v>1101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1202</v>
      </c>
      <c r="D931" s="279" t="s">
        <v>47</v>
      </c>
      <c r="E931" s="280" t="s">
        <v>1101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1203</v>
      </c>
      <c r="D932" s="279" t="s">
        <v>47</v>
      </c>
      <c r="E932" s="280" t="s">
        <v>1101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1204</v>
      </c>
      <c r="D933" s="279" t="s">
        <v>47</v>
      </c>
      <c r="E933" s="280" t="s">
        <v>1101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1205</v>
      </c>
      <c r="D934" s="279" t="s">
        <v>47</v>
      </c>
      <c r="E934" s="280" t="s">
        <v>1101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1206</v>
      </c>
      <c r="D935" s="279" t="s">
        <v>47</v>
      </c>
      <c r="E935" s="280" t="s">
        <v>1101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1207</v>
      </c>
      <c r="D936" s="279" t="s">
        <v>47</v>
      </c>
      <c r="E936" s="280" t="s">
        <v>1101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1208</v>
      </c>
      <c r="D937" s="279" t="s">
        <v>47</v>
      </c>
      <c r="E937" s="280" t="s">
        <v>1101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1209</v>
      </c>
      <c r="D938" s="279" t="s">
        <v>47</v>
      </c>
      <c r="E938" s="280" t="s">
        <v>1101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1210</v>
      </c>
      <c r="D939" s="279" t="s">
        <v>47</v>
      </c>
      <c r="E939" s="280" t="s">
        <v>1101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1211</v>
      </c>
      <c r="D940" s="279" t="s">
        <v>47</v>
      </c>
      <c r="E940" s="280" t="s">
        <v>1101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1212</v>
      </c>
      <c r="D941" s="279" t="s">
        <v>47</v>
      </c>
      <c r="E941" s="280" t="s">
        <v>1101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1213</v>
      </c>
      <c r="D942" s="279" t="s">
        <v>47</v>
      </c>
      <c r="E942" s="280" t="s">
        <v>1101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1214</v>
      </c>
      <c r="D943" s="279" t="s">
        <v>47</v>
      </c>
      <c r="E943" s="280" t="s">
        <v>1101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1215</v>
      </c>
      <c r="D944" s="279" t="s">
        <v>47</v>
      </c>
      <c r="E944" s="280" t="s">
        <v>1101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1216</v>
      </c>
      <c r="D945" s="279" t="s">
        <v>47</v>
      </c>
      <c r="E945" s="280" t="s">
        <v>1101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1217</v>
      </c>
      <c r="D946" s="279" t="s">
        <v>47</v>
      </c>
      <c r="E946" s="280" t="s">
        <v>1101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1218</v>
      </c>
      <c r="D947" s="279" t="s">
        <v>47</v>
      </c>
      <c r="E947" s="280" t="s">
        <v>1101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1219</v>
      </c>
      <c r="D948" s="279" t="s">
        <v>47</v>
      </c>
      <c r="E948" s="280" t="s">
        <v>1101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1220</v>
      </c>
      <c r="D949" s="279" t="s">
        <v>47</v>
      </c>
      <c r="E949" s="280" t="s">
        <v>1101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1221</v>
      </c>
      <c r="D950" s="279" t="s">
        <v>47</v>
      </c>
      <c r="E950" s="280" t="s">
        <v>1101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1222</v>
      </c>
      <c r="D951" s="279" t="s">
        <v>47</v>
      </c>
      <c r="E951" s="280" t="s">
        <v>1101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1223</v>
      </c>
      <c r="D952" s="279" t="s">
        <v>47</v>
      </c>
      <c r="E952" s="280" t="s">
        <v>1101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1224</v>
      </c>
      <c r="D953" s="279" t="s">
        <v>47</v>
      </c>
      <c r="E953" s="280" t="s">
        <v>1101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1225</v>
      </c>
      <c r="D954" s="279" t="s">
        <v>47</v>
      </c>
      <c r="E954" s="280" t="s">
        <v>1101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1226</v>
      </c>
      <c r="D955" s="279" t="s">
        <v>47</v>
      </c>
      <c r="E955" s="280" t="s">
        <v>1101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1227</v>
      </c>
      <c r="D956" s="279" t="s">
        <v>47</v>
      </c>
      <c r="E956" s="280" t="s">
        <v>1101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1228</v>
      </c>
      <c r="D957" s="279" t="s">
        <v>47</v>
      </c>
      <c r="E957" s="280" t="s">
        <v>1101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1229</v>
      </c>
      <c r="D958" s="279" t="s">
        <v>47</v>
      </c>
      <c r="E958" s="280" t="s">
        <v>1101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1230</v>
      </c>
      <c r="D959" s="279" t="s">
        <v>47</v>
      </c>
      <c r="E959" s="280" t="s">
        <v>1101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1231</v>
      </c>
      <c r="D960" s="279" t="s">
        <v>47</v>
      </c>
      <c r="E960" s="280" t="s">
        <v>1101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1232</v>
      </c>
      <c r="D961" s="279" t="s">
        <v>47</v>
      </c>
      <c r="E961" s="280" t="s">
        <v>1101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1233</v>
      </c>
      <c r="D962" s="279" t="s">
        <v>47</v>
      </c>
      <c r="E962" s="280" t="s">
        <v>1101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1234</v>
      </c>
      <c r="D963" s="279" t="s">
        <v>47</v>
      </c>
      <c r="E963" s="280" t="s">
        <v>1101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1235</v>
      </c>
      <c r="D964" s="279" t="s">
        <v>47</v>
      </c>
      <c r="E964" s="280" t="s">
        <v>1101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1236</v>
      </c>
      <c r="D965" s="279" t="s">
        <v>47</v>
      </c>
      <c r="E965" s="280" t="s">
        <v>1101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1237</v>
      </c>
      <c r="D966" s="279" t="s">
        <v>47</v>
      </c>
      <c r="E966" s="280" t="s">
        <v>1101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1238</v>
      </c>
      <c r="D967" s="279" t="s">
        <v>47</v>
      </c>
      <c r="E967" s="280" t="s">
        <v>1101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1239</v>
      </c>
      <c r="D968" s="279" t="s">
        <v>47</v>
      </c>
      <c r="E968" s="280" t="s">
        <v>1101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1240</v>
      </c>
      <c r="D969" s="279" t="s">
        <v>47</v>
      </c>
      <c r="E969" s="280" t="s">
        <v>1101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1241</v>
      </c>
      <c r="D970" s="279" t="s">
        <v>47</v>
      </c>
      <c r="E970" s="280" t="s">
        <v>1101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1242</v>
      </c>
      <c r="D971" s="279" t="s">
        <v>47</v>
      </c>
      <c r="E971" s="280" t="s">
        <v>1101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1243</v>
      </c>
      <c r="D972" s="279" t="s">
        <v>47</v>
      </c>
      <c r="E972" s="280" t="s">
        <v>1101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1244</v>
      </c>
      <c r="D973" s="279" t="s">
        <v>47</v>
      </c>
      <c r="E973" s="280" t="s">
        <v>1101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1245</v>
      </c>
      <c r="D974" s="279" t="s">
        <v>47</v>
      </c>
      <c r="E974" s="280" t="s">
        <v>1101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1246</v>
      </c>
      <c r="D975" s="279" t="s">
        <v>47</v>
      </c>
      <c r="E975" s="280" t="s">
        <v>1101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1247</v>
      </c>
      <c r="D976" s="279" t="s">
        <v>47</v>
      </c>
      <c r="E976" s="280" t="s">
        <v>1101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1248</v>
      </c>
      <c r="D977" s="279" t="s">
        <v>47</v>
      </c>
      <c r="E977" s="280" t="s">
        <v>1101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1249</v>
      </c>
      <c r="D978" s="279" t="s">
        <v>47</v>
      </c>
      <c r="E978" s="280" t="s">
        <v>1101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1250</v>
      </c>
      <c r="D979" s="279" t="s">
        <v>47</v>
      </c>
      <c r="E979" s="280" t="s">
        <v>1101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1251</v>
      </c>
      <c r="D980" s="279" t="s">
        <v>47</v>
      </c>
      <c r="E980" s="280" t="s">
        <v>1101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1252</v>
      </c>
      <c r="D981" s="279" t="s">
        <v>47</v>
      </c>
      <c r="E981" s="280" t="s">
        <v>1101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1253</v>
      </c>
      <c r="D984" s="279" t="s">
        <v>47</v>
      </c>
      <c r="E984" s="280" t="s">
        <v>1101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1254</v>
      </c>
      <c r="D985" s="279" t="s">
        <v>47</v>
      </c>
      <c r="E985" s="280" t="s">
        <v>1101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1255</v>
      </c>
      <c r="D986" s="279" t="s">
        <v>47</v>
      </c>
      <c r="E986" s="280" t="s">
        <v>1101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1256</v>
      </c>
      <c r="D987" s="279" t="s">
        <v>47</v>
      </c>
      <c r="E987" s="280" t="s">
        <v>1101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1257</v>
      </c>
      <c r="D988" s="279" t="s">
        <v>47</v>
      </c>
      <c r="E988" s="280" t="s">
        <v>1101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1258</v>
      </c>
      <c r="D989" s="279" t="s">
        <v>47</v>
      </c>
      <c r="E989" s="280" t="s">
        <v>1101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1259</v>
      </c>
      <c r="D990" s="279" t="s">
        <v>47</v>
      </c>
      <c r="E990" s="280" t="s">
        <v>1101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1607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1608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1521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1522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1129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1130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1093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1523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1524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1525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1526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1527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1166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1528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1609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1058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1172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1173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1174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1175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1176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1177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1178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1179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1180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1181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1182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1167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1183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1184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1185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1186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1125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1260</v>
      </c>
      <c r="D1309" s="279" t="s">
        <v>47</v>
      </c>
      <c r="E1309" s="280" t="s">
        <v>1101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1261</v>
      </c>
      <c r="D1310" s="279" t="s">
        <v>47</v>
      </c>
      <c r="E1310" s="280" t="s">
        <v>1101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1262</v>
      </c>
      <c r="D1311" s="279" t="s">
        <v>47</v>
      </c>
      <c r="E1311" s="280" t="s">
        <v>1101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1263</v>
      </c>
      <c r="D1312" s="279" t="s">
        <v>47</v>
      </c>
      <c r="E1312" s="280" t="s">
        <v>1101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1264</v>
      </c>
      <c r="D1313" s="279" t="s">
        <v>47</v>
      </c>
      <c r="E1313" s="280" t="s">
        <v>1101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1265</v>
      </c>
      <c r="D1314" s="279" t="s">
        <v>47</v>
      </c>
      <c r="E1314" s="280" t="s">
        <v>1101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1266</v>
      </c>
      <c r="D1315" s="279" t="s">
        <v>47</v>
      </c>
      <c r="E1315" s="280" t="s">
        <v>1101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1267</v>
      </c>
      <c r="D1316" s="279" t="s">
        <v>47</v>
      </c>
      <c r="E1316" s="280" t="s">
        <v>1101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1268</v>
      </c>
      <c r="D1317" s="279" t="s">
        <v>47</v>
      </c>
      <c r="E1317" s="280" t="s">
        <v>1101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1269</v>
      </c>
      <c r="D1318" s="279" t="s">
        <v>47</v>
      </c>
      <c r="E1318" s="280" t="s">
        <v>1101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1270</v>
      </c>
      <c r="D1319" s="279" t="s">
        <v>47</v>
      </c>
      <c r="E1319" s="280" t="s">
        <v>1101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1271</v>
      </c>
      <c r="D1320" s="279" t="s">
        <v>47</v>
      </c>
      <c r="E1320" s="280" t="s">
        <v>1101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1272</v>
      </c>
      <c r="D1321" s="279" t="s">
        <v>47</v>
      </c>
      <c r="E1321" s="280" t="s">
        <v>1101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1273</v>
      </c>
      <c r="D1322" s="279" t="s">
        <v>47</v>
      </c>
      <c r="E1322" s="280" t="s">
        <v>1101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1274</v>
      </c>
      <c r="D1323" s="279" t="s">
        <v>47</v>
      </c>
      <c r="E1323" s="280" t="s">
        <v>1101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1275</v>
      </c>
      <c r="D1324" s="279" t="s">
        <v>47</v>
      </c>
      <c r="E1324" s="280" t="s">
        <v>1101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1276</v>
      </c>
      <c r="D1325" s="279" t="s">
        <v>47</v>
      </c>
      <c r="E1325" s="280" t="s">
        <v>1101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1277</v>
      </c>
      <c r="D1326" s="279" t="s">
        <v>47</v>
      </c>
      <c r="E1326" s="280" t="s">
        <v>1101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1278</v>
      </c>
      <c r="D1327" s="279" t="s">
        <v>47</v>
      </c>
      <c r="E1327" s="280" t="s">
        <v>1101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1279</v>
      </c>
      <c r="D1328" s="279" t="s">
        <v>47</v>
      </c>
      <c r="E1328" s="280" t="s">
        <v>1101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1280</v>
      </c>
      <c r="D1329" s="279" t="s">
        <v>47</v>
      </c>
      <c r="E1329" s="280" t="s">
        <v>1101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1281</v>
      </c>
      <c r="D1330" s="279" t="s">
        <v>47</v>
      </c>
      <c r="E1330" s="280" t="s">
        <v>1101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1282</v>
      </c>
      <c r="D1331" s="279" t="s">
        <v>47</v>
      </c>
      <c r="E1331" s="280" t="s">
        <v>1101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1283</v>
      </c>
      <c r="D1332" s="279" t="s">
        <v>47</v>
      </c>
      <c r="E1332" s="280" t="s">
        <v>1101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1284</v>
      </c>
      <c r="D1333" s="279" t="s">
        <v>47</v>
      </c>
      <c r="E1333" s="280" t="s">
        <v>1101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1285</v>
      </c>
      <c r="D1334" s="279" t="s">
        <v>47</v>
      </c>
      <c r="E1334" s="280" t="s">
        <v>1101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1286</v>
      </c>
      <c r="D1335" s="279" t="s">
        <v>47</v>
      </c>
      <c r="E1335" s="280" t="s">
        <v>1101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1287</v>
      </c>
      <c r="D1336" s="279" t="s">
        <v>47</v>
      </c>
      <c r="E1336" s="280" t="s">
        <v>1101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1288</v>
      </c>
      <c r="D1337" s="279" t="s">
        <v>47</v>
      </c>
      <c r="E1337" s="280" t="s">
        <v>1101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1289</v>
      </c>
      <c r="D1338" s="279" t="s">
        <v>47</v>
      </c>
      <c r="E1338" s="280" t="s">
        <v>1101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1290</v>
      </c>
      <c r="D1339" s="279" t="s">
        <v>47</v>
      </c>
      <c r="E1339" s="280" t="s">
        <v>1101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1291</v>
      </c>
      <c r="D1340" s="279" t="s">
        <v>47</v>
      </c>
      <c r="E1340" s="280" t="s">
        <v>1101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1292</v>
      </c>
      <c r="D1341" s="279" t="s">
        <v>47</v>
      </c>
      <c r="E1341" s="280" t="s">
        <v>1101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1293</v>
      </c>
      <c r="D1342" s="279" t="s">
        <v>47</v>
      </c>
      <c r="E1342" s="280" t="s">
        <v>1101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1294</v>
      </c>
      <c r="D1343" s="279" t="s">
        <v>47</v>
      </c>
      <c r="E1343" s="280" t="s">
        <v>1101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1295</v>
      </c>
      <c r="D1344" s="279" t="s">
        <v>47</v>
      </c>
      <c r="E1344" s="280" t="s">
        <v>1101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1296</v>
      </c>
      <c r="D1345" s="279" t="s">
        <v>47</v>
      </c>
      <c r="E1345" s="280" t="s">
        <v>1101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1297</v>
      </c>
      <c r="D1346" s="279" t="s">
        <v>47</v>
      </c>
      <c r="E1346" s="280" t="s">
        <v>1101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1298</v>
      </c>
      <c r="D1347" s="279" t="s">
        <v>47</v>
      </c>
      <c r="E1347" s="280" t="s">
        <v>1101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1299</v>
      </c>
      <c r="D1348" s="279" t="s">
        <v>47</v>
      </c>
      <c r="E1348" s="280" t="s">
        <v>1101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1300</v>
      </c>
      <c r="D1349" s="279" t="s">
        <v>47</v>
      </c>
      <c r="E1349" s="280" t="s">
        <v>1101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1301</v>
      </c>
      <c r="D1350" s="279" t="s">
        <v>47</v>
      </c>
      <c r="E1350" s="280" t="s">
        <v>1101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1302</v>
      </c>
      <c r="D1351" s="279" t="s">
        <v>47</v>
      </c>
      <c r="E1351" s="280" t="s">
        <v>1101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1303</v>
      </c>
      <c r="D1352" s="279" t="s">
        <v>47</v>
      </c>
      <c r="E1352" s="280" t="s">
        <v>1101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1304</v>
      </c>
      <c r="D1353" s="279" t="s">
        <v>47</v>
      </c>
      <c r="E1353" s="280" t="s">
        <v>1101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1305</v>
      </c>
      <c r="D1354" s="279" t="s">
        <v>47</v>
      </c>
      <c r="E1354" s="280" t="s">
        <v>1101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1306</v>
      </c>
      <c r="D1355" s="279" t="s">
        <v>47</v>
      </c>
      <c r="E1355" s="280" t="s">
        <v>1101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1307</v>
      </c>
      <c r="D1356" s="279" t="s">
        <v>47</v>
      </c>
      <c r="E1356" s="280" t="s">
        <v>1101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1308</v>
      </c>
      <c r="D1357" s="279" t="s">
        <v>47</v>
      </c>
      <c r="E1357" s="280" t="s">
        <v>1101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1309</v>
      </c>
      <c r="D1358" s="279" t="s">
        <v>47</v>
      </c>
      <c r="E1358" s="280" t="s">
        <v>1101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1310</v>
      </c>
      <c r="D1359" s="279" t="s">
        <v>47</v>
      </c>
      <c r="E1359" s="280" t="s">
        <v>1101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1311</v>
      </c>
      <c r="D1360" s="279" t="s">
        <v>47</v>
      </c>
      <c r="E1360" s="280" t="s">
        <v>1101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1312</v>
      </c>
      <c r="D1361" s="279" t="s">
        <v>47</v>
      </c>
      <c r="E1361" s="280" t="s">
        <v>1101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1313</v>
      </c>
      <c r="D1362" s="279" t="s">
        <v>47</v>
      </c>
      <c r="E1362" s="280" t="s">
        <v>1101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1314</v>
      </c>
      <c r="D1363" s="279" t="s">
        <v>47</v>
      </c>
      <c r="E1363" s="280" t="s">
        <v>1101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1315</v>
      </c>
      <c r="D1366" s="279" t="s">
        <v>47</v>
      </c>
      <c r="E1366" s="280" t="s">
        <v>1101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1316</v>
      </c>
      <c r="D1367" s="279" t="s">
        <v>47</v>
      </c>
      <c r="E1367" s="280" t="s">
        <v>1101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1317</v>
      </c>
      <c r="D1368" s="279" t="s">
        <v>47</v>
      </c>
      <c r="E1368" s="280" t="s">
        <v>1101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1318</v>
      </c>
      <c r="D1369" s="279" t="s">
        <v>47</v>
      </c>
      <c r="E1369" s="280" t="s">
        <v>1101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1319</v>
      </c>
      <c r="D1370" s="279" t="s">
        <v>47</v>
      </c>
      <c r="E1370" s="280" t="s">
        <v>1101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1320</v>
      </c>
      <c r="D1371" s="279" t="s">
        <v>47</v>
      </c>
      <c r="E1371" s="280" t="s">
        <v>1101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1321</v>
      </c>
      <c r="D1372" s="279" t="s">
        <v>47</v>
      </c>
      <c r="E1372" s="280" t="s">
        <v>1101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1131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1132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1094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1095</v>
      </c>
      <c r="D1433" s="279" t="s">
        <v>47</v>
      </c>
      <c r="E1433" s="280" t="s">
        <v>473</v>
      </c>
      <c r="F1433" s="493">
        <v>2740</v>
      </c>
      <c r="G1433" s="49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1187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1188</v>
      </c>
      <c r="C1443" s="109" t="s">
        <v>1002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1090</v>
      </c>
      <c r="D1444" s="279" t="s">
        <v>47</v>
      </c>
      <c r="E1444" s="280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79" t="s">
        <v>47</v>
      </c>
      <c r="E1445" s="280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1096</v>
      </c>
      <c r="D1447" s="279" t="s">
        <v>47</v>
      </c>
      <c r="E1447" s="280" t="s">
        <v>1102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1097</v>
      </c>
      <c r="D1448" s="279" t="s">
        <v>47</v>
      </c>
      <c r="E1448" s="280" t="s">
        <v>1102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1098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1099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1100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1404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1405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1406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1407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1408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1409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1410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1411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1412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1413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1414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1415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1416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1417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1418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1419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1420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1421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1422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1423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1424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4" t="s">
        <v>1425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4" t="s">
        <v>1426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4" t="s">
        <v>1427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4" t="s">
        <v>1428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1429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1430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4" t="s">
        <v>1430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1431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1432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1433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1434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1435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1436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1437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6" priority="138" operator="equal">
      <formula>0</formula>
    </cfRule>
  </conditionalFormatting>
  <conditionalFormatting sqref="B8:C135">
    <cfRule type="cellIs" dxfId="45" priority="51" operator="equal">
      <formula>0</formula>
    </cfRule>
  </conditionalFormatting>
  <conditionalFormatting sqref="B150:G1493">
    <cfRule type="cellIs" dxfId="44" priority="1" operator="equal">
      <formula>0</formula>
    </cfRule>
  </conditionalFormatting>
  <conditionalFormatting sqref="C143:G149">
    <cfRule type="cellIs" dxfId="43" priority="5" operator="equal">
      <formula>0</formula>
    </cfRule>
  </conditionalFormatting>
  <conditionalFormatting sqref="D9:G142">
    <cfRule type="cellIs" dxfId="42" priority="11" operator="equal">
      <formula>0</formula>
    </cfRule>
  </conditionalFormatting>
  <conditionalFormatting sqref="D1:IV5 A1:C7 D6:K6 H1455:IV1457 H1458:XFD1485 H1486:H1493 I1486:XFD1494 A1494:H1494 A1495:XFD65536">
    <cfRule type="cellIs" dxfId="41" priority="163" operator="equal">
      <formula>0</formula>
    </cfRule>
  </conditionalFormatting>
  <conditionalFormatting sqref="D7:IV8 C136:C142 B136:B149">
    <cfRule type="cellIs" dxfId="40" priority="62" operator="equal">
      <formula>0</formula>
    </cfRule>
  </conditionalFormatting>
  <conditionalFormatting sqref="H9:H1418">
    <cfRule type="cellIs" dxfId="39" priority="129" operator="equal">
      <formula>0</formula>
    </cfRule>
  </conditionalFormatting>
  <conditionalFormatting sqref="H1419:I1454">
    <cfRule type="cellIs" dxfId="38" priority="128" operator="equal">
      <formula>0</formula>
    </cfRule>
  </conditionalFormatting>
  <conditionalFormatting sqref="I108:I1418">
    <cfRule type="cellIs" dxfId="37" priority="125" operator="equal">
      <formula>0</formula>
    </cfRule>
  </conditionalFormatting>
  <conditionalFormatting sqref="J108:IV1454">
    <cfRule type="cellIs" dxfId="36" priority="139" operator="equal">
      <formula>0</formula>
    </cfRule>
  </conditionalFormatting>
  <conditionalFormatting sqref="M6:IV6">
    <cfRule type="cellIs" dxfId="3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70" zoomScaleNormal="70" zoomScaleSheetLayoutView="85" workbookViewId="0">
      <selection activeCell="D13" sqref="D13:E1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1" t="s">
        <v>1453</v>
      </c>
      <c r="C2" s="561"/>
      <c r="D2" s="561"/>
      <c r="E2" s="56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6" t="s">
        <v>1534</v>
      </c>
      <c r="C4" s="567"/>
      <c r="D4" s="567"/>
      <c r="E4" s="568"/>
      <c r="F4" s="446"/>
      <c r="G4" s="446"/>
      <c r="H4" s="447"/>
      <c r="I4" s="593" t="s">
        <v>1535</v>
      </c>
      <c r="J4" s="594"/>
      <c r="K4" s="594"/>
      <c r="L4" s="595"/>
    </row>
    <row r="5" spans="1:12" ht="34.5" customHeight="1">
      <c r="A5" s="204"/>
      <c r="B5" s="449" t="s">
        <v>1378</v>
      </c>
      <c r="C5" s="277" t="s">
        <v>9</v>
      </c>
      <c r="D5" s="562" t="str">
        <f>DATA!D14</f>
        <v>ES KRISTAL ABDUL MUIZ</v>
      </c>
      <c r="E5" s="563"/>
      <c r="F5" s="208"/>
      <c r="G5" s="208"/>
      <c r="I5" s="450" t="s">
        <v>1378</v>
      </c>
      <c r="J5" s="277" t="s">
        <v>9</v>
      </c>
      <c r="K5" s="596" t="str">
        <f>D5</f>
        <v>ES KRISTAL ABDUL MUIZ</v>
      </c>
      <c r="L5" s="597"/>
    </row>
    <row r="6" spans="1:12" ht="31.5" customHeight="1">
      <c r="A6" s="204"/>
      <c r="B6" s="449" t="s">
        <v>1531</v>
      </c>
      <c r="C6" s="277" t="s">
        <v>9</v>
      </c>
      <c r="D6" s="571">
        <f>DATA!D17*1000</f>
        <v>0</v>
      </c>
      <c r="E6" s="572"/>
      <c r="F6" s="208"/>
      <c r="G6" s="208"/>
      <c r="I6" s="450" t="s">
        <v>1532</v>
      </c>
      <c r="J6" s="277" t="s">
        <v>9</v>
      </c>
      <c r="K6" s="598">
        <f>DATA!D20*1000</f>
        <v>33000</v>
      </c>
      <c r="L6" s="599"/>
    </row>
    <row r="7" spans="1:12" ht="30.75" customHeight="1">
      <c r="A7" s="204"/>
      <c r="B7" s="449" t="s">
        <v>1440</v>
      </c>
      <c r="C7" s="277" t="s">
        <v>9</v>
      </c>
      <c r="D7" s="569">
        <f>DATA!D18</f>
        <v>1</v>
      </c>
      <c r="E7" s="570"/>
      <c r="F7" s="448" t="s">
        <v>1452</v>
      </c>
      <c r="I7" s="450" t="s">
        <v>1440</v>
      </c>
      <c r="J7" s="277" t="s">
        <v>9</v>
      </c>
      <c r="K7" s="600">
        <f>DATA!D21</f>
        <v>3</v>
      </c>
      <c r="L7" s="601"/>
    </row>
    <row r="8" spans="1:12" ht="51" customHeight="1">
      <c r="A8" s="204"/>
      <c r="B8" s="449" t="s">
        <v>1441</v>
      </c>
      <c r="C8" s="277" t="s">
        <v>9</v>
      </c>
      <c r="D8" s="569">
        <f>DATA!D19</f>
        <v>220</v>
      </c>
      <c r="E8" s="570"/>
      <c r="F8" s="448" t="s">
        <v>1452</v>
      </c>
      <c r="G8" s="443">
        <v>220</v>
      </c>
      <c r="I8" s="450" t="s">
        <v>1441</v>
      </c>
      <c r="J8" s="277" t="s">
        <v>9</v>
      </c>
      <c r="K8" s="600">
        <f>DATA!D22</f>
        <v>380</v>
      </c>
      <c r="L8" s="601"/>
    </row>
    <row r="9" spans="1:12" ht="30" customHeight="1" thickBot="1">
      <c r="A9" s="204"/>
      <c r="B9" s="455" t="s">
        <v>1543</v>
      </c>
      <c r="C9" s="445" t="s">
        <v>9</v>
      </c>
      <c r="D9" s="564">
        <f>IF(D7=1,D6/(380/3^0.5),(D6/(380*3^0.5)))</f>
        <v>0</v>
      </c>
      <c r="E9" s="565"/>
      <c r="F9" s="207"/>
      <c r="G9" s="444">
        <v>380</v>
      </c>
      <c r="I9" s="456" t="s">
        <v>1543</v>
      </c>
      <c r="J9" s="445" t="s">
        <v>9</v>
      </c>
      <c r="K9" s="602">
        <f>IF(K7=1,K6/(380/3^0.5),(K6/(380*3^0.5)))</f>
        <v>50.138312850678034</v>
      </c>
      <c r="L9" s="603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1544</v>
      </c>
      <c r="I11" s="451" t="s">
        <v>1538</v>
      </c>
    </row>
    <row r="12" spans="1:12" ht="34.5" customHeight="1">
      <c r="A12" s="204"/>
      <c r="B12" s="479" t="s">
        <v>1536</v>
      </c>
      <c r="C12" s="473" t="s">
        <v>9</v>
      </c>
      <c r="D12" s="573">
        <v>0</v>
      </c>
      <c r="E12" s="574"/>
      <c r="F12" s="208"/>
      <c r="G12" s="208"/>
      <c r="I12" s="472" t="s">
        <v>1536</v>
      </c>
      <c r="J12" s="473" t="s">
        <v>9</v>
      </c>
      <c r="K12" s="573" t="s">
        <v>1644</v>
      </c>
      <c r="L12" s="574"/>
    </row>
    <row r="13" spans="1:12" ht="31.5" customHeight="1">
      <c r="A13" s="204"/>
      <c r="B13" s="480" t="s">
        <v>1379</v>
      </c>
      <c r="C13" s="460" t="s">
        <v>9</v>
      </c>
      <c r="D13" s="577" t="s">
        <v>1645</v>
      </c>
      <c r="E13" s="578"/>
      <c r="F13" s="208"/>
      <c r="G13" s="208"/>
      <c r="I13" s="474" t="s">
        <v>1379</v>
      </c>
      <c r="J13" s="460" t="s">
        <v>9</v>
      </c>
      <c r="K13" s="577" t="s">
        <v>1645</v>
      </c>
      <c r="L13" s="578"/>
    </row>
    <row r="14" spans="1:12" ht="30.75" customHeight="1">
      <c r="A14" s="204"/>
      <c r="B14" s="480" t="s">
        <v>1537</v>
      </c>
      <c r="C14" s="460" t="s">
        <v>9</v>
      </c>
      <c r="D14" s="585"/>
      <c r="E14" s="586"/>
      <c r="F14" s="448" t="s">
        <v>1452</v>
      </c>
      <c r="G14" s="452">
        <v>50</v>
      </c>
      <c r="I14" s="474" t="s">
        <v>1537</v>
      </c>
      <c r="J14" s="460" t="s">
        <v>9</v>
      </c>
      <c r="K14" s="587">
        <v>50</v>
      </c>
      <c r="L14" s="588"/>
    </row>
    <row r="15" spans="1:12" ht="57" customHeight="1">
      <c r="A15" s="204"/>
      <c r="B15" s="480" t="s">
        <v>1440</v>
      </c>
      <c r="C15" s="460" t="s">
        <v>9</v>
      </c>
      <c r="D15" s="466"/>
      <c r="E15" s="475"/>
      <c r="F15" s="448" t="s">
        <v>1452</v>
      </c>
      <c r="G15" s="452">
        <v>100</v>
      </c>
      <c r="I15" s="474" t="s">
        <v>1440</v>
      </c>
      <c r="J15" s="460" t="s">
        <v>9</v>
      </c>
      <c r="K15" s="466">
        <v>1</v>
      </c>
      <c r="L15" s="475"/>
    </row>
    <row r="16" spans="1:12" ht="44.25" customHeight="1">
      <c r="A16" s="204"/>
      <c r="B16" s="480" t="s">
        <v>1547</v>
      </c>
      <c r="C16" s="460"/>
      <c r="D16" s="589">
        <f>50</f>
        <v>50</v>
      </c>
      <c r="E16" s="590"/>
      <c r="F16" s="448"/>
      <c r="G16" s="452">
        <v>160</v>
      </c>
      <c r="I16" s="474" t="s">
        <v>1539</v>
      </c>
      <c r="J16" s="460" t="s">
        <v>9</v>
      </c>
      <c r="K16" s="591">
        <f>K9</f>
        <v>50.138312850678034</v>
      </c>
      <c r="L16" s="592"/>
    </row>
    <row r="17" spans="1:12" ht="34.5" customHeight="1">
      <c r="A17" s="204"/>
      <c r="B17" s="480" t="s">
        <v>1540</v>
      </c>
      <c r="C17" s="460" t="s">
        <v>9</v>
      </c>
      <c r="D17" s="579">
        <f>IF(D15=1,D14/(20/3^0.5),(D14/(20*3^0.5)))</f>
        <v>0</v>
      </c>
      <c r="E17" s="580"/>
      <c r="F17" s="448" t="s">
        <v>1452</v>
      </c>
      <c r="G17" s="453">
        <v>200</v>
      </c>
      <c r="I17" s="474" t="s">
        <v>1540</v>
      </c>
      <c r="J17" s="460" t="s">
        <v>9</v>
      </c>
      <c r="K17" s="583">
        <f>IF(K15=1,K14/(20/3^0.5),(K14/(20*3^0.5)))</f>
        <v>4.3301270189221928</v>
      </c>
      <c r="L17" s="584"/>
    </row>
    <row r="18" spans="1:12" ht="34.5" customHeight="1">
      <c r="A18" s="204"/>
      <c r="B18" s="480" t="s">
        <v>1541</v>
      </c>
      <c r="C18" s="460" t="s">
        <v>9</v>
      </c>
      <c r="D18" s="579">
        <f>IF(D15=1,D14/(380/3^0.5),(D14/(380*3^0.5)))*1000</f>
        <v>0</v>
      </c>
      <c r="E18" s="580"/>
      <c r="F18" s="448" t="s">
        <v>1452</v>
      </c>
      <c r="G18" s="453">
        <v>250</v>
      </c>
      <c r="I18" s="474" t="s">
        <v>1541</v>
      </c>
      <c r="J18" s="460" t="s">
        <v>9</v>
      </c>
      <c r="K18" s="583">
        <f>IF(K15=1,K14/(380/3^0.5),(K14/(380*3^0.5)))*1000</f>
        <v>227.90142204853646</v>
      </c>
      <c r="L18" s="584"/>
    </row>
    <row r="19" spans="1:12" ht="30" customHeight="1">
      <c r="A19" s="204"/>
      <c r="B19" s="481" t="s">
        <v>1533</v>
      </c>
      <c r="C19" s="459" t="s">
        <v>9</v>
      </c>
      <c r="D19" s="579">
        <f>IF(D15=1,D14/(380/3^0.5),(D14/(380*3^0.5)))</f>
        <v>0</v>
      </c>
      <c r="E19" s="580"/>
      <c r="F19" s="207"/>
      <c r="G19" s="444"/>
      <c r="I19" s="476" t="s">
        <v>1533</v>
      </c>
      <c r="J19" s="459" t="s">
        <v>9</v>
      </c>
      <c r="K19" s="583">
        <f>IF(K15=1,K14/(380/3^0.5),(K14/(380*3^0.5)))</f>
        <v>0.22790142204853647</v>
      </c>
      <c r="L19" s="584"/>
    </row>
    <row r="20" spans="1:12" ht="30" customHeight="1" thickBot="1">
      <c r="A20" s="204"/>
      <c r="B20" s="482" t="s">
        <v>1542</v>
      </c>
      <c r="C20" s="478" t="s">
        <v>9</v>
      </c>
      <c r="D20" s="575" t="e">
        <f>D16/D18</f>
        <v>#DIV/0!</v>
      </c>
      <c r="E20" s="576"/>
      <c r="F20" s="207"/>
      <c r="G20" s="444"/>
      <c r="I20" s="477" t="s">
        <v>1533</v>
      </c>
      <c r="J20" s="478" t="s">
        <v>9</v>
      </c>
      <c r="K20" s="581">
        <f>K16/K18</f>
        <v>0.22000000000000006</v>
      </c>
      <c r="L20" s="582"/>
    </row>
    <row r="21" spans="1:12" ht="9.75" customHeight="1">
      <c r="A21" s="204"/>
      <c r="B21" s="467" t="s">
        <v>1542</v>
      </c>
      <c r="C21" s="468" t="s">
        <v>9</v>
      </c>
      <c r="D21" s="560">
        <v>1</v>
      </c>
      <c r="E21" s="560"/>
      <c r="F21" s="469"/>
      <c r="G21" s="470"/>
      <c r="H21" s="471"/>
      <c r="I21" s="467" t="s">
        <v>1533</v>
      </c>
      <c r="J21" s="468" t="s">
        <v>9</v>
      </c>
      <c r="K21" s="560">
        <v>1</v>
      </c>
      <c r="L21" s="560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57"/>
      <c r="C24" s="558"/>
      <c r="D24" s="558"/>
      <c r="E24" s="559"/>
      <c r="I24" s="557"/>
      <c r="J24" s="558"/>
      <c r="K24" s="558"/>
      <c r="L24" s="559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34" priority="5" stopIfTrue="1" operator="greaterThan">
      <formula>0.89</formula>
    </cfRule>
    <cfRule type="cellIs" dxfId="3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3" zoomScale="85" zoomScaleNormal="85" workbookViewId="0">
      <selection activeCell="I22" sqref="I22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4"/>
      <c r="C1" s="604"/>
      <c r="D1" s="604"/>
    </row>
    <row r="2" spans="2:11" ht="15.75" customHeight="1">
      <c r="B2" s="288" t="s">
        <v>1442</v>
      </c>
      <c r="C2" s="289"/>
      <c r="D2" s="290"/>
    </row>
    <row r="3" spans="2:11" ht="20.100000000000001" customHeight="1">
      <c r="B3" s="291" t="s">
        <v>1348</v>
      </c>
      <c r="C3" s="292" t="s">
        <v>9</v>
      </c>
      <c r="D3" s="293">
        <v>2022</v>
      </c>
    </row>
    <row r="4" spans="2:11" ht="20.100000000000001" customHeight="1">
      <c r="B4" s="291" t="s">
        <v>1029</v>
      </c>
      <c r="C4" s="292" t="s">
        <v>9</v>
      </c>
      <c r="D4" s="294">
        <v>0.12</v>
      </c>
    </row>
    <row r="5" spans="2:11" ht="20.100000000000001" customHeight="1">
      <c r="B5" s="291" t="s">
        <v>1349</v>
      </c>
      <c r="C5" s="292" t="s">
        <v>9</v>
      </c>
      <c r="D5" s="496">
        <v>1084.1250458865841</v>
      </c>
      <c r="F5" s="491" t="s">
        <v>1613</v>
      </c>
      <c r="K5" s="490"/>
    </row>
    <row r="6" spans="2:11" ht="20.100000000000001" customHeight="1">
      <c r="B6" s="291" t="s">
        <v>1350</v>
      </c>
      <c r="C6" s="292" t="s">
        <v>9</v>
      </c>
      <c r="D6" s="296">
        <v>25</v>
      </c>
      <c r="F6" s="491"/>
    </row>
    <row r="7" spans="2:11" ht="20.100000000000001" customHeight="1">
      <c r="B7" s="291" t="s">
        <v>1351</v>
      </c>
      <c r="C7" s="292" t="s">
        <v>9</v>
      </c>
      <c r="D7" s="297">
        <v>2.2499999999999999E-2</v>
      </c>
    </row>
    <row r="8" spans="2:11" ht="20.100000000000001" customHeight="1">
      <c r="B8" s="291" t="s">
        <v>1443</v>
      </c>
      <c r="C8" s="292" t="s">
        <v>9</v>
      </c>
      <c r="D8" s="298">
        <f>D20-D17</f>
        <v>33</v>
      </c>
    </row>
    <row r="9" spans="2:11" ht="20.100000000000001" customHeight="1">
      <c r="B9" s="291" t="s">
        <v>1444</v>
      </c>
      <c r="C9" s="292" t="s">
        <v>9</v>
      </c>
      <c r="D9" s="298">
        <f>(D8*D25)*1000</f>
        <v>25575000</v>
      </c>
    </row>
    <row r="10" spans="2:11" ht="20.100000000000001" customHeight="1">
      <c r="B10" s="291" t="s">
        <v>1445</v>
      </c>
      <c r="C10" s="292" t="s">
        <v>9</v>
      </c>
      <c r="D10" s="298">
        <f ca="1">RAB!K235</f>
        <v>237182143.25939998</v>
      </c>
    </row>
    <row r="11" spans="2:11" ht="20.100000000000001" customHeight="1">
      <c r="B11" s="291" t="s">
        <v>1355</v>
      </c>
      <c r="C11" s="292" t="s">
        <v>9</v>
      </c>
      <c r="D11" s="295">
        <f ca="1">2%*D10</f>
        <v>4743642.8651879998</v>
      </c>
    </row>
    <row r="12" spans="2:11" ht="9" customHeight="1">
      <c r="B12" s="605"/>
      <c r="C12" s="605"/>
      <c r="D12" s="605"/>
    </row>
    <row r="13" spans="2:11" ht="15.75" customHeight="1">
      <c r="B13" s="299"/>
      <c r="C13" s="299"/>
      <c r="D13" s="299"/>
    </row>
    <row r="14" spans="2:11" ht="33.75" customHeight="1">
      <c r="B14" s="419" t="s">
        <v>1378</v>
      </c>
      <c r="C14" s="420" t="s">
        <v>9</v>
      </c>
      <c r="D14" s="425" t="s">
        <v>1642</v>
      </c>
      <c r="E14" s="300" t="s">
        <v>1452</v>
      </c>
    </row>
    <row r="15" spans="2:11" ht="20.100000000000001" customHeight="1">
      <c r="B15" s="421" t="s">
        <v>1446</v>
      </c>
      <c r="C15" s="422" t="s">
        <v>9</v>
      </c>
      <c r="D15" s="426" t="s">
        <v>1643</v>
      </c>
      <c r="E15" s="300" t="s">
        <v>1452</v>
      </c>
    </row>
    <row r="16" spans="2:11" ht="20.100000000000001" customHeight="1">
      <c r="B16" s="421" t="s">
        <v>1447</v>
      </c>
      <c r="C16" s="422" t="s">
        <v>9</v>
      </c>
      <c r="D16" s="426" t="s">
        <v>1450</v>
      </c>
      <c r="E16" s="300" t="s">
        <v>1452</v>
      </c>
    </row>
    <row r="17" spans="2:5" ht="20.100000000000001" customHeight="1">
      <c r="B17" s="421" t="s">
        <v>1448</v>
      </c>
      <c r="C17" s="422" t="s">
        <v>9</v>
      </c>
      <c r="D17" s="427">
        <v>0</v>
      </c>
      <c r="E17" s="300" t="s">
        <v>1452</v>
      </c>
    </row>
    <row r="18" spans="2:5" ht="20.100000000000001" hidden="1" customHeight="1">
      <c r="B18" s="421" t="s">
        <v>1545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1546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1449</v>
      </c>
      <c r="C20" s="422" t="s">
        <v>9</v>
      </c>
      <c r="D20" s="427">
        <v>33</v>
      </c>
      <c r="E20" s="300" t="s">
        <v>1452</v>
      </c>
    </row>
    <row r="21" spans="2:5" ht="20.100000000000001" customHeight="1">
      <c r="B21" s="421" t="s">
        <v>1545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1546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1352</v>
      </c>
      <c r="C23" s="422" t="s">
        <v>9</v>
      </c>
      <c r="D23" s="426">
        <v>1444.7</v>
      </c>
      <c r="E23" s="300" t="s">
        <v>1452</v>
      </c>
    </row>
    <row r="24" spans="2:5" ht="20.100000000000001" customHeight="1">
      <c r="B24" s="421" t="s">
        <v>1353</v>
      </c>
      <c r="C24" s="422" t="s">
        <v>9</v>
      </c>
      <c r="D24" s="426">
        <v>1444.7</v>
      </c>
      <c r="E24" s="300" t="s">
        <v>1452</v>
      </c>
    </row>
    <row r="25" spans="2:5" ht="20.100000000000001" customHeight="1">
      <c r="B25" s="421" t="s">
        <v>1451</v>
      </c>
      <c r="C25" s="422" t="s">
        <v>9</v>
      </c>
      <c r="D25" s="427">
        <v>775</v>
      </c>
      <c r="E25" s="300" t="s">
        <v>1452</v>
      </c>
    </row>
    <row r="26" spans="2:5" ht="20.100000000000001" customHeight="1">
      <c r="B26" s="423" t="s">
        <v>1354</v>
      </c>
      <c r="C26" s="424" t="s">
        <v>9</v>
      </c>
      <c r="D26" s="428">
        <v>40</v>
      </c>
      <c r="E26" s="300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M37" sqref="M37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6" t="s">
        <v>1356</v>
      </c>
      <c r="C3" s="606"/>
      <c r="D3" s="606"/>
      <c r="E3" s="606"/>
      <c r="F3" s="305" t="str">
        <f>DATA!D14</f>
        <v>ES KRISTAL ABDUL MUIZ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7" t="s">
        <v>1348</v>
      </c>
      <c r="C5" s="607" t="s">
        <v>1357</v>
      </c>
      <c r="D5" s="608" t="s">
        <v>1358</v>
      </c>
      <c r="E5" s="608" t="s">
        <v>1359</v>
      </c>
      <c r="F5" s="607" t="s">
        <v>1360</v>
      </c>
      <c r="G5" s="607"/>
      <c r="H5" s="607"/>
      <c r="I5" s="607"/>
      <c r="J5" s="607"/>
      <c r="K5" s="607" t="s">
        <v>1361</v>
      </c>
      <c r="L5" s="607"/>
      <c r="M5" s="307"/>
      <c r="N5" s="611" t="s">
        <v>1362</v>
      </c>
      <c r="O5" s="608" t="s">
        <v>1363</v>
      </c>
      <c r="P5" s="608" t="s">
        <v>1364</v>
      </c>
      <c r="Q5" s="608" t="s">
        <v>1365</v>
      </c>
      <c r="R5" s="308"/>
      <c r="S5" s="309"/>
      <c r="T5" s="609" t="s">
        <v>1366</v>
      </c>
      <c r="U5" s="310"/>
    </row>
    <row r="6" spans="1:21" ht="20.100000000000001" customHeight="1">
      <c r="B6" s="607"/>
      <c r="C6" s="607"/>
      <c r="D6" s="607"/>
      <c r="E6" s="607"/>
      <c r="F6" s="311" t="s">
        <v>1367</v>
      </c>
      <c r="G6" s="311" t="s">
        <v>1368</v>
      </c>
      <c r="H6" s="311" t="s">
        <v>1369</v>
      </c>
      <c r="I6" s="311" t="s">
        <v>1370</v>
      </c>
      <c r="J6" s="311" t="s">
        <v>1031</v>
      </c>
      <c r="K6" s="311" t="s">
        <v>1371</v>
      </c>
      <c r="L6" s="311" t="s">
        <v>1372</v>
      </c>
      <c r="M6" s="311" t="s">
        <v>1031</v>
      </c>
      <c r="N6" s="612"/>
      <c r="O6" s="607"/>
      <c r="P6" s="607"/>
      <c r="Q6" s="607"/>
      <c r="R6" s="308"/>
      <c r="S6" s="309"/>
      <c r="T6" s="607"/>
      <c r="U6" s="312"/>
    </row>
    <row r="7" spans="1:21" ht="20.100000000000001" customHeight="1">
      <c r="A7" s="313">
        <v>0</v>
      </c>
      <c r="B7" s="314">
        <v>2023</v>
      </c>
      <c r="C7" s="483">
        <f>DATA!D8*DATA!D26*8</f>
        <v>10560</v>
      </c>
      <c r="D7" s="316">
        <f>C7*4/24</f>
        <v>1760</v>
      </c>
      <c r="E7" s="316">
        <f>C7-D7</f>
        <v>8800</v>
      </c>
      <c r="F7" s="317">
        <f ca="1">DATA!D10/1000000</f>
        <v>237.18214325939999</v>
      </c>
      <c r="G7" s="318">
        <f ca="1">DATA!$D$11/1000000</f>
        <v>4.7436428651879998</v>
      </c>
      <c r="H7" s="318">
        <f>C7*DATA!$D$5/1000000</f>
        <v>11.448360484562327</v>
      </c>
      <c r="I7" s="318">
        <f>(C7*DATA!$D$5*DATA!$D$7)/1000000</f>
        <v>0.25758811090265238</v>
      </c>
      <c r="J7" s="316">
        <f ca="1">SUM(F7:I7)</f>
        <v>253.63173472005298</v>
      </c>
      <c r="K7" s="319">
        <f>DATA!D9/1000000</f>
        <v>25.574999999999999</v>
      </c>
      <c r="L7" s="316">
        <f>((D7*DATA!$D$23)/1000000)+((E7*DATA!$D$24)/1000000)</f>
        <v>15.256031999999999</v>
      </c>
      <c r="M7" s="316">
        <f>K7+L7</f>
        <v>40.831032</v>
      </c>
      <c r="N7" s="316">
        <f ca="1">M7-J7</f>
        <v>-212.80070272005298</v>
      </c>
      <c r="O7" s="314">
        <v>1</v>
      </c>
      <c r="P7" s="316">
        <f ca="1">O7*N7</f>
        <v>-212.80070272005298</v>
      </c>
      <c r="Q7" s="316">
        <f ca="1">P7</f>
        <v>-212.80070272005298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15840</v>
      </c>
      <c r="D8" s="316">
        <f>C8*4/24</f>
        <v>2640</v>
      </c>
      <c r="E8" s="316">
        <f t="shared" ref="E8:E32" si="0">C8-D8</f>
        <v>13200</v>
      </c>
      <c r="F8" s="314"/>
      <c r="G8" s="318">
        <f ca="1">DATA!$D$11/1000000</f>
        <v>4.7436428651879998</v>
      </c>
      <c r="H8" s="318">
        <f>C8*DATA!$D$5/1000000</f>
        <v>17.17254072684349</v>
      </c>
      <c r="I8" s="318">
        <f>(C8*DATA!$D$5*DATA!$D$7)/1000000</f>
        <v>0.38638216635397854</v>
      </c>
      <c r="J8" s="316">
        <f t="shared" ref="J8:J32" ca="1" si="1">SUM(F8:I8)</f>
        <v>22.30256575838547</v>
      </c>
      <c r="K8" s="321"/>
      <c r="L8" s="316">
        <f>((D8*DATA!$D$23)/1000000)+((E8*DATA!$D$24)/1000000)</f>
        <v>22.884048</v>
      </c>
      <c r="M8" s="316">
        <f t="shared" ref="M8:M32" si="2">K8+L8</f>
        <v>22.884048</v>
      </c>
      <c r="N8" s="316">
        <f ca="1">M8-J8</f>
        <v>0.58148224161453044</v>
      </c>
      <c r="O8" s="315">
        <f>1/(1+'[93]Asumsi I'!$C$3)^(KKF!A8)</f>
        <v>0.89285714285714279</v>
      </c>
      <c r="P8" s="316">
        <f ca="1">O8*N8</f>
        <v>0.51918057287011643</v>
      </c>
      <c r="Q8" s="316">
        <f ca="1">Q7+P8</f>
        <v>-212.28152214718287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15840</v>
      </c>
      <c r="D9" s="316">
        <f t="shared" ref="D9:D32" si="5">C9*4/24</f>
        <v>2640</v>
      </c>
      <c r="E9" s="316">
        <f t="shared" si="0"/>
        <v>13200</v>
      </c>
      <c r="F9" s="314"/>
      <c r="G9" s="318">
        <f ca="1">DATA!$D$11/1000000</f>
        <v>4.7436428651879998</v>
      </c>
      <c r="H9" s="318">
        <f>C9*DATA!$D$5/1000000</f>
        <v>17.17254072684349</v>
      </c>
      <c r="I9" s="318">
        <f>(C9*DATA!$D$5*DATA!$D$7)/1000000</f>
        <v>0.38638216635397854</v>
      </c>
      <c r="J9" s="316">
        <f t="shared" ca="1" si="1"/>
        <v>22.30256575838547</v>
      </c>
      <c r="K9" s="316"/>
      <c r="L9" s="316">
        <f>((D9*DATA!$D$23)/1000000)+((E9*DATA!$D$24)/1000000)</f>
        <v>22.884048</v>
      </c>
      <c r="M9" s="316">
        <f t="shared" si="2"/>
        <v>22.884048</v>
      </c>
      <c r="N9" s="316">
        <f t="shared" ref="N9:N32" ca="1" si="6">M9-J9</f>
        <v>0.58148224161453044</v>
      </c>
      <c r="O9" s="322">
        <f>1/(1+'[93]Asumsi I'!$C$3)^(KKF!A9)</f>
        <v>0.79719387755102034</v>
      </c>
      <c r="P9" s="316">
        <f t="shared" ref="P9:P32" ca="1" si="7">O9*N9</f>
        <v>0.46355408291974681</v>
      </c>
      <c r="Q9" s="316">
        <f ca="1">Q8+P9</f>
        <v>-211.81796806426311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15840</v>
      </c>
      <c r="D10" s="316">
        <f t="shared" si="5"/>
        <v>2640</v>
      </c>
      <c r="E10" s="316">
        <f t="shared" si="0"/>
        <v>13200</v>
      </c>
      <c r="F10" s="314"/>
      <c r="G10" s="318">
        <f ca="1">DATA!$D$11/1000000</f>
        <v>4.7436428651879998</v>
      </c>
      <c r="H10" s="318">
        <f>C10*DATA!$D$5/1000000</f>
        <v>17.17254072684349</v>
      </c>
      <c r="I10" s="318">
        <f>(C10*DATA!$D$5*DATA!$D$7)/1000000</f>
        <v>0.38638216635397854</v>
      </c>
      <c r="J10" s="316">
        <f t="shared" ca="1" si="1"/>
        <v>22.30256575838547</v>
      </c>
      <c r="K10" s="314"/>
      <c r="L10" s="316">
        <f>((D10*DATA!$D$23)/1000000)+((E10*DATA!$D$24)/1000000)</f>
        <v>22.884048</v>
      </c>
      <c r="M10" s="316">
        <f t="shared" si="2"/>
        <v>22.884048</v>
      </c>
      <c r="N10" s="316">
        <f t="shared" ca="1" si="6"/>
        <v>0.58148224161453044</v>
      </c>
      <c r="O10" s="315">
        <f>1/(1+'[93]Asumsi I'!$C$3)^(KKF!A10)</f>
        <v>0.71178024781341087</v>
      </c>
      <c r="P10" s="316">
        <f t="shared" ca="1" si="7"/>
        <v>0.41388757403548815</v>
      </c>
      <c r="Q10" s="316">
        <f t="shared" ref="Q10:Q30" ca="1" si="9">Q9+P10</f>
        <v>-211.40408049022761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15840</v>
      </c>
      <c r="D11" s="316">
        <f t="shared" si="5"/>
        <v>2640</v>
      </c>
      <c r="E11" s="316">
        <f t="shared" si="0"/>
        <v>13200</v>
      </c>
      <c r="F11" s="314"/>
      <c r="G11" s="318">
        <f ca="1">DATA!$D$11/1000000</f>
        <v>4.7436428651879998</v>
      </c>
      <c r="H11" s="318">
        <f>C11*DATA!$D$5/1000000</f>
        <v>17.17254072684349</v>
      </c>
      <c r="I11" s="318">
        <f>(C11*DATA!$D$5*DATA!$D$7)/1000000</f>
        <v>0.38638216635397854</v>
      </c>
      <c r="J11" s="316">
        <f t="shared" ca="1" si="1"/>
        <v>22.30256575838547</v>
      </c>
      <c r="K11" s="314"/>
      <c r="L11" s="316">
        <f>((D11*DATA!$D$23)/1000000)+((E11*DATA!$D$24)/1000000)</f>
        <v>22.884048</v>
      </c>
      <c r="M11" s="316">
        <f t="shared" si="2"/>
        <v>22.884048</v>
      </c>
      <c r="N11" s="316">
        <f t="shared" ca="1" si="6"/>
        <v>0.58148224161453044</v>
      </c>
      <c r="O11" s="315">
        <f>1/(1+'[93]Asumsi I'!$C$3)^(KKF!A11)</f>
        <v>0.63551807840483121</v>
      </c>
      <c r="P11" s="316">
        <f t="shared" ca="1" si="7"/>
        <v>0.36954247681740016</v>
      </c>
      <c r="Q11" s="316">
        <f t="shared" ca="1" si="9"/>
        <v>-211.03453801341021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15840</v>
      </c>
      <c r="D12" s="316">
        <f t="shared" si="5"/>
        <v>2640</v>
      </c>
      <c r="E12" s="316">
        <f t="shared" si="0"/>
        <v>13200</v>
      </c>
      <c r="F12" s="314"/>
      <c r="G12" s="318">
        <f ca="1">DATA!$D$11/1000000</f>
        <v>4.7436428651879998</v>
      </c>
      <c r="H12" s="318">
        <f>C12*DATA!$D$5/1000000</f>
        <v>17.17254072684349</v>
      </c>
      <c r="I12" s="318">
        <f>(C12*DATA!$D$5*DATA!$D$7)/1000000</f>
        <v>0.38638216635397854</v>
      </c>
      <c r="J12" s="316">
        <f t="shared" ca="1" si="1"/>
        <v>22.30256575838547</v>
      </c>
      <c r="K12" s="314"/>
      <c r="L12" s="316">
        <f>((D12*DATA!$D$23)/1000000)+((E12*DATA!$D$24)/1000000)</f>
        <v>22.884048</v>
      </c>
      <c r="M12" s="316">
        <f t="shared" si="2"/>
        <v>22.884048</v>
      </c>
      <c r="N12" s="316">
        <f t="shared" ca="1" si="6"/>
        <v>0.58148224161453044</v>
      </c>
      <c r="O12" s="315">
        <f>1/(1+'[93]Asumsi I'!$C$3)^(KKF!A12)</f>
        <v>0.56742685571859919</v>
      </c>
      <c r="P12" s="316">
        <f t="shared" ca="1" si="7"/>
        <v>0.32994864001553581</v>
      </c>
      <c r="Q12" s="316">
        <f t="shared" ca="1" si="9"/>
        <v>-210.70458937339467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15840</v>
      </c>
      <c r="D13" s="316">
        <f t="shared" si="5"/>
        <v>2640</v>
      </c>
      <c r="E13" s="316">
        <f t="shared" si="0"/>
        <v>13200</v>
      </c>
      <c r="F13" s="314"/>
      <c r="G13" s="318">
        <f ca="1">DATA!$D$11/1000000</f>
        <v>4.7436428651879998</v>
      </c>
      <c r="H13" s="318">
        <f>C13*DATA!$D$5/1000000</f>
        <v>17.17254072684349</v>
      </c>
      <c r="I13" s="318">
        <f>(C13*DATA!$D$5*DATA!$D$7)/1000000</f>
        <v>0.38638216635397854</v>
      </c>
      <c r="J13" s="316">
        <f t="shared" ca="1" si="1"/>
        <v>22.30256575838547</v>
      </c>
      <c r="K13" s="314"/>
      <c r="L13" s="316">
        <f>((D13*DATA!$D$23)/1000000)+((E13*DATA!$D$24)/1000000)</f>
        <v>22.884048</v>
      </c>
      <c r="M13" s="316">
        <f t="shared" si="2"/>
        <v>22.884048</v>
      </c>
      <c r="N13" s="316">
        <f t="shared" ca="1" si="6"/>
        <v>0.58148224161453044</v>
      </c>
      <c r="O13" s="315">
        <f>1/(1+'[93]Asumsi I'!$C$3)^(KKF!A13)</f>
        <v>0.50663112117732068</v>
      </c>
      <c r="P13" s="316">
        <f t="shared" ca="1" si="7"/>
        <v>0.29459700001387124</v>
      </c>
      <c r="Q13" s="316">
        <f t="shared" ca="1" si="9"/>
        <v>-210.40999237338079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15840</v>
      </c>
      <c r="D14" s="316">
        <f t="shared" si="5"/>
        <v>2640</v>
      </c>
      <c r="E14" s="316">
        <f t="shared" si="0"/>
        <v>13200</v>
      </c>
      <c r="F14" s="314"/>
      <c r="G14" s="318">
        <f ca="1">DATA!$D$11/1000000</f>
        <v>4.7436428651879998</v>
      </c>
      <c r="H14" s="318">
        <f>C14*DATA!$D$5/1000000</f>
        <v>17.17254072684349</v>
      </c>
      <c r="I14" s="318">
        <f>(C14*DATA!$D$5*DATA!$D$7)/1000000</f>
        <v>0.38638216635397854</v>
      </c>
      <c r="J14" s="316">
        <f t="shared" ca="1" si="1"/>
        <v>22.30256575838547</v>
      </c>
      <c r="K14" s="314"/>
      <c r="L14" s="316">
        <f>((D14*DATA!$D$23)/1000000)+((E14*DATA!$D$24)/1000000)</f>
        <v>22.884048</v>
      </c>
      <c r="M14" s="316">
        <f t="shared" si="2"/>
        <v>22.884048</v>
      </c>
      <c r="N14" s="316">
        <f t="shared" ca="1" si="6"/>
        <v>0.58148224161453044</v>
      </c>
      <c r="O14" s="315">
        <f>1/(1+'[93]Asumsi I'!$C$3)^(KKF!A14)</f>
        <v>0.45234921533689343</v>
      </c>
      <c r="P14" s="316">
        <f t="shared" ca="1" si="7"/>
        <v>0.26303303572667075</v>
      </c>
      <c r="Q14" s="316">
        <f t="shared" ca="1" si="9"/>
        <v>-210.14695933765412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15840</v>
      </c>
      <c r="D15" s="316">
        <f t="shared" si="5"/>
        <v>2640</v>
      </c>
      <c r="E15" s="316">
        <f t="shared" si="0"/>
        <v>13200</v>
      </c>
      <c r="F15" s="314"/>
      <c r="G15" s="318">
        <f ca="1">DATA!$D$11/1000000</f>
        <v>4.7436428651879998</v>
      </c>
      <c r="H15" s="318">
        <f>C15*DATA!$D$5/1000000</f>
        <v>17.17254072684349</v>
      </c>
      <c r="I15" s="318">
        <f>(C15*DATA!$D$5*DATA!$D$7)/1000000</f>
        <v>0.38638216635397854</v>
      </c>
      <c r="J15" s="316">
        <f t="shared" ca="1" si="1"/>
        <v>22.30256575838547</v>
      </c>
      <c r="K15" s="314"/>
      <c r="L15" s="316">
        <f>((D15*DATA!$D$23)/1000000)+((E15*DATA!$D$24)/1000000)</f>
        <v>22.884048</v>
      </c>
      <c r="M15" s="316">
        <f t="shared" si="2"/>
        <v>22.884048</v>
      </c>
      <c r="N15" s="316">
        <f t="shared" ca="1" si="6"/>
        <v>0.58148224161453044</v>
      </c>
      <c r="O15" s="315">
        <f>1/(1+'[93]Asumsi I'!$C$3)^(KKF!A15)</f>
        <v>0.4038832279793691</v>
      </c>
      <c r="P15" s="316">
        <f t="shared" ca="1" si="7"/>
        <v>0.23485092475595598</v>
      </c>
      <c r="Q15" s="316">
        <f t="shared" ca="1" si="9"/>
        <v>-209.91210841289816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15840</v>
      </c>
      <c r="D16" s="316">
        <f t="shared" si="5"/>
        <v>2640</v>
      </c>
      <c r="E16" s="316">
        <f t="shared" si="0"/>
        <v>13200</v>
      </c>
      <c r="F16" s="314"/>
      <c r="G16" s="318">
        <f ca="1">DATA!$D$11/1000000</f>
        <v>4.7436428651879998</v>
      </c>
      <c r="H16" s="318">
        <f>C16*DATA!$D$5/1000000</f>
        <v>17.17254072684349</v>
      </c>
      <c r="I16" s="318">
        <f>(C16*DATA!$D$5*DATA!$D$7)/1000000</f>
        <v>0.38638216635397854</v>
      </c>
      <c r="J16" s="316">
        <f t="shared" ca="1" si="1"/>
        <v>22.30256575838547</v>
      </c>
      <c r="K16" s="314"/>
      <c r="L16" s="316">
        <f>((D16*DATA!$D$23)/1000000)+((E16*DATA!$D$24)/1000000)</f>
        <v>22.884048</v>
      </c>
      <c r="M16" s="316">
        <f t="shared" si="2"/>
        <v>22.884048</v>
      </c>
      <c r="N16" s="316">
        <f t="shared" ca="1" si="6"/>
        <v>0.58148224161453044</v>
      </c>
      <c r="O16" s="315">
        <f>1/(1+'[93]Asumsi I'!$C$3)^(KKF!A16)</f>
        <v>0.36061002498157957</v>
      </c>
      <c r="P16" s="316">
        <f t="shared" ca="1" si="7"/>
        <v>0.20968832567496071</v>
      </c>
      <c r="Q16" s="316">
        <f t="shared" ca="1" si="9"/>
        <v>-209.7024200872232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15840</v>
      </c>
      <c r="D17" s="316">
        <f t="shared" si="5"/>
        <v>2640</v>
      </c>
      <c r="E17" s="316">
        <f t="shared" si="0"/>
        <v>13200</v>
      </c>
      <c r="F17" s="314"/>
      <c r="G17" s="318">
        <f ca="1">DATA!$D$11/1000000</f>
        <v>4.7436428651879998</v>
      </c>
      <c r="H17" s="318">
        <f>C17*DATA!$D$5/1000000</f>
        <v>17.17254072684349</v>
      </c>
      <c r="I17" s="318">
        <f>(C17*DATA!$D$5*DATA!$D$7)/1000000</f>
        <v>0.38638216635397854</v>
      </c>
      <c r="J17" s="316">
        <f t="shared" ca="1" si="1"/>
        <v>22.30256575838547</v>
      </c>
      <c r="K17" s="314"/>
      <c r="L17" s="316">
        <f>((D17*DATA!$D$23)/1000000)+((E17*DATA!$D$24)/1000000)</f>
        <v>22.884048</v>
      </c>
      <c r="M17" s="316">
        <f t="shared" si="2"/>
        <v>22.884048</v>
      </c>
      <c r="N17" s="316">
        <f t="shared" ca="1" si="6"/>
        <v>0.58148224161453044</v>
      </c>
      <c r="O17" s="315">
        <f>1/(1+'[93]Asumsi I'!$C$3)^(KKF!A17)</f>
        <v>0.32197323659069599</v>
      </c>
      <c r="P17" s="316">
        <f t="shared" ca="1" si="7"/>
        <v>0.18722171935264345</v>
      </c>
      <c r="Q17" s="316">
        <f t="shared" ca="1" si="9"/>
        <v>-209.51519836787057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15840</v>
      </c>
      <c r="D18" s="316">
        <f t="shared" si="5"/>
        <v>2640</v>
      </c>
      <c r="E18" s="316">
        <f t="shared" si="0"/>
        <v>13200</v>
      </c>
      <c r="F18" s="314"/>
      <c r="G18" s="318">
        <f ca="1">DATA!$D$11/1000000</f>
        <v>4.7436428651879998</v>
      </c>
      <c r="H18" s="318">
        <f>C18*DATA!$D$5/1000000</f>
        <v>17.17254072684349</v>
      </c>
      <c r="I18" s="318">
        <f>(C18*DATA!$D$5*DATA!$D$7)/1000000</f>
        <v>0.38638216635397854</v>
      </c>
      <c r="J18" s="316">
        <f t="shared" ca="1" si="1"/>
        <v>22.30256575838547</v>
      </c>
      <c r="K18" s="314"/>
      <c r="L18" s="316">
        <f>((D18*DATA!$D$23)/1000000)+((E18*DATA!$D$24)/1000000)</f>
        <v>22.884048</v>
      </c>
      <c r="M18" s="316">
        <f t="shared" si="2"/>
        <v>22.884048</v>
      </c>
      <c r="N18" s="316">
        <f t="shared" ca="1" si="6"/>
        <v>0.58148224161453044</v>
      </c>
      <c r="O18" s="315">
        <f>1/(1+'[93]Asumsi I'!$C$3)^(KKF!A18)</f>
        <v>0.28747610409883567</v>
      </c>
      <c r="P18" s="316">
        <f t="shared" ca="1" si="7"/>
        <v>0.16716224942200306</v>
      </c>
      <c r="Q18" s="316">
        <f t="shared" ca="1" si="9"/>
        <v>-209.34803611844856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15840</v>
      </c>
      <c r="D19" s="316">
        <f t="shared" si="5"/>
        <v>2640</v>
      </c>
      <c r="E19" s="316">
        <f t="shared" si="0"/>
        <v>13200</v>
      </c>
      <c r="F19" s="314"/>
      <c r="G19" s="318">
        <f ca="1">DATA!$D$11/1000000</f>
        <v>4.7436428651879998</v>
      </c>
      <c r="H19" s="318">
        <f>C19*DATA!$D$5/1000000</f>
        <v>17.17254072684349</v>
      </c>
      <c r="I19" s="318">
        <f>(C19*DATA!$D$5*DATA!$D$7)/1000000</f>
        <v>0.38638216635397854</v>
      </c>
      <c r="J19" s="316">
        <f t="shared" ca="1" si="1"/>
        <v>22.30256575838547</v>
      </c>
      <c r="K19" s="314"/>
      <c r="L19" s="316">
        <f>((D19*DATA!$D$23)/1000000)+((E19*DATA!$D$24)/1000000)</f>
        <v>22.884048</v>
      </c>
      <c r="M19" s="316">
        <f t="shared" si="2"/>
        <v>22.884048</v>
      </c>
      <c r="N19" s="316">
        <f t="shared" ca="1" si="6"/>
        <v>0.58148224161453044</v>
      </c>
      <c r="O19" s="315">
        <f>1/(1+'[93]Asumsi I'!$C$3)^(KKF!A19)</f>
        <v>0.25667509294538904</v>
      </c>
      <c r="P19" s="316">
        <f t="shared" ca="1" si="7"/>
        <v>0.14925200841250277</v>
      </c>
      <c r="Q19" s="316">
        <f t="shared" ca="1" si="9"/>
        <v>-209.19878411003606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15840</v>
      </c>
      <c r="D20" s="316">
        <f t="shared" si="5"/>
        <v>2640</v>
      </c>
      <c r="E20" s="316">
        <f t="shared" si="0"/>
        <v>13200</v>
      </c>
      <c r="F20" s="314"/>
      <c r="G20" s="318">
        <f ca="1">DATA!$D$11/1000000</f>
        <v>4.7436428651879998</v>
      </c>
      <c r="H20" s="318">
        <f>C20*DATA!$D$5/1000000</f>
        <v>17.17254072684349</v>
      </c>
      <c r="I20" s="318">
        <f>(C20*DATA!$D$5*DATA!$D$7)/1000000</f>
        <v>0.38638216635397854</v>
      </c>
      <c r="J20" s="316">
        <f t="shared" ca="1" si="1"/>
        <v>22.30256575838547</v>
      </c>
      <c r="K20" s="314"/>
      <c r="L20" s="316">
        <f>((D20*DATA!$D$23)/1000000)+((E20*DATA!$D$24)/1000000)</f>
        <v>22.884048</v>
      </c>
      <c r="M20" s="316">
        <f t="shared" si="2"/>
        <v>22.884048</v>
      </c>
      <c r="N20" s="316">
        <f t="shared" ca="1" si="6"/>
        <v>0.58148224161453044</v>
      </c>
      <c r="O20" s="315">
        <f>1/(1+'[93]Asumsi I'!$C$3)^(KKF!A20)</f>
        <v>0.22917419012981158</v>
      </c>
      <c r="P20" s="316">
        <f t="shared" ca="1" si="7"/>
        <v>0.13326072179687742</v>
      </c>
      <c r="Q20" s="316">
        <f t="shared" ca="1" si="9"/>
        <v>-209.06552338823917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15840</v>
      </c>
      <c r="D21" s="316">
        <f t="shared" si="5"/>
        <v>2640</v>
      </c>
      <c r="E21" s="316">
        <f t="shared" si="0"/>
        <v>13200</v>
      </c>
      <c r="F21" s="314"/>
      <c r="G21" s="318">
        <f ca="1">DATA!$D$11/1000000</f>
        <v>4.7436428651879998</v>
      </c>
      <c r="H21" s="318">
        <f>C21*DATA!$D$5/1000000</f>
        <v>17.17254072684349</v>
      </c>
      <c r="I21" s="318">
        <f>(C21*DATA!$D$5*DATA!$D$7)/1000000</f>
        <v>0.38638216635397854</v>
      </c>
      <c r="J21" s="316">
        <f t="shared" ca="1" si="1"/>
        <v>22.30256575838547</v>
      </c>
      <c r="K21" s="314"/>
      <c r="L21" s="316">
        <f>((D21*DATA!$D$23)/1000000)+((E21*DATA!$D$24)/1000000)</f>
        <v>22.884048</v>
      </c>
      <c r="M21" s="316">
        <f t="shared" si="2"/>
        <v>22.884048</v>
      </c>
      <c r="N21" s="316">
        <f t="shared" ca="1" si="6"/>
        <v>0.58148224161453044</v>
      </c>
      <c r="O21" s="315">
        <f>1/(1+'[93]Asumsi I'!$C$3)^(KKF!A21)</f>
        <v>0.20461981261590317</v>
      </c>
      <c r="P21" s="316">
        <f t="shared" ca="1" si="7"/>
        <v>0.11898278731864055</v>
      </c>
      <c r="Q21" s="316">
        <f t="shared" ca="1" si="9"/>
        <v>-208.94654060092054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15840</v>
      </c>
      <c r="D22" s="316">
        <f t="shared" si="5"/>
        <v>2640</v>
      </c>
      <c r="E22" s="316">
        <f t="shared" si="0"/>
        <v>13200</v>
      </c>
      <c r="F22" s="314"/>
      <c r="G22" s="318">
        <f ca="1">DATA!$D$11/1000000</f>
        <v>4.7436428651879998</v>
      </c>
      <c r="H22" s="318">
        <f>C22*DATA!$D$5/1000000</f>
        <v>17.17254072684349</v>
      </c>
      <c r="I22" s="318">
        <f>(C22*DATA!$D$5*DATA!$D$7)/1000000</f>
        <v>0.38638216635397854</v>
      </c>
      <c r="J22" s="316">
        <f t="shared" ca="1" si="1"/>
        <v>22.30256575838547</v>
      </c>
      <c r="K22" s="314"/>
      <c r="L22" s="316">
        <f>((D22*DATA!$D$23)/1000000)+((E22*DATA!$D$24)/1000000)</f>
        <v>22.884048</v>
      </c>
      <c r="M22" s="316">
        <f t="shared" si="2"/>
        <v>22.884048</v>
      </c>
      <c r="N22" s="316">
        <f t="shared" ca="1" si="6"/>
        <v>0.58148224161453044</v>
      </c>
      <c r="O22" s="315">
        <f>1/(1+'[93]Asumsi I'!$C$3)^(KKF!A22)</f>
        <v>0.18269626126419927</v>
      </c>
      <c r="P22" s="316">
        <f t="shared" ca="1" si="7"/>
        <v>0.1062346315345005</v>
      </c>
      <c r="Q22" s="316">
        <f t="shared" ca="1" si="9"/>
        <v>-208.84030596938604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15840</v>
      </c>
      <c r="D23" s="316">
        <f t="shared" si="5"/>
        <v>2640</v>
      </c>
      <c r="E23" s="316">
        <f t="shared" si="0"/>
        <v>13200</v>
      </c>
      <c r="F23" s="314"/>
      <c r="G23" s="318">
        <f ca="1">DATA!$D$11/1000000</f>
        <v>4.7436428651879998</v>
      </c>
      <c r="H23" s="318">
        <f>C23*DATA!$D$5/1000000</f>
        <v>17.17254072684349</v>
      </c>
      <c r="I23" s="318">
        <f>(C23*DATA!$D$5*DATA!$D$7)/1000000</f>
        <v>0.38638216635397854</v>
      </c>
      <c r="J23" s="316">
        <f t="shared" ca="1" si="1"/>
        <v>22.30256575838547</v>
      </c>
      <c r="K23" s="314"/>
      <c r="L23" s="316">
        <f>((D23*DATA!$D$23)/1000000)+((E23*DATA!$D$24)/1000000)</f>
        <v>22.884048</v>
      </c>
      <c r="M23" s="316">
        <f t="shared" si="2"/>
        <v>22.884048</v>
      </c>
      <c r="N23" s="316">
        <f t="shared" ca="1" si="6"/>
        <v>0.58148224161453044</v>
      </c>
      <c r="O23" s="315">
        <f>1/(1+'[93]Asumsi I'!$C$3)^(KKF!A23)</f>
        <v>0.16312166184303503</v>
      </c>
      <c r="P23" s="316">
        <f t="shared" ca="1" si="7"/>
        <v>9.4852349584375426E-2</v>
      </c>
      <c r="Q23" s="316">
        <f t="shared" ca="1" si="9"/>
        <v>-208.74545361980165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15840</v>
      </c>
      <c r="D24" s="316">
        <f t="shared" si="5"/>
        <v>2640</v>
      </c>
      <c r="E24" s="316">
        <f t="shared" si="0"/>
        <v>13200</v>
      </c>
      <c r="F24" s="314"/>
      <c r="G24" s="318">
        <f ca="1">DATA!$D$11/1000000</f>
        <v>4.7436428651879998</v>
      </c>
      <c r="H24" s="318">
        <f>C24*DATA!$D$5/1000000</f>
        <v>17.17254072684349</v>
      </c>
      <c r="I24" s="318">
        <f>(C24*DATA!$D$5*DATA!$D$7)/1000000</f>
        <v>0.38638216635397854</v>
      </c>
      <c r="J24" s="316">
        <f t="shared" ca="1" si="1"/>
        <v>22.30256575838547</v>
      </c>
      <c r="K24" s="314"/>
      <c r="L24" s="316">
        <f>((D24*DATA!$D$23)/1000000)+((E24*DATA!$D$24)/1000000)</f>
        <v>22.884048</v>
      </c>
      <c r="M24" s="316">
        <f t="shared" si="2"/>
        <v>22.884048</v>
      </c>
      <c r="N24" s="316">
        <f t="shared" ca="1" si="6"/>
        <v>0.58148224161453044</v>
      </c>
      <c r="O24" s="315">
        <f>1/(1+'[93]Asumsi I'!$C$3)^(KKF!A24)</f>
        <v>0.14564434093128129</v>
      </c>
      <c r="P24" s="316">
        <f t="shared" ca="1" si="7"/>
        <v>8.4689597843192355E-2</v>
      </c>
      <c r="Q24" s="316">
        <f t="shared" ca="1" si="9"/>
        <v>-208.66076402195847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15840</v>
      </c>
      <c r="D25" s="316">
        <f t="shared" si="5"/>
        <v>2640</v>
      </c>
      <c r="E25" s="316">
        <f t="shared" si="0"/>
        <v>13200</v>
      </c>
      <c r="F25" s="314"/>
      <c r="G25" s="318">
        <f ca="1">DATA!$D$11/1000000</f>
        <v>4.7436428651879998</v>
      </c>
      <c r="H25" s="318">
        <f>C25*DATA!$D$5/1000000</f>
        <v>17.17254072684349</v>
      </c>
      <c r="I25" s="318">
        <f>(C25*DATA!$D$5*DATA!$D$7)/1000000</f>
        <v>0.38638216635397854</v>
      </c>
      <c r="J25" s="316">
        <f t="shared" ca="1" si="1"/>
        <v>22.30256575838547</v>
      </c>
      <c r="K25" s="314"/>
      <c r="L25" s="316">
        <f>((D25*DATA!$D$23)/1000000)+((E25*DATA!$D$24)/1000000)</f>
        <v>22.884048</v>
      </c>
      <c r="M25" s="316">
        <f t="shared" si="2"/>
        <v>22.884048</v>
      </c>
      <c r="N25" s="316">
        <f t="shared" ca="1" si="6"/>
        <v>0.58148224161453044</v>
      </c>
      <c r="O25" s="315">
        <f>1/(1+'[93]Asumsi I'!$C$3)^(KKF!A25)</f>
        <v>0.13003959011721541</v>
      </c>
      <c r="P25" s="316">
        <f t="shared" ca="1" si="7"/>
        <v>7.5615712359993162E-2</v>
      </c>
      <c r="Q25" s="316">
        <f t="shared" ca="1" si="9"/>
        <v>-208.58514830959848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15840</v>
      </c>
      <c r="D26" s="316">
        <f t="shared" si="5"/>
        <v>2640</v>
      </c>
      <c r="E26" s="316">
        <f t="shared" si="0"/>
        <v>13200</v>
      </c>
      <c r="F26" s="314"/>
      <c r="G26" s="318">
        <f ca="1">DATA!$D$11/1000000</f>
        <v>4.7436428651879998</v>
      </c>
      <c r="H26" s="318">
        <f>C26*DATA!$D$5/1000000</f>
        <v>17.17254072684349</v>
      </c>
      <c r="I26" s="318">
        <f>(C26*DATA!$D$5*DATA!$D$7)/1000000</f>
        <v>0.38638216635397854</v>
      </c>
      <c r="J26" s="316">
        <f t="shared" ca="1" si="1"/>
        <v>22.30256575838547</v>
      </c>
      <c r="K26" s="314"/>
      <c r="L26" s="316">
        <f>((D26*DATA!$D$23)/1000000)+((E26*DATA!$D$24)/1000000)</f>
        <v>22.884048</v>
      </c>
      <c r="M26" s="316">
        <f t="shared" si="2"/>
        <v>22.884048</v>
      </c>
      <c r="N26" s="316">
        <f t="shared" ca="1" si="6"/>
        <v>0.58148224161453044</v>
      </c>
      <c r="O26" s="315">
        <f>1/(1+'[93]Asumsi I'!$C$3)^(KKF!A26)</f>
        <v>0.1161067768903709</v>
      </c>
      <c r="P26" s="316">
        <f t="shared" ca="1" si="7"/>
        <v>6.7514028892851033E-2</v>
      </c>
      <c r="Q26" s="316">
        <f t="shared" ca="1" si="9"/>
        <v>-208.51763428070564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15840</v>
      </c>
      <c r="D27" s="316">
        <f t="shared" si="5"/>
        <v>2640</v>
      </c>
      <c r="E27" s="316">
        <f t="shared" si="0"/>
        <v>13200</v>
      </c>
      <c r="F27" s="314"/>
      <c r="G27" s="318">
        <f ca="1">DATA!$D$11/1000000</f>
        <v>4.7436428651879998</v>
      </c>
      <c r="H27" s="318">
        <f>C27*DATA!$D$5/1000000</f>
        <v>17.17254072684349</v>
      </c>
      <c r="I27" s="318">
        <f>(C27*DATA!$D$5*DATA!$D$7)/1000000</f>
        <v>0.38638216635397854</v>
      </c>
      <c r="J27" s="316">
        <f t="shared" ca="1" si="1"/>
        <v>22.30256575838547</v>
      </c>
      <c r="K27" s="314"/>
      <c r="L27" s="316">
        <f>((D27*DATA!$D$23)/1000000)+((E27*DATA!$D$24)/1000000)</f>
        <v>22.884048</v>
      </c>
      <c r="M27" s="316">
        <f t="shared" si="2"/>
        <v>22.884048</v>
      </c>
      <c r="N27" s="316">
        <f t="shared" ca="1" si="6"/>
        <v>0.58148224161453044</v>
      </c>
      <c r="O27" s="315">
        <f>1/(1+'[93]Asumsi I'!$C$3)^(KKF!A27)</f>
        <v>0.1036667650806883</v>
      </c>
      <c r="P27" s="316">
        <f t="shared" ca="1" si="7"/>
        <v>6.0280382940045563E-2</v>
      </c>
      <c r="Q27" s="316">
        <f t="shared" ca="1" si="9"/>
        <v>-208.45735389776559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15840</v>
      </c>
      <c r="D28" s="316">
        <f t="shared" si="5"/>
        <v>2640</v>
      </c>
      <c r="E28" s="316">
        <f t="shared" si="0"/>
        <v>13200</v>
      </c>
      <c r="F28" s="314"/>
      <c r="G28" s="318">
        <f ca="1">DATA!$D$11/1000000</f>
        <v>4.7436428651879998</v>
      </c>
      <c r="H28" s="318">
        <f>C28*DATA!$D$5/1000000</f>
        <v>17.17254072684349</v>
      </c>
      <c r="I28" s="318">
        <f>(C28*DATA!$D$5*DATA!$D$7)/1000000</f>
        <v>0.38638216635397854</v>
      </c>
      <c r="J28" s="316">
        <f t="shared" ca="1" si="1"/>
        <v>22.30256575838547</v>
      </c>
      <c r="K28" s="314"/>
      <c r="L28" s="316">
        <f>((D28*DATA!$D$23)/1000000)+((E28*DATA!$D$24)/1000000)</f>
        <v>22.884048</v>
      </c>
      <c r="M28" s="316">
        <f t="shared" si="2"/>
        <v>22.884048</v>
      </c>
      <c r="N28" s="316">
        <f t="shared" ca="1" si="6"/>
        <v>0.58148224161453044</v>
      </c>
      <c r="O28" s="315">
        <f>1/(1+'[93]Asumsi I'!$C$3)^(KKF!A28)</f>
        <v>9.2559611679185971E-2</v>
      </c>
      <c r="P28" s="316">
        <f t="shared" ca="1" si="7"/>
        <v>5.3821770482183527E-2</v>
      </c>
      <c r="Q28" s="316">
        <f t="shared" ca="1" si="9"/>
        <v>-208.4035321272834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15840</v>
      </c>
      <c r="D29" s="316">
        <f t="shared" si="5"/>
        <v>2640</v>
      </c>
      <c r="E29" s="316">
        <f t="shared" si="0"/>
        <v>13200</v>
      </c>
      <c r="F29" s="314"/>
      <c r="G29" s="318">
        <f ca="1">DATA!$D$11/1000000</f>
        <v>4.7436428651879998</v>
      </c>
      <c r="H29" s="318">
        <f>C29*DATA!$D$5/1000000</f>
        <v>17.17254072684349</v>
      </c>
      <c r="I29" s="318">
        <f>(C29*DATA!$D$5*DATA!$D$7)/1000000</f>
        <v>0.38638216635397854</v>
      </c>
      <c r="J29" s="316">
        <f t="shared" ca="1" si="1"/>
        <v>22.30256575838547</v>
      </c>
      <c r="K29" s="314"/>
      <c r="L29" s="316">
        <f>((D29*DATA!$D$23)/1000000)+((E29*DATA!$D$24)/1000000)</f>
        <v>22.884048</v>
      </c>
      <c r="M29" s="316">
        <f t="shared" si="2"/>
        <v>22.884048</v>
      </c>
      <c r="N29" s="316">
        <f t="shared" ca="1" si="6"/>
        <v>0.58148224161453044</v>
      </c>
      <c r="O29" s="315">
        <f>1/(1+'[93]Asumsi I'!$C$3)^(KKF!A29)</f>
        <v>8.2642510427844609E-2</v>
      </c>
      <c r="P29" s="316">
        <f t="shared" ca="1" si="7"/>
        <v>4.805515221623529E-2</v>
      </c>
      <c r="Q29" s="316">
        <f t="shared" ca="1" si="9"/>
        <v>-208.35547697506718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15840</v>
      </c>
      <c r="D30" s="316">
        <f t="shared" si="5"/>
        <v>2640</v>
      </c>
      <c r="E30" s="316">
        <f t="shared" si="0"/>
        <v>13200</v>
      </c>
      <c r="F30" s="314"/>
      <c r="G30" s="318">
        <f ca="1">DATA!$D$11/1000000</f>
        <v>4.7436428651879998</v>
      </c>
      <c r="H30" s="318">
        <f>C30*DATA!$D$5/1000000</f>
        <v>17.17254072684349</v>
      </c>
      <c r="I30" s="318">
        <f>(C30*DATA!$D$5*DATA!$D$7)/1000000</f>
        <v>0.38638216635397854</v>
      </c>
      <c r="J30" s="316">
        <f t="shared" ca="1" si="1"/>
        <v>22.30256575838547</v>
      </c>
      <c r="K30" s="314"/>
      <c r="L30" s="316">
        <f>((D30*DATA!$D$23)/1000000)+((E30*DATA!$D$24)/1000000)</f>
        <v>22.884048</v>
      </c>
      <c r="M30" s="316">
        <f t="shared" si="2"/>
        <v>22.884048</v>
      </c>
      <c r="N30" s="316">
        <f t="shared" ca="1" si="6"/>
        <v>0.58148224161453044</v>
      </c>
      <c r="O30" s="315">
        <f>1/(1+'[93]Asumsi I'!$C$3)^(KKF!A30)</f>
        <v>7.3787955739146982E-2</v>
      </c>
      <c r="P30" s="316">
        <f t="shared" ca="1" si="7"/>
        <v>4.2906385907352941E-2</v>
      </c>
      <c r="Q30" s="316">
        <f t="shared" ca="1" si="9"/>
        <v>-208.31257058915983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15840</v>
      </c>
      <c r="D31" s="316">
        <f t="shared" si="5"/>
        <v>2640</v>
      </c>
      <c r="E31" s="316">
        <f t="shared" si="0"/>
        <v>13200</v>
      </c>
      <c r="F31" s="314"/>
      <c r="G31" s="318">
        <f ca="1">DATA!$D$11/1000000</f>
        <v>4.7436428651879998</v>
      </c>
      <c r="H31" s="318">
        <f>C31*DATA!$D$5/1000000</f>
        <v>17.17254072684349</v>
      </c>
      <c r="I31" s="318">
        <f>(C31*DATA!$D$5*DATA!$D$7)/1000000</f>
        <v>0.38638216635397854</v>
      </c>
      <c r="J31" s="316">
        <f t="shared" ca="1" si="1"/>
        <v>22.30256575838547</v>
      </c>
      <c r="K31" s="314"/>
      <c r="L31" s="316">
        <f>((D31*DATA!$D$23)/1000000)+((E31*DATA!$D$24)/1000000)</f>
        <v>22.884048</v>
      </c>
      <c r="M31" s="316">
        <f t="shared" si="2"/>
        <v>22.884048</v>
      </c>
      <c r="N31" s="316">
        <f t="shared" ca="1" si="6"/>
        <v>0.58148224161453044</v>
      </c>
      <c r="O31" s="315">
        <f>1/(1+'[93]Asumsi I'!$C$3)^(KKF!A31)</f>
        <v>6.5882103338524081E-2</v>
      </c>
      <c r="P31" s="316">
        <f t="shared" ca="1" si="7"/>
        <v>3.8309273131565125E-2</v>
      </c>
      <c r="Q31" s="316">
        <f ca="1">Q30+P31</f>
        <v>-208.27426131602826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15840</v>
      </c>
      <c r="D32" s="316">
        <f t="shared" si="5"/>
        <v>2640</v>
      </c>
      <c r="E32" s="316">
        <f t="shared" si="0"/>
        <v>13200</v>
      </c>
      <c r="F32" s="314"/>
      <c r="G32" s="318">
        <f ca="1">DATA!$D$11/1000000</f>
        <v>4.7436428651879998</v>
      </c>
      <c r="H32" s="318">
        <f>C32*DATA!$D$5/1000000</f>
        <v>17.17254072684349</v>
      </c>
      <c r="I32" s="318">
        <f>(C32*DATA!$D$5*DATA!$D$7)/1000000</f>
        <v>0.38638216635397854</v>
      </c>
      <c r="J32" s="316">
        <f t="shared" ca="1" si="1"/>
        <v>22.30256575838547</v>
      </c>
      <c r="K32" s="314"/>
      <c r="L32" s="316">
        <f>((D32*DATA!$D$23)/1000000)+((E32*DATA!$D$24)/1000000)</f>
        <v>22.884048</v>
      </c>
      <c r="M32" s="316">
        <f t="shared" si="2"/>
        <v>22.884048</v>
      </c>
      <c r="N32" s="316">
        <f t="shared" ca="1" si="6"/>
        <v>0.58148224161453044</v>
      </c>
      <c r="O32" s="315">
        <f>1/(1+'[93]Asumsi I'!$C$3)^(KKF!A32)</f>
        <v>5.8823306552253637E-2</v>
      </c>
      <c r="P32" s="316">
        <f t="shared" ca="1" si="7"/>
        <v>3.420470815318314E-2</v>
      </c>
      <c r="Q32" s="316">
        <f ca="1">Q31+P32</f>
        <v>-208.24005660787506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1373</v>
      </c>
      <c r="G33" s="610"/>
      <c r="H33" s="610"/>
      <c r="I33" s="324"/>
      <c r="J33" s="325">
        <f ca="1">SUM(J7:J32)</f>
        <v>811.1958786796904</v>
      </c>
      <c r="K33" s="610" t="s">
        <v>1374</v>
      </c>
      <c r="L33" s="610"/>
      <c r="M33" s="325">
        <f>SUM(M7:M32)</f>
        <v>612.93223200000011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1375</v>
      </c>
      <c r="Q34" s="330">
        <f ca="1">+J7/N32</f>
        <v>436.18139397658103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1376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1377</v>
      </c>
      <c r="Q36" s="333">
        <f ca="1">M33/J33</f>
        <v>0.75559090980296162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1027</v>
      </c>
      <c r="Q37" s="334">
        <f ca="1">+NPV(0.12,N7:N32)</f>
        <v>-185.92862197131703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1028</v>
      </c>
      <c r="Q38" s="335">
        <f ca="1">IRR(N7:N32,DATA!D4)</f>
        <v>-0.14826690094215667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32" priority="1" stopIfTrue="1" operator="greaterThanOrEqual">
      <formula>$F$7</formula>
    </cfRule>
    <cfRule type="cellIs" dxfId="31" priority="2" stopIfTrue="1" operator="lessThan">
      <formula>$F$7</formula>
    </cfRule>
  </conditionalFormatting>
  <conditionalFormatting sqref="Q7:Q32">
    <cfRule type="cellIs" dxfId="30" priority="3" operator="lessThan">
      <formula>0</formula>
    </cfRule>
    <cfRule type="cellIs" dxfId="29" priority="4" operator="lessThan">
      <formula>0</formula>
    </cfRule>
    <cfRule type="cellIs" dxfId="28" priority="5" operator="lessThan">
      <formula>-6395.81</formula>
    </cfRule>
    <cfRule type="cellIs" dxfId="2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250"/>
  <sheetViews>
    <sheetView showGridLines="0" zoomScale="70" zoomScaleNormal="70" zoomScaleSheetLayoutView="70" workbookViewId="0">
      <pane ySplit="13" topLeftCell="A149" activePane="bottomLeft" state="frozen"/>
      <selection activeCell="H1093" sqref="H1093"/>
      <selection pane="bottomLeft" activeCell="M163" sqref="M16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1008</v>
      </c>
      <c r="D1" s="339"/>
      <c r="U1" s="336"/>
    </row>
    <row r="2" spans="1:22">
      <c r="C2" s="338" t="s">
        <v>1347</v>
      </c>
      <c r="D2" s="339"/>
      <c r="T2" s="344"/>
      <c r="U2" s="345" t="s">
        <v>1035</v>
      </c>
      <c r="V2" s="344"/>
    </row>
    <row r="3" spans="1:22">
      <c r="C3" s="338" t="s">
        <v>1439</v>
      </c>
      <c r="D3" s="339"/>
      <c r="O3" s="613" t="s">
        <v>1035</v>
      </c>
      <c r="P3" s="613"/>
      <c r="Q3" s="346"/>
      <c r="T3" s="344"/>
      <c r="U3" s="345" t="s">
        <v>1040</v>
      </c>
      <c r="V3" s="344"/>
    </row>
    <row r="4" spans="1:22" ht="18.75">
      <c r="B4" s="614" t="s">
        <v>1022</v>
      </c>
      <c r="C4" s="614"/>
      <c r="D4" s="614"/>
      <c r="E4" s="614"/>
      <c r="F4" s="614"/>
      <c r="G4" s="614"/>
      <c r="H4" s="614"/>
      <c r="I4" s="614"/>
      <c r="J4" s="614"/>
      <c r="K4" s="614"/>
      <c r="O4" s="613"/>
      <c r="P4" s="61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1036</v>
      </c>
      <c r="F6" s="349" t="s">
        <v>9</v>
      </c>
      <c r="G6" s="630" t="str">
        <f>DATA!D14</f>
        <v>ES KRISTAL ABDUL MUIZ</v>
      </c>
      <c r="H6" s="630"/>
      <c r="I6" s="630"/>
      <c r="J6" s="630"/>
      <c r="K6" s="630"/>
      <c r="T6" s="344"/>
      <c r="U6" s="345"/>
      <c r="V6" s="344"/>
    </row>
    <row r="7" spans="1:22">
      <c r="C7" s="347"/>
      <c r="D7" s="339"/>
      <c r="E7" s="348" t="s">
        <v>1037</v>
      </c>
      <c r="F7" s="349" t="s">
        <v>9</v>
      </c>
      <c r="G7" s="348" t="s">
        <v>1646</v>
      </c>
      <c r="J7" s="350"/>
      <c r="T7" s="344"/>
      <c r="U7" s="345"/>
      <c r="V7" s="344"/>
    </row>
    <row r="8" spans="1:22">
      <c r="C8" s="347"/>
      <c r="D8" s="339"/>
      <c r="E8" s="348" t="s">
        <v>1038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1039</v>
      </c>
      <c r="F9" s="349" t="s">
        <v>9</v>
      </c>
      <c r="G9" s="348" t="s">
        <v>1552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6" t="s">
        <v>0</v>
      </c>
      <c r="C11" s="618" t="s">
        <v>1</v>
      </c>
      <c r="D11" s="621" t="s">
        <v>42</v>
      </c>
      <c r="E11" s="621" t="s">
        <v>43</v>
      </c>
      <c r="F11" s="621" t="s">
        <v>2</v>
      </c>
      <c r="G11" s="623" t="s">
        <v>41</v>
      </c>
      <c r="H11" s="621" t="s">
        <v>3</v>
      </c>
      <c r="I11" s="621"/>
      <c r="J11" s="621"/>
      <c r="K11" s="640"/>
      <c r="O11" s="351"/>
      <c r="P11" s="352"/>
      <c r="Q11" s="351"/>
      <c r="S11" s="353"/>
      <c r="T11" s="354"/>
      <c r="U11" s="354"/>
      <c r="V11" s="354"/>
    </row>
    <row r="12" spans="1:22">
      <c r="B12" s="617"/>
      <c r="C12" s="619"/>
      <c r="D12" s="622"/>
      <c r="E12" s="622"/>
      <c r="F12" s="622"/>
      <c r="G12" s="624"/>
      <c r="H12" s="626" t="s">
        <v>46</v>
      </c>
      <c r="I12" s="626" t="s">
        <v>5</v>
      </c>
      <c r="J12" s="622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7"/>
      <c r="C13" s="620"/>
      <c r="D13" s="622"/>
      <c r="E13" s="622"/>
      <c r="F13" s="622"/>
      <c r="G13" s="625"/>
      <c r="H13" s="627"/>
      <c r="I13" s="627"/>
      <c r="J13" s="622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1454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7" ca="1" si="4">IF(OR(D15="MDU",D15="MDU-KD"),(IF($O$3="RAB NON MDU","PLN KD",G15*F15)),0)</f>
        <v>0</v>
      </c>
      <c r="I15" s="361">
        <f t="shared" ref="I15:I17" ca="1" si="5">IF(D15="HDW",G15*F15,0)</f>
        <v>0</v>
      </c>
      <c r="J15" s="361">
        <f t="shared" ref="J15:J17" ca="1" si="6">IF(D15="JASA",G15*F15,0)</f>
        <v>0</v>
      </c>
      <c r="K15" s="362">
        <f t="shared" ref="K15:K17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>
        <v>1</v>
      </c>
      <c r="C16" s="109" t="s">
        <v>104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504">
        <v>1</v>
      </c>
      <c r="G16" s="360">
        <f ca="1">IF(ISERROR(OFFSET('HARGA SATUAN'!$I$6,MATCH(RAB!C16,'HARGA SATUAN'!$C$7:$C$1492,0),0)),0,OFFSET('HARGA SATUAN'!$I$6,MATCH(RAB!C16,'HARGA SATUAN'!$C$7:$C$1492,0),0))</f>
        <v>6074400</v>
      </c>
      <c r="H16" s="361">
        <f t="shared" ca="1" si="4"/>
        <v>0</v>
      </c>
      <c r="I16" s="361">
        <f t="shared" ca="1" si="5"/>
        <v>6074400</v>
      </c>
      <c r="J16" s="361">
        <f t="shared" ca="1" si="6"/>
        <v>0</v>
      </c>
      <c r="K16" s="362">
        <f t="shared" ca="1" si="7"/>
        <v>6074400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2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504">
        <v>1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5800000</v>
      </c>
      <c r="J17" s="361">
        <f t="shared" ca="1" si="6"/>
        <v>0</v>
      </c>
      <c r="K17" s="362">
        <f t="shared" ca="1" si="7"/>
        <v>5800000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3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504">
        <v>1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ref="H18" ca="1" si="8">IF(OR(D18="MDU",D18="MDU-KD"),(IF($O$3="RAB NON MDU","PLN KD",G18*F18)),0)</f>
        <v>0</v>
      </c>
      <c r="I18" s="361">
        <f t="shared" ref="I18" ca="1" si="9">IF(D18="HDW",G18*F18,0)</f>
        <v>3382600</v>
      </c>
      <c r="J18" s="361">
        <f t="shared" ref="J18" ca="1" si="10">IF(D18="JASA",G18*F18,0)</f>
        <v>0</v>
      </c>
      <c r="K18" s="362">
        <f t="shared" ref="K18" ca="1" si="11">SUM(H18:J18)</f>
        <v>3382600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56">
        <v>4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3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ref="H19:H170" ca="1" si="12">IF(OR(D19="MDU",D19="MDU-KD"),(IF($O$3="RAB NON MDU","PLN KD",G19*F19)),0)</f>
        <v>0</v>
      </c>
      <c r="I19" s="361">
        <f t="shared" ref="I19:I170" ca="1" si="13">IF(D19="HDW",G19*F19,0)</f>
        <v>0</v>
      </c>
      <c r="J19" s="361">
        <f t="shared" ref="J19:J170" ca="1" si="14">IF(D19="JASA",G19*F19,0)</f>
        <v>30200.000000000004</v>
      </c>
      <c r="K19" s="362">
        <f t="shared" ref="K19:K170" ca="1" si="15">SUM(H19:J19)</f>
        <v>30200.000000000004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5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4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12"/>
        <v>0</v>
      </c>
      <c r="I20" s="361">
        <f t="shared" ca="1" si="13"/>
        <v>200000</v>
      </c>
      <c r="J20" s="361">
        <f t="shared" ca="1" si="14"/>
        <v>0</v>
      </c>
      <c r="K20" s="362">
        <f t="shared" ca="1" si="15"/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1455</v>
      </c>
      <c r="C22" s="372" t="s">
        <v>1618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7"/>
      <c r="C23" s="498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499" t="s">
        <v>1034</v>
      </c>
      <c r="C24" s="723" t="s">
        <v>1627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368">
        <v>2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497">
        <v>1</v>
      </c>
      <c r="C25" s="109" t="s">
        <v>1568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Set</v>
      </c>
      <c r="F25" s="368">
        <f>F24*3</f>
        <v>6</v>
      </c>
      <c r="G25" s="360">
        <f ca="1">IF(ISERROR(OFFSET('HARGA SATUAN'!$I$6,MATCH(RAB!C25,'HARGA SATUAN'!$C$7:$C$1492,0),0)),0,OFFSET('HARGA SATUAN'!$I$6,MATCH(RAB!C25,'HARGA SATUAN'!$C$7:$C$1492,0),0))</f>
        <v>205700</v>
      </c>
      <c r="H25" s="361">
        <f t="shared" ca="1" si="12"/>
        <v>1234200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1234200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497">
        <v>2</v>
      </c>
      <c r="C26" s="498" t="s">
        <v>152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368">
        <f>F24*1</f>
        <v>2</v>
      </c>
      <c r="G26" s="360">
        <f ca="1">IF(ISERROR(OFFSET('HARGA SATUAN'!$I$6,MATCH(RAB!C26,'HARGA SATUAN'!$C$7:$C$1492,0),0)),0,OFFSET('HARGA SATUAN'!$I$6,MATCH(RAB!C26,'HARGA SATUAN'!$C$7:$C$1492,0),0))</f>
        <v>7789</v>
      </c>
      <c r="H26" s="361">
        <f t="shared" ca="1" si="12"/>
        <v>0</v>
      </c>
      <c r="I26" s="361">
        <f t="shared" ca="1" si="13"/>
        <v>15578</v>
      </c>
      <c r="J26" s="361">
        <f t="shared" ca="1" si="14"/>
        <v>0</v>
      </c>
      <c r="K26" s="362">
        <f t="shared" ca="1" si="15"/>
        <v>15578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497">
        <v>3</v>
      </c>
      <c r="C27" s="498" t="s">
        <v>157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368">
        <f>F24*2</f>
        <v>4</v>
      </c>
      <c r="G27" s="360">
        <f ca="1">IF(ISERROR(OFFSET('HARGA SATUAN'!$I$6,MATCH(RAB!C27,'HARGA SATUAN'!$C$7:$C$1492,0),0)),0,OFFSET('HARGA SATUAN'!$I$6,MATCH(RAB!C27,'HARGA SATUAN'!$C$7:$C$1492,0),0))</f>
        <v>40000</v>
      </c>
      <c r="H27" s="361">
        <f t="shared" ca="1" si="12"/>
        <v>0</v>
      </c>
      <c r="I27" s="361">
        <f t="shared" ca="1" si="13"/>
        <v>160000</v>
      </c>
      <c r="J27" s="361">
        <f t="shared" ca="1" si="14"/>
        <v>0</v>
      </c>
      <c r="K27" s="362">
        <f t="shared" ca="1" si="15"/>
        <v>160000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497">
        <v>4</v>
      </c>
      <c r="C28" s="498" t="s">
        <v>28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368">
        <f>F24*1</f>
        <v>2</v>
      </c>
      <c r="G28" s="360">
        <f ca="1">IF(ISERROR(OFFSET('HARGA SATUAN'!$I$6,MATCH(RAB!C28,'HARGA SATUAN'!$C$7:$C$1492,0),0)),0,OFFSET('HARGA SATUAN'!$I$6,MATCH(RAB!C28,'HARGA SATUAN'!$C$7:$C$1492,0),0))</f>
        <v>26500</v>
      </c>
      <c r="H28" s="361">
        <f t="shared" ca="1" si="12"/>
        <v>0</v>
      </c>
      <c r="I28" s="361">
        <f t="shared" ca="1" si="13"/>
        <v>53000</v>
      </c>
      <c r="J28" s="361">
        <f t="shared" ca="1" si="14"/>
        <v>0</v>
      </c>
      <c r="K28" s="362">
        <f t="shared" ca="1" si="15"/>
        <v>53000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497">
        <v>5</v>
      </c>
      <c r="C29" s="498" t="s">
        <v>163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368">
        <f>F24*4</f>
        <v>8</v>
      </c>
      <c r="G29" s="360">
        <f ca="1">IF(ISERROR(OFFSET('HARGA SATUAN'!$I$6,MATCH(RAB!C29,'HARGA SATUAN'!$C$7:$C$1492,0),0)),0,OFFSET('HARGA SATUAN'!$I$6,MATCH(RAB!C29,'HARGA SATUAN'!$C$7:$C$1492,0),0))</f>
        <v>7938</v>
      </c>
      <c r="H29" s="361">
        <f t="shared" ca="1" si="12"/>
        <v>0</v>
      </c>
      <c r="I29" s="361">
        <f t="shared" ca="1" si="13"/>
        <v>63504</v>
      </c>
      <c r="J29" s="361">
        <f t="shared" ca="1" si="14"/>
        <v>0</v>
      </c>
      <c r="K29" s="362">
        <f t="shared" ca="1" si="15"/>
        <v>63504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497">
        <v>6</v>
      </c>
      <c r="C30" s="498" t="s">
        <v>173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368">
        <f>F24*4</f>
        <v>8</v>
      </c>
      <c r="G30" s="360">
        <f ca="1">IF(ISERROR(OFFSET('HARGA SATUAN'!$I$6,MATCH(RAB!C30,'HARGA SATUAN'!$C$7:$C$1492,0),0)),0,OFFSET('HARGA SATUAN'!$I$6,MATCH(RAB!C30,'HARGA SATUAN'!$C$7:$C$1492,0),0))</f>
        <v>45000</v>
      </c>
      <c r="H30" s="361">
        <f t="shared" ca="1" si="12"/>
        <v>0</v>
      </c>
      <c r="I30" s="361">
        <f t="shared" ca="1" si="13"/>
        <v>360000</v>
      </c>
      <c r="J30" s="361">
        <f t="shared" ca="1" si="14"/>
        <v>0</v>
      </c>
      <c r="K30" s="362">
        <f t="shared" ca="1" si="15"/>
        <v>360000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497">
        <v>7</v>
      </c>
      <c r="C31" s="498" t="s">
        <v>179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368">
        <f>F24*1</f>
        <v>2</v>
      </c>
      <c r="G31" s="360">
        <f ca="1">IF(ISERROR(OFFSET('HARGA SATUAN'!$I$6,MATCH(RAB!C31,'HARGA SATUAN'!$C$7:$C$1492,0),0)),0,OFFSET('HARGA SATUAN'!$I$6,MATCH(RAB!C31,'HARGA SATUAN'!$C$7:$C$1492,0),0))</f>
        <v>15500</v>
      </c>
      <c r="H31" s="361">
        <f t="shared" ca="1" si="12"/>
        <v>0</v>
      </c>
      <c r="I31" s="361">
        <f t="shared" ca="1" si="13"/>
        <v>31000</v>
      </c>
      <c r="J31" s="361">
        <f t="shared" ca="1" si="14"/>
        <v>0</v>
      </c>
      <c r="K31" s="362">
        <f t="shared" ca="1" si="15"/>
        <v>31000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497">
        <v>8</v>
      </c>
      <c r="C32" s="498" t="s">
        <v>593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368">
        <f>F24*2</f>
        <v>4</v>
      </c>
      <c r="G32" s="360">
        <f ca="1">IF(ISERROR(OFFSET('HARGA SATUAN'!$I$6,MATCH(RAB!C32,'HARGA SATUAN'!$C$7:$C$1492,0),0)),0,OFFSET('HARGA SATUAN'!$I$6,MATCH(RAB!C32,'HARGA SATUAN'!$C$7:$C$1492,0),0))</f>
        <v>380500</v>
      </c>
      <c r="H32" s="361">
        <f t="shared" ca="1" si="12"/>
        <v>0</v>
      </c>
      <c r="I32" s="361">
        <f t="shared" ca="1" si="13"/>
        <v>1522000</v>
      </c>
      <c r="J32" s="361">
        <f t="shared" ca="1" si="14"/>
        <v>0</v>
      </c>
      <c r="K32" s="362">
        <f t="shared" ca="1" si="15"/>
        <v>1522000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497">
        <v>9</v>
      </c>
      <c r="C33" s="498" t="s">
        <v>217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368">
        <f>F24*4</f>
        <v>8</v>
      </c>
      <c r="G33" s="360">
        <f ca="1">IF(ISERROR(OFFSET('HARGA SATUAN'!$I$6,MATCH(RAB!C33,'HARGA SATUAN'!$C$7:$C$1492,0),0)),0,OFFSET('HARGA SATUAN'!$I$6,MATCH(RAB!C33,'HARGA SATUAN'!$C$7:$C$1492,0),0))</f>
        <v>11400</v>
      </c>
      <c r="H33" s="361">
        <f t="shared" ca="1" si="12"/>
        <v>0</v>
      </c>
      <c r="I33" s="361">
        <f t="shared" ca="1" si="13"/>
        <v>91200</v>
      </c>
      <c r="J33" s="361">
        <f t="shared" ca="1" si="14"/>
        <v>0</v>
      </c>
      <c r="K33" s="362">
        <f t="shared" ca="1" si="15"/>
        <v>91200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497">
        <v>10</v>
      </c>
      <c r="C34" s="498" t="s">
        <v>218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368">
        <f>F24*2</f>
        <v>4</v>
      </c>
      <c r="G34" s="360">
        <f ca="1">IF(ISERROR(OFFSET('HARGA SATUAN'!$I$6,MATCH(RAB!C34,'HARGA SATUAN'!$C$7:$C$1492,0),0)),0,OFFSET('HARGA SATUAN'!$I$6,MATCH(RAB!C34,'HARGA SATUAN'!$C$7:$C$1492,0),0))</f>
        <v>29600</v>
      </c>
      <c r="H34" s="361">
        <f t="shared" ca="1" si="12"/>
        <v>0</v>
      </c>
      <c r="I34" s="361">
        <f t="shared" ca="1" si="13"/>
        <v>118400</v>
      </c>
      <c r="J34" s="361">
        <f t="shared" ca="1" si="14"/>
        <v>0</v>
      </c>
      <c r="K34" s="362">
        <f t="shared" ca="1" si="15"/>
        <v>118400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497">
        <v>11</v>
      </c>
      <c r="C35" s="498" t="s">
        <v>223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368">
        <f>F24*1</f>
        <v>2</v>
      </c>
      <c r="G35" s="360">
        <f ca="1">IF(ISERROR(OFFSET('HARGA SATUAN'!$I$6,MATCH(RAB!C35,'HARGA SATUAN'!$C$7:$C$1492,0),0)),0,OFFSET('HARGA SATUAN'!$I$6,MATCH(RAB!C35,'HARGA SATUAN'!$C$7:$C$1492,0),0))</f>
        <v>27815</v>
      </c>
      <c r="H35" s="361">
        <f t="shared" ca="1" si="12"/>
        <v>0</v>
      </c>
      <c r="I35" s="361">
        <f t="shared" ca="1" si="13"/>
        <v>55630</v>
      </c>
      <c r="J35" s="361">
        <f t="shared" ca="1" si="14"/>
        <v>0</v>
      </c>
      <c r="K35" s="362">
        <f t="shared" ca="1" si="15"/>
        <v>55630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497">
        <v>12</v>
      </c>
      <c r="C36" s="498" t="s">
        <v>25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368">
        <f>F24*3</f>
        <v>6</v>
      </c>
      <c r="G36" s="360">
        <f ca="1">IF(ISERROR(OFFSET('HARGA SATUAN'!$I$6,MATCH(RAB!C36,'HARGA SATUAN'!$C$7:$C$1492,0),0)),0,OFFSET('HARGA SATUAN'!$I$6,MATCH(RAB!C36,'HARGA SATUAN'!$C$7:$C$1492,0),0))</f>
        <v>23936</v>
      </c>
      <c r="H36" s="361">
        <f t="shared" ca="1" si="12"/>
        <v>0</v>
      </c>
      <c r="I36" s="361">
        <f t="shared" ca="1" si="13"/>
        <v>143616</v>
      </c>
      <c r="J36" s="361">
        <f t="shared" ca="1" si="14"/>
        <v>0</v>
      </c>
      <c r="K36" s="362">
        <f t="shared" ca="1" si="15"/>
        <v>143616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497">
        <v>13</v>
      </c>
      <c r="C37" s="498" t="s">
        <v>37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368">
        <f>F24*1</f>
        <v>2</v>
      </c>
      <c r="G37" s="360">
        <f ca="1">IF(ISERROR(OFFSET('HARGA SATUAN'!$I$6,MATCH(RAB!C37,'HARGA SATUAN'!$C$7:$C$1492,0),0)),0,OFFSET('HARGA SATUAN'!$I$6,MATCH(RAB!C37,'HARGA SATUAN'!$C$7:$C$1492,0),0))</f>
        <v>63500</v>
      </c>
      <c r="H37" s="361">
        <f t="shared" ca="1" si="12"/>
        <v>0</v>
      </c>
      <c r="I37" s="361">
        <f t="shared" ca="1" si="13"/>
        <v>127000</v>
      </c>
      <c r="J37" s="361">
        <f t="shared" ca="1" si="14"/>
        <v>0</v>
      </c>
      <c r="K37" s="362">
        <f t="shared" ca="1" si="15"/>
        <v>127000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70" customFormat="1">
      <c r="A38" s="336"/>
      <c r="B38" s="497">
        <v>14</v>
      </c>
      <c r="C38" s="498" t="s">
        <v>247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368">
        <f>F24*1</f>
        <v>2</v>
      </c>
      <c r="G38" s="360">
        <f ca="1">IF(ISERROR(OFFSET('HARGA SATUAN'!$I$6,MATCH(RAB!C38,'HARGA SATUAN'!$C$7:$C$1492,0),0)),0,OFFSET('HARGA SATUAN'!$I$6,MATCH(RAB!C38,'HARGA SATUAN'!$C$7:$C$1492,0),0))</f>
        <v>57690</v>
      </c>
      <c r="H38" s="361">
        <f t="shared" ca="1" si="12"/>
        <v>0</v>
      </c>
      <c r="I38" s="361">
        <f t="shared" ca="1" si="13"/>
        <v>115380</v>
      </c>
      <c r="J38" s="361">
        <f t="shared" ca="1" si="14"/>
        <v>0</v>
      </c>
      <c r="K38" s="362">
        <f t="shared" ca="1" si="15"/>
        <v>115380</v>
      </c>
      <c r="L38" s="369"/>
      <c r="M38" s="369"/>
      <c r="N38" s="369"/>
      <c r="O38" s="363"/>
      <c r="P38" s="363"/>
      <c r="Q38" s="344"/>
      <c r="R38" s="336"/>
      <c r="S38" s="364"/>
      <c r="T38" s="341"/>
      <c r="U38" s="341"/>
      <c r="V38" s="341"/>
    </row>
    <row r="39" spans="1:22" s="370" customFormat="1">
      <c r="A39" s="336"/>
      <c r="B39" s="497">
        <v>15</v>
      </c>
      <c r="C39" s="498" t="s">
        <v>27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368">
        <f>F24*3</f>
        <v>6</v>
      </c>
      <c r="G39" s="360">
        <f ca="1">IF(ISERROR(OFFSET('HARGA SATUAN'!$I$6,MATCH(RAB!C39,'HARGA SATUAN'!$C$7:$C$1492,0),0)),0,OFFSET('HARGA SATUAN'!$I$6,MATCH(RAB!C39,'HARGA SATUAN'!$C$7:$C$1492,0),0))</f>
        <v>16000</v>
      </c>
      <c r="H39" s="361">
        <f t="shared" ref="H39:H54" ca="1" si="16">IF(OR(D39="MDU",D39="MDU-KD"),(IF($O$3="RAB NON MDU","PLN KD",G39*F39)),0)</f>
        <v>0</v>
      </c>
      <c r="I39" s="361">
        <f t="shared" ref="I39:I54" ca="1" si="17">IF(D39="HDW",G39*F39,0)</f>
        <v>96000</v>
      </c>
      <c r="J39" s="361">
        <f t="shared" ref="J39:J54" ca="1" si="18">IF(D39="JASA",G39*F39,0)</f>
        <v>0</v>
      </c>
      <c r="K39" s="362">
        <f t="shared" ref="K39:K54" ca="1" si="19">SUM(H39:J39)</f>
        <v>96000</v>
      </c>
      <c r="L39" s="369"/>
      <c r="M39" s="369"/>
      <c r="N39" s="369"/>
      <c r="O39" s="363"/>
      <c r="P39" s="363"/>
      <c r="Q39" s="344"/>
      <c r="R39" s="336"/>
      <c r="S39" s="364"/>
      <c r="T39" s="341"/>
      <c r="U39" s="341"/>
      <c r="V39" s="341"/>
    </row>
    <row r="40" spans="1:22" s="370" customFormat="1">
      <c r="A40" s="336"/>
      <c r="B40" s="497">
        <v>16</v>
      </c>
      <c r="C40" s="498" t="s">
        <v>265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368">
        <f>F24*1</f>
        <v>2</v>
      </c>
      <c r="G40" s="360">
        <f ca="1">IF(ISERROR(OFFSET('HARGA SATUAN'!$I$6,MATCH(RAB!C40,'HARGA SATUAN'!$C$7:$C$1492,0),0)),0,OFFSET('HARGA SATUAN'!$I$6,MATCH(RAB!C40,'HARGA SATUAN'!$C$7:$C$1492,0),0))</f>
        <v>33501.866666666669</v>
      </c>
      <c r="H40" s="361">
        <f t="shared" ca="1" si="16"/>
        <v>0</v>
      </c>
      <c r="I40" s="361">
        <f t="shared" ca="1" si="17"/>
        <v>67003.733333333337</v>
      </c>
      <c r="J40" s="361">
        <f t="shared" ca="1" si="18"/>
        <v>0</v>
      </c>
      <c r="K40" s="362">
        <f t="shared" ca="1" si="19"/>
        <v>67003.733333333337</v>
      </c>
      <c r="L40" s="369"/>
      <c r="M40" s="369"/>
      <c r="N40" s="369"/>
      <c r="O40" s="363"/>
      <c r="P40" s="363"/>
      <c r="Q40" s="344"/>
      <c r="R40" s="336"/>
      <c r="S40" s="364"/>
      <c r="T40" s="341"/>
      <c r="U40" s="341"/>
      <c r="V40" s="341"/>
    </row>
    <row r="41" spans="1:22" s="370" customFormat="1">
      <c r="A41" s="336"/>
      <c r="B41" s="497">
        <v>17</v>
      </c>
      <c r="C41" s="498" t="s">
        <v>26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368">
        <f>F24*11</f>
        <v>22</v>
      </c>
      <c r="G41" s="360">
        <f ca="1">IF(ISERROR(OFFSET('HARGA SATUAN'!$I$6,MATCH(RAB!C41,'HARGA SATUAN'!$C$7:$C$1492,0),0)),0,OFFSET('HARGA SATUAN'!$I$6,MATCH(RAB!C41,'HARGA SATUAN'!$C$7:$C$1492,0),0))</f>
        <v>2500</v>
      </c>
      <c r="H41" s="361">
        <f t="shared" ca="1" si="16"/>
        <v>0</v>
      </c>
      <c r="I41" s="361">
        <f t="shared" ca="1" si="17"/>
        <v>55000</v>
      </c>
      <c r="J41" s="361">
        <f t="shared" ca="1" si="18"/>
        <v>0</v>
      </c>
      <c r="K41" s="362">
        <f t="shared" ca="1" si="19"/>
        <v>55000</v>
      </c>
      <c r="L41" s="369"/>
      <c r="M41" s="369"/>
      <c r="N41" s="369"/>
      <c r="O41" s="363"/>
      <c r="P41" s="363"/>
      <c r="Q41" s="344"/>
      <c r="R41" s="336"/>
      <c r="S41" s="364"/>
      <c r="T41" s="341"/>
      <c r="U41" s="341"/>
      <c r="V41" s="341"/>
    </row>
    <row r="42" spans="1:22" s="370" customFormat="1">
      <c r="A42" s="336"/>
      <c r="B42" s="497">
        <v>18</v>
      </c>
      <c r="C42" s="498" t="s">
        <v>703</v>
      </c>
      <c r="D42" s="358" t="str">
        <f ca="1">IF(ISERROR(OFFSET('HARGA SATUAN'!$D$6,MATCH(RAB!C42,'HARGA SATUAN'!$C$7:$C$1492,0),0)),"",OFFSET('HARGA SATUAN'!$D$6,MATCH(RAB!C42,'HARGA SATUAN'!$C$7:$C$1492,0),0))</f>
        <v>JASA</v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368">
        <f>F24*1</f>
        <v>2</v>
      </c>
      <c r="G42" s="360">
        <f ca="1">IF(ISERROR(OFFSET('HARGA SATUAN'!$I$6,MATCH(RAB!C42,'HARGA SATUAN'!$C$7:$C$1492,0),0)),0,OFFSET('HARGA SATUAN'!$I$6,MATCH(RAB!C42,'HARGA SATUAN'!$C$7:$C$1492,0),0))</f>
        <v>134700</v>
      </c>
      <c r="H42" s="361">
        <f t="shared" ca="1" si="16"/>
        <v>0</v>
      </c>
      <c r="I42" s="361">
        <f t="shared" ca="1" si="17"/>
        <v>0</v>
      </c>
      <c r="J42" s="361">
        <f t="shared" ca="1" si="18"/>
        <v>269400</v>
      </c>
      <c r="K42" s="362">
        <f t="shared" ca="1" si="19"/>
        <v>269400</v>
      </c>
      <c r="L42" s="369"/>
      <c r="M42" s="369"/>
      <c r="N42" s="369"/>
      <c r="O42" s="363"/>
      <c r="P42" s="363"/>
      <c r="Q42" s="344"/>
      <c r="R42" s="336"/>
      <c r="S42" s="364"/>
      <c r="T42" s="341"/>
      <c r="U42" s="341"/>
      <c r="V42" s="341"/>
    </row>
    <row r="43" spans="1:22" s="370" customFormat="1">
      <c r="A43" s="336"/>
      <c r="B43" s="497"/>
      <c r="C43" s="498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368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16"/>
        <v>0</v>
      </c>
      <c r="I43" s="361">
        <f t="shared" ca="1" si="17"/>
        <v>0</v>
      </c>
      <c r="J43" s="361">
        <f t="shared" ca="1" si="18"/>
        <v>0</v>
      </c>
      <c r="K43" s="362">
        <f t="shared" ca="1" si="19"/>
        <v>0</v>
      </c>
      <c r="L43" s="369"/>
      <c r="M43" s="369"/>
      <c r="N43" s="369"/>
      <c r="O43" s="363"/>
      <c r="P43" s="363"/>
      <c r="Q43" s="344"/>
      <c r="R43" s="336"/>
      <c r="S43" s="364"/>
      <c r="T43" s="341"/>
      <c r="U43" s="341"/>
      <c r="V43" s="341"/>
    </row>
    <row r="44" spans="1:22" s="370" customFormat="1">
      <c r="A44" s="336"/>
      <c r="B44" s="499" t="s">
        <v>1034</v>
      </c>
      <c r="C44" s="723" t="s">
        <v>1630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368">
        <v>11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16"/>
        <v>0</v>
      </c>
      <c r="I44" s="361">
        <f t="shared" ca="1" si="17"/>
        <v>0</v>
      </c>
      <c r="J44" s="361">
        <f t="shared" ca="1" si="18"/>
        <v>0</v>
      </c>
      <c r="K44" s="362">
        <f t="shared" ca="1" si="19"/>
        <v>0</v>
      </c>
      <c r="L44" s="369"/>
      <c r="M44" s="369"/>
      <c r="N44" s="369"/>
      <c r="O44" s="363"/>
      <c r="P44" s="363"/>
      <c r="Q44" s="344"/>
      <c r="R44" s="336"/>
      <c r="S44" s="364"/>
      <c r="T44" s="341"/>
      <c r="U44" s="341"/>
      <c r="V44" s="341"/>
    </row>
    <row r="45" spans="1:22" s="370" customFormat="1">
      <c r="A45" s="336"/>
      <c r="B45" s="497">
        <v>1</v>
      </c>
      <c r="C45" s="109" t="s">
        <v>1128</v>
      </c>
      <c r="D45" s="358" t="str">
        <f ca="1">IF(ISERROR(OFFSET('HARGA SATUAN'!$D$6,MATCH(RAB!C45,'HARGA SATUAN'!$C$7:$C$1492,0),0)),"",OFFSET('HARGA SATUAN'!$D$6,MATCH(RAB!C45,'HARGA SATUAN'!$C$7:$C$1492,0),0))</f>
        <v>MDU-KD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368">
        <f>F44*1</f>
        <v>11</v>
      </c>
      <c r="G45" s="360">
        <f ca="1">IF(ISERROR(OFFSET('HARGA SATUAN'!$I$6,MATCH(RAB!C45,'HARGA SATUAN'!$C$7:$C$1492,0),0)),0,OFFSET('HARGA SATUAN'!$I$6,MATCH(RAB!C45,'HARGA SATUAN'!$C$7:$C$1492,0),0))</f>
        <v>176900</v>
      </c>
      <c r="H45" s="361">
        <f t="shared" ca="1" si="16"/>
        <v>1945900</v>
      </c>
      <c r="I45" s="361">
        <f t="shared" ca="1" si="17"/>
        <v>0</v>
      </c>
      <c r="J45" s="361">
        <f t="shared" ca="1" si="18"/>
        <v>0</v>
      </c>
      <c r="K45" s="362">
        <f t="shared" ca="1" si="19"/>
        <v>1945900</v>
      </c>
      <c r="L45" s="369"/>
      <c r="M45" s="369"/>
      <c r="N45" s="369"/>
      <c r="O45" s="363"/>
      <c r="P45" s="363"/>
      <c r="Q45" s="344"/>
      <c r="R45" s="336"/>
      <c r="S45" s="364"/>
      <c r="T45" s="341"/>
      <c r="U45" s="341"/>
      <c r="V45" s="341"/>
    </row>
    <row r="46" spans="1:22" s="370" customFormat="1">
      <c r="A46" s="336"/>
      <c r="B46" s="497">
        <v>2</v>
      </c>
      <c r="C46" s="109" t="s">
        <v>1128</v>
      </c>
      <c r="D46" s="358" t="str">
        <f ca="1">IF(ISERROR(OFFSET('HARGA SATUAN'!$D$6,MATCH(RAB!C46,'HARGA SATUAN'!$C$7:$C$1492,0),0)),"",OFFSET('HARGA SATUAN'!$D$6,MATCH(RAB!C46,'HARGA SATUAN'!$C$7:$C$1492,0),0))</f>
        <v>MDU-KD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368">
        <f>F44*2</f>
        <v>22</v>
      </c>
      <c r="G46" s="360">
        <f ca="1">IF(ISERROR(OFFSET('HARGA SATUAN'!$I$6,MATCH(RAB!C46,'HARGA SATUAN'!$C$7:$C$1492,0),0)),0,OFFSET('HARGA SATUAN'!$I$6,MATCH(RAB!C46,'HARGA SATUAN'!$C$7:$C$1492,0),0))</f>
        <v>176900</v>
      </c>
      <c r="H46" s="361">
        <f t="shared" ca="1" si="16"/>
        <v>3891800</v>
      </c>
      <c r="I46" s="361">
        <f t="shared" ca="1" si="17"/>
        <v>0</v>
      </c>
      <c r="J46" s="361">
        <f t="shared" ca="1" si="18"/>
        <v>0</v>
      </c>
      <c r="K46" s="362">
        <f t="shared" ca="1" si="19"/>
        <v>3891800</v>
      </c>
      <c r="L46" s="369"/>
      <c r="M46" s="369"/>
      <c r="N46" s="369"/>
      <c r="O46" s="363"/>
      <c r="P46" s="363"/>
      <c r="Q46" s="344"/>
      <c r="R46" s="336"/>
      <c r="S46" s="364"/>
      <c r="T46" s="341"/>
      <c r="U46" s="341"/>
      <c r="V46" s="341"/>
    </row>
    <row r="47" spans="1:22" s="370" customFormat="1">
      <c r="A47" s="336"/>
      <c r="B47" s="497">
        <v>3</v>
      </c>
      <c r="C47" s="498" t="s">
        <v>28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368">
        <f>F44*3</f>
        <v>33</v>
      </c>
      <c r="G47" s="360">
        <f ca="1">IF(ISERROR(OFFSET('HARGA SATUAN'!$I$6,MATCH(RAB!C47,'HARGA SATUAN'!$C$7:$C$1492,0),0)),0,OFFSET('HARGA SATUAN'!$I$6,MATCH(RAB!C47,'HARGA SATUAN'!$C$7:$C$1492,0),0))</f>
        <v>26500</v>
      </c>
      <c r="H47" s="361">
        <f t="shared" ca="1" si="16"/>
        <v>0</v>
      </c>
      <c r="I47" s="361">
        <f t="shared" ca="1" si="17"/>
        <v>874500</v>
      </c>
      <c r="J47" s="361">
        <f t="shared" ca="1" si="18"/>
        <v>0</v>
      </c>
      <c r="K47" s="362">
        <f t="shared" ca="1" si="19"/>
        <v>874500</v>
      </c>
      <c r="L47" s="369"/>
      <c r="M47" s="369"/>
      <c r="N47" s="369"/>
      <c r="O47" s="363"/>
      <c r="P47" s="363"/>
      <c r="Q47" s="344"/>
      <c r="R47" s="336"/>
      <c r="S47" s="364"/>
      <c r="T47" s="341"/>
      <c r="U47" s="341"/>
      <c r="V47" s="341"/>
    </row>
    <row r="48" spans="1:22" s="370" customFormat="1">
      <c r="A48" s="336"/>
      <c r="B48" s="497">
        <v>4</v>
      </c>
      <c r="C48" s="498" t="s">
        <v>163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368">
        <f>F44*2</f>
        <v>22</v>
      </c>
      <c r="G48" s="360">
        <f ca="1">IF(ISERROR(OFFSET('HARGA SATUAN'!$I$6,MATCH(RAB!C48,'HARGA SATUAN'!$C$7:$C$1492,0),0)),0,OFFSET('HARGA SATUAN'!$I$6,MATCH(RAB!C48,'HARGA SATUAN'!$C$7:$C$1492,0),0))</f>
        <v>7938</v>
      </c>
      <c r="H48" s="361">
        <f t="shared" ca="1" si="16"/>
        <v>0</v>
      </c>
      <c r="I48" s="361">
        <f t="shared" ca="1" si="17"/>
        <v>174636</v>
      </c>
      <c r="J48" s="361">
        <f t="shared" ca="1" si="18"/>
        <v>0</v>
      </c>
      <c r="K48" s="362">
        <f t="shared" ca="1" si="19"/>
        <v>174636</v>
      </c>
      <c r="L48" s="369"/>
      <c r="M48" s="369"/>
      <c r="N48" s="369"/>
      <c r="O48" s="363"/>
      <c r="P48" s="363"/>
      <c r="Q48" s="344"/>
      <c r="R48" s="336"/>
      <c r="S48" s="364"/>
      <c r="T48" s="341"/>
      <c r="U48" s="341"/>
      <c r="V48" s="341"/>
    </row>
    <row r="49" spans="1:22" s="370" customFormat="1">
      <c r="A49" s="336"/>
      <c r="B49" s="497">
        <v>5</v>
      </c>
      <c r="C49" s="498" t="s">
        <v>168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368">
        <f>F44*1</f>
        <v>11</v>
      </c>
      <c r="G49" s="360">
        <f ca="1">IF(ISERROR(OFFSET('HARGA SATUAN'!$I$6,MATCH(RAB!C49,'HARGA SATUAN'!$C$7:$C$1492,0),0)),0,OFFSET('HARGA SATUAN'!$I$6,MATCH(RAB!C49,'HARGA SATUAN'!$C$7:$C$1492,0),0))</f>
        <v>33600</v>
      </c>
      <c r="H49" s="361">
        <f t="shared" ca="1" si="16"/>
        <v>0</v>
      </c>
      <c r="I49" s="361">
        <f t="shared" ca="1" si="17"/>
        <v>369600</v>
      </c>
      <c r="J49" s="361">
        <f t="shared" ca="1" si="18"/>
        <v>0</v>
      </c>
      <c r="K49" s="362">
        <f t="shared" ca="1" si="19"/>
        <v>369600</v>
      </c>
      <c r="L49" s="369"/>
      <c r="M49" s="369"/>
      <c r="N49" s="369"/>
      <c r="O49" s="363"/>
      <c r="P49" s="363"/>
      <c r="Q49" s="344"/>
      <c r="R49" s="336"/>
      <c r="S49" s="364"/>
      <c r="T49" s="341"/>
      <c r="U49" s="341"/>
      <c r="V49" s="341"/>
    </row>
    <row r="50" spans="1:22" s="370" customFormat="1">
      <c r="A50" s="336"/>
      <c r="B50" s="497">
        <v>6</v>
      </c>
      <c r="C50" s="498" t="s">
        <v>173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368">
        <f>F44*2</f>
        <v>22</v>
      </c>
      <c r="G50" s="360">
        <f ca="1">IF(ISERROR(OFFSET('HARGA SATUAN'!$I$6,MATCH(RAB!C50,'HARGA SATUAN'!$C$7:$C$1492,0),0)),0,OFFSET('HARGA SATUAN'!$I$6,MATCH(RAB!C50,'HARGA SATUAN'!$C$7:$C$1492,0),0))</f>
        <v>45000</v>
      </c>
      <c r="H50" s="361">
        <f t="shared" ca="1" si="16"/>
        <v>0</v>
      </c>
      <c r="I50" s="361">
        <f t="shared" ca="1" si="17"/>
        <v>990000</v>
      </c>
      <c r="J50" s="361">
        <f t="shared" ca="1" si="18"/>
        <v>0</v>
      </c>
      <c r="K50" s="362">
        <f t="shared" ca="1" si="19"/>
        <v>990000</v>
      </c>
      <c r="L50" s="369"/>
      <c r="M50" s="369"/>
      <c r="N50" s="369"/>
      <c r="O50" s="363"/>
      <c r="P50" s="363"/>
      <c r="Q50" s="344"/>
      <c r="R50" s="336"/>
      <c r="S50" s="364"/>
      <c r="T50" s="341"/>
      <c r="U50" s="341"/>
      <c r="V50" s="341"/>
    </row>
    <row r="51" spans="1:22" s="370" customFormat="1">
      <c r="A51" s="336"/>
      <c r="B51" s="497">
        <v>7</v>
      </c>
      <c r="C51" s="498" t="s">
        <v>178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368">
        <f>F44*1</f>
        <v>11</v>
      </c>
      <c r="G51" s="360">
        <f ca="1">IF(ISERROR(OFFSET('HARGA SATUAN'!$I$6,MATCH(RAB!C51,'HARGA SATUAN'!$C$7:$C$1492,0),0)),0,OFFSET('HARGA SATUAN'!$I$6,MATCH(RAB!C51,'HARGA SATUAN'!$C$7:$C$1492,0),0))</f>
        <v>95000</v>
      </c>
      <c r="H51" s="361">
        <f t="shared" ca="1" si="16"/>
        <v>0</v>
      </c>
      <c r="I51" s="361">
        <f t="shared" ca="1" si="17"/>
        <v>1045000</v>
      </c>
      <c r="J51" s="361">
        <f t="shared" ca="1" si="18"/>
        <v>0</v>
      </c>
      <c r="K51" s="362">
        <f t="shared" ca="1" si="19"/>
        <v>1045000</v>
      </c>
      <c r="L51" s="369"/>
      <c r="M51" s="369"/>
      <c r="N51" s="369"/>
      <c r="O51" s="363"/>
      <c r="P51" s="363"/>
      <c r="Q51" s="344"/>
      <c r="R51" s="336"/>
      <c r="S51" s="364"/>
      <c r="T51" s="341"/>
      <c r="U51" s="341"/>
      <c r="V51" s="341"/>
    </row>
    <row r="52" spans="1:22" s="370" customFormat="1">
      <c r="A52" s="336"/>
      <c r="B52" s="497">
        <v>8</v>
      </c>
      <c r="C52" s="498" t="s">
        <v>593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368">
        <f>F44*1</f>
        <v>11</v>
      </c>
      <c r="G52" s="360">
        <f ca="1">IF(ISERROR(OFFSET('HARGA SATUAN'!$I$6,MATCH(RAB!C52,'HARGA SATUAN'!$C$7:$C$1492,0),0)),0,OFFSET('HARGA SATUAN'!$I$6,MATCH(RAB!C52,'HARGA SATUAN'!$C$7:$C$1492,0),0))</f>
        <v>380500</v>
      </c>
      <c r="H52" s="361">
        <f t="shared" ca="1" si="16"/>
        <v>0</v>
      </c>
      <c r="I52" s="361">
        <f t="shared" ca="1" si="17"/>
        <v>4185500</v>
      </c>
      <c r="J52" s="361">
        <f t="shared" ca="1" si="18"/>
        <v>0</v>
      </c>
      <c r="K52" s="362">
        <f t="shared" ca="1" si="19"/>
        <v>4185500</v>
      </c>
      <c r="L52" s="369"/>
      <c r="M52" s="369"/>
      <c r="N52" s="369"/>
      <c r="O52" s="363"/>
      <c r="P52" s="363"/>
      <c r="Q52" s="344"/>
      <c r="R52" s="336"/>
      <c r="S52" s="364"/>
      <c r="T52" s="341"/>
      <c r="U52" s="341"/>
      <c r="V52" s="341"/>
    </row>
    <row r="53" spans="1:22" s="370" customFormat="1">
      <c r="A53" s="336"/>
      <c r="B53" s="497">
        <v>9</v>
      </c>
      <c r="C53" s="498" t="s">
        <v>217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368">
        <f>F44*4</f>
        <v>44</v>
      </c>
      <c r="G53" s="360">
        <f ca="1">IF(ISERROR(OFFSET('HARGA SATUAN'!$I$6,MATCH(RAB!C53,'HARGA SATUAN'!$C$7:$C$1492,0),0)),0,OFFSET('HARGA SATUAN'!$I$6,MATCH(RAB!C53,'HARGA SATUAN'!$C$7:$C$1492,0),0))</f>
        <v>11400</v>
      </c>
      <c r="H53" s="361">
        <f t="shared" ca="1" si="16"/>
        <v>0</v>
      </c>
      <c r="I53" s="361">
        <f t="shared" ca="1" si="17"/>
        <v>501600</v>
      </c>
      <c r="J53" s="361">
        <f t="shared" ca="1" si="18"/>
        <v>0</v>
      </c>
      <c r="K53" s="362">
        <f t="shared" ca="1" si="19"/>
        <v>501600</v>
      </c>
      <c r="L53" s="369"/>
      <c r="M53" s="369"/>
      <c r="N53" s="369"/>
      <c r="O53" s="363"/>
      <c r="P53" s="363"/>
      <c r="Q53" s="344"/>
      <c r="R53" s="336"/>
      <c r="S53" s="364"/>
      <c r="T53" s="341"/>
      <c r="U53" s="341"/>
      <c r="V53" s="341"/>
    </row>
    <row r="54" spans="1:22" s="370" customFormat="1">
      <c r="A54" s="336"/>
      <c r="B54" s="497">
        <v>10</v>
      </c>
      <c r="C54" s="498" t="s">
        <v>247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368">
        <f>F44*1</f>
        <v>11</v>
      </c>
      <c r="G54" s="360">
        <f ca="1">IF(ISERROR(OFFSET('HARGA SATUAN'!$I$6,MATCH(RAB!C54,'HARGA SATUAN'!$C$7:$C$1492,0),0)),0,OFFSET('HARGA SATUAN'!$I$6,MATCH(RAB!C54,'HARGA SATUAN'!$C$7:$C$1492,0),0))</f>
        <v>57690</v>
      </c>
      <c r="H54" s="361">
        <f t="shared" ca="1" si="16"/>
        <v>0</v>
      </c>
      <c r="I54" s="361">
        <f t="shared" ca="1" si="17"/>
        <v>634590</v>
      </c>
      <c r="J54" s="361">
        <f t="shared" ca="1" si="18"/>
        <v>0</v>
      </c>
      <c r="K54" s="362">
        <f t="shared" ca="1" si="19"/>
        <v>634590</v>
      </c>
      <c r="L54" s="369"/>
      <c r="M54" s="369"/>
      <c r="N54" s="369"/>
      <c r="O54" s="363"/>
      <c r="P54" s="363"/>
      <c r="Q54" s="344"/>
      <c r="R54" s="336"/>
      <c r="S54" s="364"/>
      <c r="T54" s="341"/>
      <c r="U54" s="341"/>
      <c r="V54" s="341"/>
    </row>
    <row r="55" spans="1:22" s="370" customFormat="1">
      <c r="A55" s="336"/>
      <c r="B55" s="497">
        <v>11</v>
      </c>
      <c r="C55" s="498" t="s">
        <v>264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368">
        <f>F44*1</f>
        <v>11</v>
      </c>
      <c r="G55" s="360">
        <f ca="1">IF(ISERROR(OFFSET('HARGA SATUAN'!$I$6,MATCH(RAB!C55,'HARGA SATUAN'!$C$7:$C$1492,0),0)),0,OFFSET('HARGA SATUAN'!$I$6,MATCH(RAB!C55,'HARGA SATUAN'!$C$7:$C$1492,0),0))</f>
        <v>28000</v>
      </c>
      <c r="H55" s="361">
        <f t="shared" ref="H55:H121" ca="1" si="20">IF(OR(D55="MDU",D55="MDU-KD"),(IF($O$3="RAB NON MDU","PLN KD",G55*F55)),0)</f>
        <v>0</v>
      </c>
      <c r="I55" s="361">
        <f t="shared" ref="I55:I121" ca="1" si="21">IF(D55="HDW",G55*F55,0)</f>
        <v>308000</v>
      </c>
      <c r="J55" s="361">
        <f t="shared" ref="J55:J121" ca="1" si="22">IF(D55="JASA",G55*F55,0)</f>
        <v>0</v>
      </c>
      <c r="K55" s="362">
        <f t="shared" ref="K55:K121" ca="1" si="23">SUM(H55:J55)</f>
        <v>308000</v>
      </c>
      <c r="L55" s="369"/>
      <c r="M55" s="369"/>
      <c r="N55" s="369"/>
      <c r="O55" s="363"/>
      <c r="P55" s="363"/>
      <c r="Q55" s="344"/>
      <c r="R55" s="336"/>
      <c r="S55" s="364"/>
      <c r="T55" s="341"/>
      <c r="U55" s="341"/>
      <c r="V55" s="341"/>
    </row>
    <row r="56" spans="1:22" s="370" customFormat="1">
      <c r="A56" s="336"/>
      <c r="B56" s="497">
        <v>12</v>
      </c>
      <c r="C56" s="498" t="s">
        <v>38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368">
        <f>6.2*F44</f>
        <v>68.2</v>
      </c>
      <c r="G56" s="360">
        <f ca="1">IF(ISERROR(OFFSET('HARGA SATUAN'!$I$6,MATCH(RAB!C56,'HARGA SATUAN'!$C$7:$C$1492,0),0)),0,OFFSET('HARGA SATUAN'!$I$6,MATCH(RAB!C56,'HARGA SATUAN'!$C$7:$C$1492,0),0))</f>
        <v>8550</v>
      </c>
      <c r="H56" s="361">
        <f t="shared" ca="1" si="20"/>
        <v>0</v>
      </c>
      <c r="I56" s="361">
        <f t="shared" ca="1" si="21"/>
        <v>583110</v>
      </c>
      <c r="J56" s="361">
        <f t="shared" ca="1" si="22"/>
        <v>0</v>
      </c>
      <c r="K56" s="362">
        <f t="shared" ca="1" si="23"/>
        <v>583110</v>
      </c>
      <c r="L56" s="369"/>
      <c r="M56" s="369"/>
      <c r="N56" s="369"/>
      <c r="O56" s="363"/>
      <c r="P56" s="363"/>
      <c r="Q56" s="344"/>
      <c r="R56" s="336"/>
      <c r="S56" s="364"/>
      <c r="T56" s="341"/>
      <c r="U56" s="341"/>
      <c r="V56" s="341"/>
    </row>
    <row r="57" spans="1:22" s="370" customFormat="1">
      <c r="A57" s="336"/>
      <c r="B57" s="497">
        <v>13</v>
      </c>
      <c r="C57" s="498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368">
        <f>F44*5</f>
        <v>55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20"/>
        <v>0</v>
      </c>
      <c r="I57" s="361">
        <f t="shared" ca="1" si="21"/>
        <v>137500</v>
      </c>
      <c r="J57" s="361">
        <f t="shared" ca="1" si="22"/>
        <v>0</v>
      </c>
      <c r="K57" s="362">
        <f t="shared" ca="1" si="23"/>
        <v>137500</v>
      </c>
      <c r="L57" s="369"/>
      <c r="M57" s="369"/>
      <c r="N57" s="369"/>
      <c r="O57" s="363"/>
      <c r="P57" s="363"/>
      <c r="Q57" s="344"/>
      <c r="R57" s="336"/>
      <c r="S57" s="364"/>
      <c r="T57" s="341"/>
      <c r="U57" s="341"/>
      <c r="V57" s="341"/>
    </row>
    <row r="58" spans="1:22" s="370" customFormat="1">
      <c r="A58" s="336"/>
      <c r="B58" s="497">
        <v>14</v>
      </c>
      <c r="C58" s="498" t="s">
        <v>687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368">
        <f>F44*1</f>
        <v>11</v>
      </c>
      <c r="G58" s="360">
        <f ca="1">IF(ISERROR(OFFSET('HARGA SATUAN'!$I$6,MATCH(RAB!C58,'HARGA SATUAN'!$C$7:$C$1492,0),0)),0,OFFSET('HARGA SATUAN'!$I$6,MATCH(RAB!C58,'HARGA SATUAN'!$C$7:$C$1492,0),0))</f>
        <v>111000</v>
      </c>
      <c r="H58" s="361">
        <f t="shared" ca="1" si="20"/>
        <v>0</v>
      </c>
      <c r="I58" s="361">
        <f t="shared" ca="1" si="21"/>
        <v>0</v>
      </c>
      <c r="J58" s="361">
        <f t="shared" ca="1" si="22"/>
        <v>1221000</v>
      </c>
      <c r="K58" s="362">
        <f t="shared" ca="1" si="23"/>
        <v>1221000</v>
      </c>
      <c r="L58" s="369"/>
      <c r="M58" s="369"/>
      <c r="N58" s="369"/>
      <c r="O58" s="363"/>
      <c r="P58" s="363"/>
      <c r="Q58" s="344"/>
      <c r="R58" s="336"/>
      <c r="S58" s="364"/>
      <c r="T58" s="341"/>
      <c r="U58" s="341"/>
      <c r="V58" s="341"/>
    </row>
    <row r="59" spans="1:22" s="370" customFormat="1">
      <c r="A59" s="336"/>
      <c r="B59" s="497"/>
      <c r="C59" s="498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  <c r="L59" s="369"/>
      <c r="M59" s="369"/>
      <c r="N59" s="369"/>
      <c r="O59" s="363"/>
      <c r="P59" s="363"/>
      <c r="Q59" s="344"/>
      <c r="R59" s="336"/>
      <c r="S59" s="364"/>
      <c r="T59" s="341"/>
      <c r="U59" s="341"/>
      <c r="V59" s="341"/>
    </row>
    <row r="60" spans="1:22" s="370" customFormat="1">
      <c r="A60" s="336"/>
      <c r="B60" s="499" t="s">
        <v>1034</v>
      </c>
      <c r="C60" s="723" t="s">
        <v>1628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368">
        <v>1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20"/>
        <v>0</v>
      </c>
      <c r="I60" s="361">
        <f t="shared" ca="1" si="21"/>
        <v>0</v>
      </c>
      <c r="J60" s="361">
        <f t="shared" ca="1" si="22"/>
        <v>0</v>
      </c>
      <c r="K60" s="362">
        <f t="shared" ca="1" si="23"/>
        <v>0</v>
      </c>
      <c r="L60" s="369"/>
      <c r="M60" s="369"/>
      <c r="N60" s="369"/>
      <c r="O60" s="363"/>
      <c r="P60" s="363"/>
      <c r="Q60" s="344"/>
      <c r="R60" s="336"/>
      <c r="S60" s="364"/>
      <c r="T60" s="341"/>
      <c r="U60" s="341"/>
      <c r="V60" s="341"/>
    </row>
    <row r="61" spans="1:22" s="370" customFormat="1">
      <c r="A61" s="336"/>
      <c r="B61" s="497">
        <v>1</v>
      </c>
      <c r="C61" s="109" t="s">
        <v>1128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368">
        <f>F60*1</f>
        <v>1</v>
      </c>
      <c r="G61" s="360">
        <f ca="1">IF(ISERROR(OFFSET('HARGA SATUAN'!$I$6,MATCH(RAB!C61,'HARGA SATUAN'!$C$7:$C$1492,0),0)),0,OFFSET('HARGA SATUAN'!$I$6,MATCH(RAB!C61,'HARGA SATUAN'!$C$7:$C$1492,0),0))</f>
        <v>176900</v>
      </c>
      <c r="H61" s="361">
        <f t="shared" ca="1" si="20"/>
        <v>176900</v>
      </c>
      <c r="I61" s="361">
        <f t="shared" ca="1" si="21"/>
        <v>0</v>
      </c>
      <c r="J61" s="361">
        <f t="shared" ca="1" si="22"/>
        <v>0</v>
      </c>
      <c r="K61" s="362">
        <f t="shared" ca="1" si="23"/>
        <v>176900</v>
      </c>
      <c r="L61" s="369"/>
      <c r="M61" s="369"/>
      <c r="N61" s="369"/>
      <c r="O61" s="363"/>
      <c r="P61" s="363"/>
      <c r="Q61" s="344"/>
      <c r="R61" s="336"/>
      <c r="S61" s="364"/>
      <c r="T61" s="341"/>
      <c r="U61" s="341"/>
      <c r="V61" s="341"/>
    </row>
    <row r="62" spans="1:22" s="370" customFormat="1">
      <c r="A62" s="336"/>
      <c r="B62" s="497">
        <v>2</v>
      </c>
      <c r="C62" s="498" t="s">
        <v>28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368">
        <f>F60*2</f>
        <v>2</v>
      </c>
      <c r="G62" s="360">
        <f ca="1">IF(ISERROR(OFFSET('HARGA SATUAN'!$I$6,MATCH(RAB!C62,'HARGA SATUAN'!$C$7:$C$1492,0),0)),0,OFFSET('HARGA SATUAN'!$I$6,MATCH(RAB!C62,'HARGA SATUAN'!$C$7:$C$1492,0),0))</f>
        <v>26500</v>
      </c>
      <c r="H62" s="361">
        <f t="shared" ca="1" si="20"/>
        <v>0</v>
      </c>
      <c r="I62" s="361">
        <f t="shared" ca="1" si="21"/>
        <v>53000</v>
      </c>
      <c r="J62" s="361">
        <f t="shared" ca="1" si="22"/>
        <v>0</v>
      </c>
      <c r="K62" s="362">
        <f t="shared" ca="1" si="23"/>
        <v>53000</v>
      </c>
      <c r="L62" s="369"/>
      <c r="M62" s="369"/>
      <c r="N62" s="369"/>
      <c r="O62" s="363"/>
      <c r="P62" s="363"/>
      <c r="Q62" s="344"/>
      <c r="R62" s="336"/>
      <c r="S62" s="364"/>
      <c r="T62" s="341"/>
      <c r="U62" s="341"/>
      <c r="V62" s="341"/>
    </row>
    <row r="63" spans="1:22" s="370" customFormat="1">
      <c r="A63" s="336"/>
      <c r="B63" s="497">
        <v>3</v>
      </c>
      <c r="C63" s="498" t="s">
        <v>178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368">
        <f>F60*1</f>
        <v>1</v>
      </c>
      <c r="G63" s="360">
        <f ca="1">IF(ISERROR(OFFSET('HARGA SATUAN'!$I$6,MATCH(RAB!C63,'HARGA SATUAN'!$C$7:$C$1492,0),0)),0,OFFSET('HARGA SATUAN'!$I$6,MATCH(RAB!C63,'HARGA SATUAN'!$C$7:$C$1492,0),0))</f>
        <v>95000</v>
      </c>
      <c r="H63" s="361">
        <f t="shared" ca="1" si="20"/>
        <v>0</v>
      </c>
      <c r="I63" s="361">
        <f t="shared" ca="1" si="21"/>
        <v>95000</v>
      </c>
      <c r="J63" s="361">
        <f t="shared" ca="1" si="22"/>
        <v>0</v>
      </c>
      <c r="K63" s="362">
        <f t="shared" ca="1" si="23"/>
        <v>95000</v>
      </c>
      <c r="L63" s="369"/>
      <c r="M63" s="369"/>
      <c r="N63" s="369"/>
      <c r="O63" s="363"/>
      <c r="P63" s="363"/>
      <c r="Q63" s="344"/>
      <c r="R63" s="336"/>
      <c r="S63" s="364"/>
      <c r="T63" s="341"/>
      <c r="U63" s="341"/>
      <c r="V63" s="341"/>
    </row>
    <row r="64" spans="1:22" s="370" customFormat="1">
      <c r="A64" s="336"/>
      <c r="B64" s="497">
        <v>4</v>
      </c>
      <c r="C64" s="498" t="s">
        <v>217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368">
        <f>F60*2</f>
        <v>2</v>
      </c>
      <c r="G64" s="360">
        <f ca="1">IF(ISERROR(OFFSET('HARGA SATUAN'!$I$6,MATCH(RAB!C64,'HARGA SATUAN'!$C$7:$C$1492,0),0)),0,OFFSET('HARGA SATUAN'!$I$6,MATCH(RAB!C64,'HARGA SATUAN'!$C$7:$C$1492,0),0))</f>
        <v>11400</v>
      </c>
      <c r="H64" s="361">
        <f t="shared" ca="1" si="20"/>
        <v>0</v>
      </c>
      <c r="I64" s="361">
        <f t="shared" ca="1" si="21"/>
        <v>22800</v>
      </c>
      <c r="J64" s="361">
        <f t="shared" ca="1" si="22"/>
        <v>0</v>
      </c>
      <c r="K64" s="362">
        <f t="shared" ca="1" si="23"/>
        <v>22800</v>
      </c>
      <c r="L64" s="369"/>
      <c r="M64" s="369"/>
      <c r="N64" s="369"/>
      <c r="O64" s="363"/>
      <c r="P64" s="363"/>
      <c r="Q64" s="344"/>
      <c r="R64" s="336"/>
      <c r="S64" s="364"/>
      <c r="T64" s="341"/>
      <c r="U64" s="341"/>
      <c r="V64" s="341"/>
    </row>
    <row r="65" spans="1:22" s="370" customFormat="1">
      <c r="A65" s="336"/>
      <c r="B65" s="497">
        <v>5</v>
      </c>
      <c r="C65" s="498" t="s">
        <v>254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368">
        <f>F60*1</f>
        <v>1</v>
      </c>
      <c r="G65" s="360">
        <f ca="1">IF(ISERROR(OFFSET('HARGA SATUAN'!$I$6,MATCH(RAB!C65,'HARGA SATUAN'!$C$7:$C$1492,0),0)),0,OFFSET('HARGA SATUAN'!$I$6,MATCH(RAB!C65,'HARGA SATUAN'!$C$7:$C$1492,0),0))</f>
        <v>51100</v>
      </c>
      <c r="H65" s="361">
        <f t="shared" ca="1" si="20"/>
        <v>0</v>
      </c>
      <c r="I65" s="361">
        <f t="shared" ca="1" si="21"/>
        <v>51100</v>
      </c>
      <c r="J65" s="361">
        <f t="shared" ca="1" si="22"/>
        <v>0</v>
      </c>
      <c r="K65" s="362">
        <f t="shared" ca="1" si="23"/>
        <v>51100</v>
      </c>
      <c r="L65" s="369"/>
      <c r="M65" s="369"/>
      <c r="N65" s="369"/>
      <c r="O65" s="363"/>
      <c r="P65" s="363"/>
      <c r="Q65" s="344"/>
      <c r="R65" s="336"/>
      <c r="S65" s="364"/>
      <c r="T65" s="341"/>
      <c r="U65" s="341"/>
      <c r="V65" s="341"/>
    </row>
    <row r="66" spans="1:22" s="370" customFormat="1">
      <c r="A66" s="336"/>
      <c r="B66" s="497">
        <v>6</v>
      </c>
      <c r="C66" s="498" t="s">
        <v>264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368">
        <f>F60*1</f>
        <v>1</v>
      </c>
      <c r="G66" s="360">
        <f ca="1">IF(ISERROR(OFFSET('HARGA SATUAN'!$I$6,MATCH(RAB!C66,'HARGA SATUAN'!$C$7:$C$1492,0),0)),0,OFFSET('HARGA SATUAN'!$I$6,MATCH(RAB!C66,'HARGA SATUAN'!$C$7:$C$1492,0),0))</f>
        <v>28000</v>
      </c>
      <c r="H66" s="361">
        <f t="shared" ca="1" si="20"/>
        <v>0</v>
      </c>
      <c r="I66" s="361">
        <f t="shared" ca="1" si="21"/>
        <v>28000</v>
      </c>
      <c r="J66" s="361">
        <f t="shared" ca="1" si="22"/>
        <v>0</v>
      </c>
      <c r="K66" s="362">
        <f t="shared" ca="1" si="23"/>
        <v>28000</v>
      </c>
      <c r="L66" s="369"/>
      <c r="M66" s="369"/>
      <c r="N66" s="369"/>
      <c r="O66" s="363"/>
      <c r="P66" s="363"/>
      <c r="Q66" s="344"/>
      <c r="R66" s="336"/>
      <c r="S66" s="364"/>
      <c r="T66" s="341"/>
      <c r="U66" s="341"/>
      <c r="V66" s="341"/>
    </row>
    <row r="67" spans="1:22" s="370" customFormat="1">
      <c r="A67" s="336"/>
      <c r="B67" s="497">
        <v>7</v>
      </c>
      <c r="C67" s="498" t="s">
        <v>38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Mtr</v>
      </c>
      <c r="F67" s="368">
        <f>2.6*F60</f>
        <v>2.6</v>
      </c>
      <c r="G67" s="360">
        <f ca="1">IF(ISERROR(OFFSET('HARGA SATUAN'!$I$6,MATCH(RAB!C67,'HARGA SATUAN'!$C$7:$C$1492,0),0)),0,OFFSET('HARGA SATUAN'!$I$6,MATCH(RAB!C67,'HARGA SATUAN'!$C$7:$C$1492,0),0))</f>
        <v>8550</v>
      </c>
      <c r="H67" s="361">
        <f t="shared" ca="1" si="20"/>
        <v>0</v>
      </c>
      <c r="I67" s="361">
        <f t="shared" ca="1" si="21"/>
        <v>22230</v>
      </c>
      <c r="J67" s="361">
        <f t="shared" ca="1" si="22"/>
        <v>0</v>
      </c>
      <c r="K67" s="362">
        <f t="shared" ca="1" si="23"/>
        <v>22230</v>
      </c>
      <c r="L67" s="369"/>
      <c r="M67" s="369"/>
      <c r="N67" s="369"/>
      <c r="O67" s="363"/>
      <c r="P67" s="363"/>
      <c r="Q67" s="344"/>
      <c r="R67" s="336"/>
      <c r="S67" s="364"/>
      <c r="T67" s="341"/>
      <c r="U67" s="341"/>
      <c r="V67" s="341"/>
    </row>
    <row r="68" spans="1:22" s="370" customFormat="1">
      <c r="A68" s="336"/>
      <c r="B68" s="497">
        <v>8</v>
      </c>
      <c r="C68" s="498" t="s">
        <v>26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368">
        <f>F60*2</f>
        <v>2</v>
      </c>
      <c r="G68" s="360">
        <f ca="1">IF(ISERROR(OFFSET('HARGA SATUAN'!$I$6,MATCH(RAB!C68,'HARGA SATUAN'!$C$7:$C$1492,0),0)),0,OFFSET('HARGA SATUAN'!$I$6,MATCH(RAB!C68,'HARGA SATUAN'!$C$7:$C$1492,0),0))</f>
        <v>2500</v>
      </c>
      <c r="H68" s="361">
        <f t="shared" ca="1" si="20"/>
        <v>0</v>
      </c>
      <c r="I68" s="361">
        <f t="shared" ca="1" si="21"/>
        <v>5000</v>
      </c>
      <c r="J68" s="361">
        <f t="shared" ca="1" si="22"/>
        <v>0</v>
      </c>
      <c r="K68" s="362">
        <f t="shared" ca="1" si="23"/>
        <v>5000</v>
      </c>
      <c r="L68" s="369"/>
      <c r="M68" s="369"/>
      <c r="N68" s="369"/>
      <c r="O68" s="363"/>
      <c r="P68" s="363"/>
      <c r="Q68" s="344"/>
      <c r="R68" s="336"/>
      <c r="S68" s="364"/>
      <c r="T68" s="341"/>
      <c r="U68" s="341"/>
      <c r="V68" s="341"/>
    </row>
    <row r="69" spans="1:22" s="370" customFormat="1">
      <c r="A69" s="336"/>
      <c r="B69" s="497">
        <v>9</v>
      </c>
      <c r="C69" s="498" t="s">
        <v>641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368">
        <f>F60*1</f>
        <v>1</v>
      </c>
      <c r="G69" s="360">
        <f ca="1">IF(ISERROR(OFFSET('HARGA SATUAN'!$I$6,MATCH(RAB!C69,'HARGA SATUAN'!$C$7:$C$1492,0),0)),0,OFFSET('HARGA SATUAN'!$I$6,MATCH(RAB!C69,'HARGA SATUAN'!$C$7:$C$1492,0),0))</f>
        <v>53200</v>
      </c>
      <c r="H69" s="361">
        <f t="shared" ca="1" si="20"/>
        <v>0</v>
      </c>
      <c r="I69" s="361">
        <f t="shared" ca="1" si="21"/>
        <v>0</v>
      </c>
      <c r="J69" s="361">
        <f t="shared" ca="1" si="22"/>
        <v>53200</v>
      </c>
      <c r="K69" s="362">
        <f t="shared" ca="1" si="23"/>
        <v>53200</v>
      </c>
      <c r="L69" s="369"/>
      <c r="M69" s="369"/>
      <c r="N69" s="369"/>
      <c r="O69" s="363"/>
      <c r="P69" s="363"/>
      <c r="Q69" s="344"/>
      <c r="R69" s="336"/>
      <c r="S69" s="364"/>
      <c r="T69" s="341"/>
      <c r="U69" s="341"/>
      <c r="V69" s="341"/>
    </row>
    <row r="70" spans="1:22" s="370" customFormat="1">
      <c r="A70" s="336"/>
      <c r="B70" s="497"/>
      <c r="C70" s="498"/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ref="H70:H86" ca="1" si="24">IF(OR(D70="MDU",D70="MDU-KD"),(IF($O$3="RAB NON MDU","PLN KD",G70*F70)),0)</f>
        <v>0</v>
      </c>
      <c r="I70" s="361">
        <f t="shared" ref="I70:I86" ca="1" si="25">IF(D70="HDW",G70*F70,0)</f>
        <v>0</v>
      </c>
      <c r="J70" s="361">
        <f t="shared" ref="J70:J86" ca="1" si="26">IF(D70="JASA",G70*F70,0)</f>
        <v>0</v>
      </c>
      <c r="K70" s="362">
        <f t="shared" ref="K70:K86" ca="1" si="27">SUM(H70:J70)</f>
        <v>0</v>
      </c>
      <c r="L70" s="369"/>
      <c r="M70" s="369"/>
      <c r="N70" s="369"/>
      <c r="O70" s="363"/>
      <c r="P70" s="363"/>
      <c r="Q70" s="344"/>
      <c r="R70" s="336"/>
      <c r="S70" s="364"/>
      <c r="T70" s="341"/>
      <c r="U70" s="341"/>
      <c r="V70" s="341"/>
    </row>
    <row r="71" spans="1:22" s="370" customFormat="1">
      <c r="A71" s="336"/>
      <c r="B71" s="499" t="s">
        <v>1034</v>
      </c>
      <c r="C71" s="723" t="s">
        <v>1631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368">
        <v>1</v>
      </c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4"/>
        <v>0</v>
      </c>
      <c r="I71" s="361">
        <f t="shared" ca="1" si="25"/>
        <v>0</v>
      </c>
      <c r="J71" s="361">
        <f t="shared" ca="1" si="26"/>
        <v>0</v>
      </c>
      <c r="K71" s="362">
        <f t="shared" ca="1" si="27"/>
        <v>0</v>
      </c>
      <c r="L71" s="369"/>
      <c r="M71" s="369"/>
      <c r="N71" s="369"/>
      <c r="O71" s="363"/>
      <c r="P71" s="363"/>
      <c r="Q71" s="344"/>
      <c r="R71" s="336"/>
      <c r="S71" s="364"/>
      <c r="T71" s="341"/>
      <c r="U71" s="341"/>
      <c r="V71" s="341"/>
    </row>
    <row r="72" spans="1:22" s="370" customFormat="1">
      <c r="A72" s="336"/>
      <c r="B72" s="497">
        <v>1</v>
      </c>
      <c r="C72" s="109" t="s">
        <v>1568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Set</v>
      </c>
      <c r="F72" s="368">
        <f>F71*1</f>
        <v>1</v>
      </c>
      <c r="G72" s="360">
        <f ca="1">IF(ISERROR(OFFSET('HARGA SATUAN'!$I$6,MATCH(RAB!C72,'HARGA SATUAN'!$C$7:$C$1492,0),0)),0,OFFSET('HARGA SATUAN'!$I$6,MATCH(RAB!C72,'HARGA SATUAN'!$C$7:$C$1492,0),0))</f>
        <v>205700</v>
      </c>
      <c r="H72" s="361">
        <f t="shared" ca="1" si="24"/>
        <v>205700</v>
      </c>
      <c r="I72" s="361">
        <f t="shared" ca="1" si="25"/>
        <v>0</v>
      </c>
      <c r="J72" s="361">
        <f t="shared" ca="1" si="26"/>
        <v>0</v>
      </c>
      <c r="K72" s="362">
        <f t="shared" ca="1" si="27"/>
        <v>205700</v>
      </c>
      <c r="L72" s="369"/>
      <c r="M72" s="369"/>
      <c r="N72" s="369"/>
      <c r="O72" s="363"/>
      <c r="P72" s="363"/>
      <c r="Q72" s="344"/>
      <c r="R72" s="336"/>
      <c r="S72" s="364"/>
      <c r="T72" s="341"/>
      <c r="U72" s="341"/>
      <c r="V72" s="341"/>
    </row>
    <row r="73" spans="1:22" s="370" customFormat="1">
      <c r="A73" s="336"/>
      <c r="B73" s="497">
        <v>2</v>
      </c>
      <c r="C73" s="498" t="s">
        <v>152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368">
        <f>F71*1</f>
        <v>1</v>
      </c>
      <c r="G73" s="360">
        <f ca="1">IF(ISERROR(OFFSET('HARGA SATUAN'!$I$6,MATCH(RAB!C73,'HARGA SATUAN'!$C$7:$C$1492,0),0)),0,OFFSET('HARGA SATUAN'!$I$6,MATCH(RAB!C73,'HARGA SATUAN'!$C$7:$C$1492,0),0))</f>
        <v>7789</v>
      </c>
      <c r="H73" s="361">
        <f t="shared" ca="1" si="24"/>
        <v>0</v>
      </c>
      <c r="I73" s="361">
        <f t="shared" ca="1" si="25"/>
        <v>7789</v>
      </c>
      <c r="J73" s="361">
        <f t="shared" ca="1" si="26"/>
        <v>0</v>
      </c>
      <c r="K73" s="362">
        <f t="shared" ca="1" si="27"/>
        <v>7789</v>
      </c>
      <c r="L73" s="369"/>
      <c r="M73" s="369"/>
      <c r="N73" s="369"/>
      <c r="O73" s="363"/>
      <c r="P73" s="363"/>
      <c r="Q73" s="344"/>
      <c r="R73" s="336"/>
      <c r="S73" s="364"/>
      <c r="T73" s="341"/>
      <c r="U73" s="341"/>
      <c r="V73" s="341"/>
    </row>
    <row r="74" spans="1:22" s="370" customFormat="1">
      <c r="A74" s="336"/>
      <c r="B74" s="497">
        <v>3</v>
      </c>
      <c r="C74" s="498" t="s">
        <v>179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368">
        <f>F71*1</f>
        <v>1</v>
      </c>
      <c r="G74" s="360">
        <f ca="1">IF(ISERROR(OFFSET('HARGA SATUAN'!$I$6,MATCH(RAB!C74,'HARGA SATUAN'!$C$7:$C$1492,0),0)),0,OFFSET('HARGA SATUAN'!$I$6,MATCH(RAB!C74,'HARGA SATUAN'!$C$7:$C$1492,0),0))</f>
        <v>15500</v>
      </c>
      <c r="H74" s="361">
        <f t="shared" ca="1" si="24"/>
        <v>0</v>
      </c>
      <c r="I74" s="361">
        <f t="shared" ca="1" si="25"/>
        <v>15500</v>
      </c>
      <c r="J74" s="361">
        <f t="shared" ca="1" si="26"/>
        <v>0</v>
      </c>
      <c r="K74" s="362">
        <f t="shared" ca="1" si="27"/>
        <v>15500</v>
      </c>
      <c r="L74" s="369"/>
      <c r="M74" s="369"/>
      <c r="N74" s="369"/>
      <c r="O74" s="363"/>
      <c r="P74" s="363"/>
      <c r="Q74" s="344"/>
      <c r="R74" s="336"/>
      <c r="S74" s="364"/>
      <c r="T74" s="341"/>
      <c r="U74" s="341"/>
      <c r="V74" s="341"/>
    </row>
    <row r="75" spans="1:22" s="370" customFormat="1">
      <c r="A75" s="336"/>
      <c r="B75" s="497">
        <v>4</v>
      </c>
      <c r="C75" s="498" t="s">
        <v>184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368">
        <f>F71*2</f>
        <v>2</v>
      </c>
      <c r="G75" s="360">
        <f ca="1">IF(ISERROR(OFFSET('HARGA SATUAN'!$I$6,MATCH(RAB!C75,'HARGA SATUAN'!$C$7:$C$1492,0),0)),0,OFFSET('HARGA SATUAN'!$I$6,MATCH(RAB!C75,'HARGA SATUAN'!$C$7:$C$1492,0),0))</f>
        <v>15900</v>
      </c>
      <c r="H75" s="361">
        <f t="shared" ca="1" si="24"/>
        <v>0</v>
      </c>
      <c r="I75" s="361">
        <f t="shared" ca="1" si="25"/>
        <v>31800</v>
      </c>
      <c r="J75" s="361">
        <f t="shared" ca="1" si="26"/>
        <v>0</v>
      </c>
      <c r="K75" s="362">
        <f t="shared" ca="1" si="27"/>
        <v>31800</v>
      </c>
      <c r="L75" s="369"/>
      <c r="M75" s="369"/>
      <c r="N75" s="369"/>
      <c r="O75" s="363"/>
      <c r="P75" s="363"/>
      <c r="Q75" s="344"/>
      <c r="R75" s="336"/>
      <c r="S75" s="364"/>
      <c r="T75" s="341"/>
      <c r="U75" s="341"/>
      <c r="V75" s="341"/>
    </row>
    <row r="76" spans="1:22" s="370" customFormat="1">
      <c r="A76" s="336"/>
      <c r="B76" s="497">
        <v>5</v>
      </c>
      <c r="C76" s="498" t="s">
        <v>217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368">
        <f>F71*1</f>
        <v>1</v>
      </c>
      <c r="G76" s="360">
        <f ca="1">IF(ISERROR(OFFSET('HARGA SATUAN'!$I$6,MATCH(RAB!C76,'HARGA SATUAN'!$C$7:$C$1492,0),0)),0,OFFSET('HARGA SATUAN'!$I$6,MATCH(RAB!C76,'HARGA SATUAN'!$C$7:$C$1492,0),0))</f>
        <v>11400</v>
      </c>
      <c r="H76" s="361">
        <f t="shared" ca="1" si="24"/>
        <v>0</v>
      </c>
      <c r="I76" s="361">
        <f t="shared" ca="1" si="25"/>
        <v>11400</v>
      </c>
      <c r="J76" s="361">
        <f t="shared" ca="1" si="26"/>
        <v>0</v>
      </c>
      <c r="K76" s="362">
        <f t="shared" ca="1" si="27"/>
        <v>11400</v>
      </c>
      <c r="L76" s="369"/>
      <c r="M76" s="369"/>
      <c r="N76" s="369"/>
      <c r="O76" s="363"/>
      <c r="P76" s="363"/>
      <c r="Q76" s="344"/>
      <c r="R76" s="336"/>
      <c r="S76" s="364"/>
      <c r="T76" s="341"/>
      <c r="U76" s="341"/>
      <c r="V76" s="341"/>
    </row>
    <row r="77" spans="1:22" s="370" customFormat="1">
      <c r="A77" s="336"/>
      <c r="B77" s="497">
        <v>6</v>
      </c>
      <c r="C77" s="498" t="s">
        <v>218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368">
        <f>F71*2</f>
        <v>2</v>
      </c>
      <c r="G77" s="360">
        <f ca="1">IF(ISERROR(OFFSET('HARGA SATUAN'!$I$6,MATCH(RAB!C77,'HARGA SATUAN'!$C$7:$C$1492,0),0)),0,OFFSET('HARGA SATUAN'!$I$6,MATCH(RAB!C77,'HARGA SATUAN'!$C$7:$C$1492,0),0))</f>
        <v>29600</v>
      </c>
      <c r="H77" s="361">
        <f t="shared" ca="1" si="24"/>
        <v>0</v>
      </c>
      <c r="I77" s="361">
        <f t="shared" ca="1" si="25"/>
        <v>59200</v>
      </c>
      <c r="J77" s="361">
        <f t="shared" ca="1" si="26"/>
        <v>0</v>
      </c>
      <c r="K77" s="362">
        <f t="shared" ca="1" si="27"/>
        <v>59200</v>
      </c>
      <c r="L77" s="369"/>
      <c r="M77" s="369"/>
      <c r="N77" s="369"/>
      <c r="O77" s="363"/>
      <c r="P77" s="363"/>
      <c r="Q77" s="344"/>
      <c r="R77" s="336"/>
      <c r="S77" s="364"/>
      <c r="T77" s="341"/>
      <c r="U77" s="341"/>
      <c r="V77" s="341"/>
    </row>
    <row r="78" spans="1:22" s="370" customFormat="1">
      <c r="A78" s="336"/>
      <c r="B78" s="497">
        <v>7</v>
      </c>
      <c r="C78" s="498" t="s">
        <v>223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368">
        <f>F71*1</f>
        <v>1</v>
      </c>
      <c r="G78" s="360">
        <f ca="1">IF(ISERROR(OFFSET('HARGA SATUAN'!$I$6,MATCH(RAB!C78,'HARGA SATUAN'!$C$7:$C$1492,0),0)),0,OFFSET('HARGA SATUAN'!$I$6,MATCH(RAB!C78,'HARGA SATUAN'!$C$7:$C$1492,0),0))</f>
        <v>27815</v>
      </c>
      <c r="H78" s="361">
        <f t="shared" ca="1" si="24"/>
        <v>0</v>
      </c>
      <c r="I78" s="361">
        <f t="shared" ca="1" si="25"/>
        <v>27815</v>
      </c>
      <c r="J78" s="361">
        <f t="shared" ca="1" si="26"/>
        <v>0</v>
      </c>
      <c r="K78" s="362">
        <f t="shared" ca="1" si="27"/>
        <v>27815</v>
      </c>
      <c r="L78" s="369"/>
      <c r="M78" s="369"/>
      <c r="N78" s="369"/>
      <c r="O78" s="363"/>
      <c r="P78" s="363"/>
      <c r="Q78" s="344"/>
      <c r="R78" s="336"/>
      <c r="S78" s="364"/>
      <c r="T78" s="341"/>
      <c r="U78" s="341"/>
      <c r="V78" s="341"/>
    </row>
    <row r="79" spans="1:22" s="370" customFormat="1">
      <c r="A79" s="336"/>
      <c r="B79" s="497">
        <v>8</v>
      </c>
      <c r="C79" s="498" t="s">
        <v>25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368">
        <f>F71*1</f>
        <v>1</v>
      </c>
      <c r="G79" s="360">
        <f ca="1">IF(ISERROR(OFFSET('HARGA SATUAN'!$I$6,MATCH(RAB!C79,'HARGA SATUAN'!$C$7:$C$1492,0),0)),0,OFFSET('HARGA SATUAN'!$I$6,MATCH(RAB!C79,'HARGA SATUAN'!$C$7:$C$1492,0),0))</f>
        <v>23936</v>
      </c>
      <c r="H79" s="361">
        <f t="shared" ca="1" si="24"/>
        <v>0</v>
      </c>
      <c r="I79" s="361">
        <f t="shared" ca="1" si="25"/>
        <v>23936</v>
      </c>
      <c r="J79" s="361">
        <f t="shared" ca="1" si="26"/>
        <v>0</v>
      </c>
      <c r="K79" s="362">
        <f t="shared" ca="1" si="27"/>
        <v>23936</v>
      </c>
      <c r="L79" s="369"/>
      <c r="M79" s="369"/>
      <c r="N79" s="369"/>
      <c r="O79" s="363"/>
      <c r="P79" s="363"/>
      <c r="Q79" s="344"/>
      <c r="R79" s="336"/>
      <c r="S79" s="364"/>
      <c r="T79" s="341"/>
      <c r="U79" s="341"/>
      <c r="V79" s="341"/>
    </row>
    <row r="80" spans="1:22" s="370" customFormat="1">
      <c r="A80" s="336"/>
      <c r="B80" s="497">
        <v>9</v>
      </c>
      <c r="C80" s="498" t="s">
        <v>247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368">
        <f>F71*1</f>
        <v>1</v>
      </c>
      <c r="G80" s="360">
        <f ca="1">IF(ISERROR(OFFSET('HARGA SATUAN'!$I$6,MATCH(RAB!C80,'HARGA SATUAN'!$C$7:$C$1492,0),0)),0,OFFSET('HARGA SATUAN'!$I$6,MATCH(RAB!C80,'HARGA SATUAN'!$C$7:$C$1492,0),0))</f>
        <v>57690</v>
      </c>
      <c r="H80" s="361">
        <f t="shared" ca="1" si="24"/>
        <v>0</v>
      </c>
      <c r="I80" s="361">
        <f t="shared" ca="1" si="25"/>
        <v>57690</v>
      </c>
      <c r="J80" s="361">
        <f t="shared" ca="1" si="26"/>
        <v>0</v>
      </c>
      <c r="K80" s="362">
        <f t="shared" ca="1" si="27"/>
        <v>57690</v>
      </c>
      <c r="L80" s="369"/>
      <c r="M80" s="369"/>
      <c r="N80" s="369"/>
      <c r="O80" s="363"/>
      <c r="P80" s="363"/>
      <c r="Q80" s="344"/>
      <c r="R80" s="336"/>
      <c r="S80" s="364"/>
      <c r="T80" s="341"/>
      <c r="U80" s="341"/>
      <c r="V80" s="341"/>
    </row>
    <row r="81" spans="1:22" s="370" customFormat="1">
      <c r="A81" s="336"/>
      <c r="B81" s="497">
        <v>10</v>
      </c>
      <c r="C81" s="498" t="s">
        <v>265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368">
        <f>F71*1</f>
        <v>1</v>
      </c>
      <c r="G81" s="360">
        <f ca="1">IF(ISERROR(OFFSET('HARGA SATUAN'!$I$6,MATCH(RAB!C81,'HARGA SATUAN'!$C$7:$C$1492,0),0)),0,OFFSET('HARGA SATUAN'!$I$6,MATCH(RAB!C81,'HARGA SATUAN'!$C$7:$C$1492,0),0))</f>
        <v>33501.866666666669</v>
      </c>
      <c r="H81" s="361">
        <f t="shared" ca="1" si="24"/>
        <v>0</v>
      </c>
      <c r="I81" s="361">
        <f t="shared" ca="1" si="25"/>
        <v>33501.866666666669</v>
      </c>
      <c r="J81" s="361">
        <f t="shared" ca="1" si="26"/>
        <v>0</v>
      </c>
      <c r="K81" s="362">
        <f t="shared" ca="1" si="27"/>
        <v>33501.866666666669</v>
      </c>
      <c r="L81" s="369"/>
      <c r="M81" s="369"/>
      <c r="N81" s="369"/>
      <c r="O81" s="363"/>
      <c r="P81" s="363"/>
      <c r="Q81" s="344"/>
      <c r="R81" s="336"/>
      <c r="S81" s="364"/>
      <c r="T81" s="341"/>
      <c r="U81" s="341"/>
      <c r="V81" s="341"/>
    </row>
    <row r="82" spans="1:22" s="370" customFormat="1">
      <c r="A82" s="336"/>
      <c r="B82" s="497">
        <v>11</v>
      </c>
      <c r="C82" s="498" t="s">
        <v>26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368">
        <f>F71*1</f>
        <v>1</v>
      </c>
      <c r="G82" s="360">
        <f ca="1">IF(ISERROR(OFFSET('HARGA SATUAN'!$I$6,MATCH(RAB!C82,'HARGA SATUAN'!$C$7:$C$1492,0),0)),0,OFFSET('HARGA SATUAN'!$I$6,MATCH(RAB!C82,'HARGA SATUAN'!$C$7:$C$1492,0),0))</f>
        <v>2500</v>
      </c>
      <c r="H82" s="361">
        <f t="shared" ca="1" si="24"/>
        <v>0</v>
      </c>
      <c r="I82" s="361">
        <f t="shared" ca="1" si="25"/>
        <v>2500</v>
      </c>
      <c r="J82" s="361">
        <f t="shared" ca="1" si="26"/>
        <v>0</v>
      </c>
      <c r="K82" s="362">
        <f t="shared" ca="1" si="27"/>
        <v>2500</v>
      </c>
      <c r="L82" s="369"/>
      <c r="M82" s="369"/>
      <c r="N82" s="369"/>
      <c r="O82" s="363"/>
      <c r="P82" s="363"/>
      <c r="Q82" s="344"/>
      <c r="R82" s="336"/>
      <c r="S82" s="364"/>
      <c r="T82" s="341"/>
      <c r="U82" s="341"/>
      <c r="V82" s="341"/>
    </row>
    <row r="83" spans="1:22" s="370" customFormat="1">
      <c r="A83" s="336"/>
      <c r="B83" s="497">
        <v>12</v>
      </c>
      <c r="C83" s="498" t="s">
        <v>657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368">
        <f>F71*1</f>
        <v>1</v>
      </c>
      <c r="G83" s="360">
        <f ca="1">IF(ISERROR(OFFSET('HARGA SATUAN'!$I$6,MATCH(RAB!C83,'HARGA SATUAN'!$C$7:$C$1492,0),0)),0,OFFSET('HARGA SATUAN'!$I$6,MATCH(RAB!C83,'HARGA SATUAN'!$C$7:$C$1492,0),0))</f>
        <v>53800</v>
      </c>
      <c r="H83" s="361">
        <f t="shared" ca="1" si="24"/>
        <v>0</v>
      </c>
      <c r="I83" s="361">
        <f t="shared" ca="1" si="25"/>
        <v>0</v>
      </c>
      <c r="J83" s="361">
        <f t="shared" ca="1" si="26"/>
        <v>53800</v>
      </c>
      <c r="K83" s="362">
        <f t="shared" ca="1" si="27"/>
        <v>53800</v>
      </c>
      <c r="L83" s="369"/>
      <c r="M83" s="369"/>
      <c r="N83" s="369"/>
      <c r="O83" s="363"/>
      <c r="P83" s="363"/>
      <c r="Q83" s="344"/>
      <c r="R83" s="336"/>
      <c r="S83" s="364"/>
      <c r="T83" s="341"/>
      <c r="U83" s="341"/>
      <c r="V83" s="341"/>
    </row>
    <row r="84" spans="1:22" s="370" customFormat="1">
      <c r="A84" s="336"/>
      <c r="B84" s="497"/>
      <c r="C84" s="498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368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24"/>
        <v>0</v>
      </c>
      <c r="I84" s="361">
        <f t="shared" ca="1" si="25"/>
        <v>0</v>
      </c>
      <c r="J84" s="361">
        <f t="shared" ca="1" si="26"/>
        <v>0</v>
      </c>
      <c r="K84" s="362">
        <f t="shared" ca="1" si="27"/>
        <v>0</v>
      </c>
      <c r="L84" s="369"/>
      <c r="M84" s="369"/>
      <c r="N84" s="369"/>
      <c r="O84" s="363"/>
      <c r="P84" s="363"/>
      <c r="Q84" s="344"/>
      <c r="R84" s="336"/>
      <c r="S84" s="364"/>
      <c r="T84" s="341"/>
      <c r="U84" s="341"/>
      <c r="V84" s="341"/>
    </row>
    <row r="85" spans="1:22" s="370" customFormat="1">
      <c r="A85" s="336"/>
      <c r="B85" s="499" t="s">
        <v>1034</v>
      </c>
      <c r="C85" s="723" t="s">
        <v>1632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368">
        <v>1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24"/>
        <v>0</v>
      </c>
      <c r="I85" s="361">
        <f t="shared" ca="1" si="25"/>
        <v>0</v>
      </c>
      <c r="J85" s="361">
        <f t="shared" ca="1" si="26"/>
        <v>0</v>
      </c>
      <c r="K85" s="362">
        <f t="shared" ca="1" si="27"/>
        <v>0</v>
      </c>
      <c r="L85" s="369"/>
      <c r="M85" s="369"/>
      <c r="N85" s="369"/>
      <c r="O85" s="363"/>
      <c r="P85" s="363"/>
      <c r="Q85" s="344"/>
      <c r="R85" s="336"/>
      <c r="S85" s="364"/>
      <c r="T85" s="341"/>
      <c r="U85" s="341"/>
      <c r="V85" s="341"/>
    </row>
    <row r="86" spans="1:22" s="370" customFormat="1">
      <c r="A86" s="336"/>
      <c r="B86" s="497">
        <v>1</v>
      </c>
      <c r="C86" s="498" t="s">
        <v>535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368">
        <f>F85*1</f>
        <v>1</v>
      </c>
      <c r="G86" s="360">
        <f ca="1">IF(ISERROR(OFFSET('HARGA SATUAN'!$I$6,MATCH(RAB!C86,'HARGA SATUAN'!$C$7:$C$1492,0),0)),0,OFFSET('HARGA SATUAN'!$I$6,MATCH(RAB!C86,'HARGA SATUAN'!$C$7:$C$1492,0),0))</f>
        <v>848250</v>
      </c>
      <c r="H86" s="361">
        <f t="shared" ca="1" si="24"/>
        <v>848250</v>
      </c>
      <c r="I86" s="361">
        <f t="shared" ca="1" si="25"/>
        <v>0</v>
      </c>
      <c r="J86" s="361">
        <f t="shared" ca="1" si="26"/>
        <v>0</v>
      </c>
      <c r="K86" s="362">
        <f t="shared" ca="1" si="27"/>
        <v>848250</v>
      </c>
      <c r="L86" s="369"/>
      <c r="M86" s="369"/>
      <c r="N86" s="369"/>
      <c r="O86" s="363"/>
      <c r="P86" s="363"/>
      <c r="Q86" s="344"/>
      <c r="R86" s="336"/>
      <c r="S86" s="364"/>
      <c r="T86" s="341"/>
      <c r="U86" s="341"/>
      <c r="V86" s="341"/>
    </row>
    <row r="87" spans="1:22" s="370" customFormat="1">
      <c r="A87" s="336"/>
      <c r="B87" s="497">
        <v>2</v>
      </c>
      <c r="C87" s="498" t="s">
        <v>62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368">
        <f>F85*1</f>
        <v>1</v>
      </c>
      <c r="G87" s="360">
        <f ca="1">IF(ISERROR(OFFSET('HARGA SATUAN'!$I$6,MATCH(RAB!C87,'HARGA SATUAN'!$C$7:$C$1492,0),0)),0,OFFSET('HARGA SATUAN'!$I$6,MATCH(RAB!C87,'HARGA SATUAN'!$C$7:$C$1492,0),0))</f>
        <v>32500</v>
      </c>
      <c r="H87" s="361">
        <f t="shared" ca="1" si="20"/>
        <v>0</v>
      </c>
      <c r="I87" s="361">
        <f t="shared" ca="1" si="21"/>
        <v>32500</v>
      </c>
      <c r="J87" s="361">
        <f t="shared" ca="1" si="22"/>
        <v>0</v>
      </c>
      <c r="K87" s="362">
        <f t="shared" ca="1" si="23"/>
        <v>32500</v>
      </c>
      <c r="L87" s="369"/>
      <c r="M87" s="369"/>
      <c r="N87" s="369"/>
      <c r="O87" s="363"/>
      <c r="P87" s="363"/>
      <c r="Q87" s="344"/>
      <c r="R87" s="336"/>
      <c r="S87" s="364"/>
      <c r="T87" s="341"/>
      <c r="U87" s="341"/>
      <c r="V87" s="341"/>
    </row>
    <row r="88" spans="1:22" s="370" customFormat="1">
      <c r="A88" s="336"/>
      <c r="B88" s="497">
        <v>3</v>
      </c>
      <c r="C88" s="498" t="s">
        <v>187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368">
        <f>F85*1</f>
        <v>1</v>
      </c>
      <c r="G88" s="360">
        <f ca="1">IF(ISERROR(OFFSET('HARGA SATUAN'!$I$6,MATCH(RAB!C88,'HARGA SATUAN'!$C$7:$C$1492,0),0)),0,OFFSET('HARGA SATUAN'!$I$6,MATCH(RAB!C88,'HARGA SATUAN'!$C$7:$C$1492,0),0))</f>
        <v>17100</v>
      </c>
      <c r="H88" s="361">
        <f t="shared" ca="1" si="20"/>
        <v>0</v>
      </c>
      <c r="I88" s="361">
        <f t="shared" ca="1" si="21"/>
        <v>17100</v>
      </c>
      <c r="J88" s="361">
        <f t="shared" ca="1" si="22"/>
        <v>0</v>
      </c>
      <c r="K88" s="362">
        <f t="shared" ca="1" si="23"/>
        <v>17100</v>
      </c>
      <c r="L88" s="369"/>
      <c r="M88" s="369"/>
      <c r="N88" s="369"/>
      <c r="O88" s="363"/>
      <c r="P88" s="363"/>
      <c r="Q88" s="344"/>
      <c r="R88" s="336"/>
      <c r="S88" s="364"/>
      <c r="T88" s="341"/>
      <c r="U88" s="341"/>
      <c r="V88" s="341"/>
    </row>
    <row r="89" spans="1:22" s="370" customFormat="1">
      <c r="A89" s="336"/>
      <c r="B89" s="497">
        <v>4</v>
      </c>
      <c r="C89" s="498" t="s">
        <v>174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368">
        <f>F85*1</f>
        <v>1</v>
      </c>
      <c r="G89" s="360">
        <f ca="1">IF(ISERROR(OFFSET('HARGA SATUAN'!$I$6,MATCH(RAB!C89,'HARGA SATUAN'!$C$7:$C$1492,0),0)),0,OFFSET('HARGA SATUAN'!$I$6,MATCH(RAB!C89,'HARGA SATUAN'!$C$7:$C$1492,0),0))</f>
        <v>67700</v>
      </c>
      <c r="H89" s="361">
        <f t="shared" ca="1" si="20"/>
        <v>0</v>
      </c>
      <c r="I89" s="361">
        <f t="shared" ca="1" si="21"/>
        <v>67700</v>
      </c>
      <c r="J89" s="361">
        <f t="shared" ca="1" si="22"/>
        <v>0</v>
      </c>
      <c r="K89" s="362">
        <f t="shared" ca="1" si="23"/>
        <v>67700</v>
      </c>
      <c r="L89" s="369"/>
      <c r="M89" s="369"/>
      <c r="N89" s="369"/>
      <c r="O89" s="363"/>
      <c r="P89" s="363"/>
      <c r="Q89" s="344"/>
      <c r="R89" s="336"/>
      <c r="S89" s="364"/>
      <c r="T89" s="341"/>
      <c r="U89" s="341"/>
      <c r="V89" s="341"/>
    </row>
    <row r="90" spans="1:22" s="370" customFormat="1">
      <c r="A90" s="336"/>
      <c r="B90" s="497">
        <v>5</v>
      </c>
      <c r="C90" s="498" t="s">
        <v>747</v>
      </c>
      <c r="D90" s="358" t="str">
        <f ca="1">IF(ISERROR(OFFSET('HARGA SATUAN'!$D$6,MATCH(RAB!C90,'HARGA SATUAN'!$C$7:$C$1492,0),0)),"",OFFSET('HARGA SATUAN'!$D$6,MATCH(RAB!C90,'HARGA SATUAN'!$C$7:$C$1492,0),0))</f>
        <v>JASA</v>
      </c>
      <c r="E90" s="359" t="str">
        <f ca="1">IF(B90="+","Unit",IF(ISERROR(OFFSET('HARGA SATUAN'!$E$6,MATCH(RAB!C90,'HARGA SATUAN'!$C$7:$C$1492,0),0)),"",OFFSET('HARGA SATUAN'!$E$6,MATCH(RAB!C90,'HARGA SATUAN'!$C$7:$C$1492,0),0)))</f>
        <v>Unit</v>
      </c>
      <c r="F90" s="368">
        <f>F85*1</f>
        <v>1</v>
      </c>
      <c r="G90" s="360">
        <f ca="1">IF(ISERROR(OFFSET('HARGA SATUAN'!$I$6,MATCH(RAB!C90,'HARGA SATUAN'!$C$7:$C$1492,0),0)),0,OFFSET('HARGA SATUAN'!$I$6,MATCH(RAB!C90,'HARGA SATUAN'!$C$7:$C$1492,0),0))</f>
        <v>58400</v>
      </c>
      <c r="H90" s="361">
        <f t="shared" ca="1" si="20"/>
        <v>0</v>
      </c>
      <c r="I90" s="361">
        <f t="shared" ca="1" si="21"/>
        <v>0</v>
      </c>
      <c r="J90" s="361">
        <f t="shared" ca="1" si="22"/>
        <v>58400</v>
      </c>
      <c r="K90" s="362">
        <f t="shared" ca="1" si="23"/>
        <v>58400</v>
      </c>
      <c r="L90" s="369"/>
      <c r="M90" s="369"/>
      <c r="N90" s="369"/>
      <c r="O90" s="363"/>
      <c r="P90" s="363"/>
      <c r="Q90" s="344"/>
      <c r="R90" s="336"/>
      <c r="S90" s="364"/>
      <c r="T90" s="341"/>
      <c r="U90" s="341"/>
      <c r="V90" s="341"/>
    </row>
    <row r="91" spans="1:22" s="370" customFormat="1">
      <c r="A91" s="336"/>
      <c r="B91" s="497"/>
      <c r="C91" s="498"/>
      <c r="D91" s="358" t="str">
        <f ca="1">IF(ISERROR(OFFSET('HARGA SATUAN'!$D$6,MATCH(RAB!C91,'HARGA SATUAN'!$C$7:$C$1492,0),0)),"",OFFSET('HARGA SATUAN'!$D$6,MATCH(RAB!C91,'HARGA SATUAN'!$C$7:$C$1492,0),0))</f>
        <v/>
      </c>
      <c r="E91" s="359" t="str">
        <f ca="1">IF(B91="+","Unit",IF(ISERROR(OFFSET('HARGA SATUAN'!$E$6,MATCH(RAB!C91,'HARGA SATUAN'!$C$7:$C$1492,0),0)),"",OFFSET('HARGA SATUAN'!$E$6,MATCH(RAB!C91,'HARGA SATUAN'!$C$7:$C$1492,0),0)))</f>
        <v/>
      </c>
      <c r="F91" s="368"/>
      <c r="G91" s="360">
        <f ca="1">IF(ISERROR(OFFSET('HARGA SATUAN'!$I$6,MATCH(RAB!C91,'HARGA SATUAN'!$C$7:$C$1492,0),0)),0,OFFSET('HARGA SATUAN'!$I$6,MATCH(RAB!C91,'HARGA SATUAN'!$C$7:$C$1492,0),0))</f>
        <v>0</v>
      </c>
      <c r="H91" s="361">
        <f t="shared" ca="1" si="20"/>
        <v>0</v>
      </c>
      <c r="I91" s="361">
        <f t="shared" ca="1" si="21"/>
        <v>0</v>
      </c>
      <c r="J91" s="361">
        <f t="shared" ca="1" si="22"/>
        <v>0</v>
      </c>
      <c r="K91" s="362">
        <f t="shared" ca="1" si="23"/>
        <v>0</v>
      </c>
      <c r="L91" s="369"/>
      <c r="M91" s="369"/>
      <c r="N91" s="369"/>
      <c r="O91" s="363"/>
      <c r="P91" s="363"/>
      <c r="Q91" s="344"/>
      <c r="R91" s="336"/>
      <c r="S91" s="364"/>
      <c r="T91" s="341"/>
      <c r="U91" s="341"/>
      <c r="V91" s="341"/>
    </row>
    <row r="92" spans="1:22" s="370" customFormat="1">
      <c r="A92" s="336"/>
      <c r="B92" s="499" t="s">
        <v>1034</v>
      </c>
      <c r="C92" s="723" t="s">
        <v>1647</v>
      </c>
      <c r="D92" s="358" t="str">
        <f ca="1">IF(ISERROR(OFFSET('HARGA SATUAN'!$D$6,MATCH(RAB!C92,'HARGA SATUAN'!$C$7:$C$1492,0),0)),"",OFFSET('HARGA SATUAN'!$D$6,MATCH(RAB!C92,'HARGA SATUAN'!$C$7:$C$1492,0),0))</f>
        <v/>
      </c>
      <c r="E92" s="359" t="str">
        <f ca="1">IF(B92="+","Unit",IF(ISERROR(OFFSET('HARGA SATUAN'!$E$6,MATCH(RAB!C92,'HARGA SATUAN'!$C$7:$C$1492,0),0)),"",OFFSET('HARGA SATUAN'!$E$6,MATCH(RAB!C92,'HARGA SATUAN'!$C$7:$C$1492,0),0)))</f>
        <v>Unit</v>
      </c>
      <c r="F92" s="368">
        <v>1</v>
      </c>
      <c r="G92" s="360">
        <f ca="1">IF(ISERROR(OFFSET('HARGA SATUAN'!$I$6,MATCH(RAB!C92,'HARGA SATUAN'!$C$7:$C$1492,0),0)),0,OFFSET('HARGA SATUAN'!$I$6,MATCH(RAB!C92,'HARGA SATUAN'!$C$7:$C$1492,0),0))</f>
        <v>0</v>
      </c>
      <c r="H92" s="361">
        <f t="shared" ca="1" si="20"/>
        <v>0</v>
      </c>
      <c r="I92" s="361">
        <f t="shared" ca="1" si="21"/>
        <v>0</v>
      </c>
      <c r="J92" s="361">
        <f t="shared" ca="1" si="22"/>
        <v>0</v>
      </c>
      <c r="K92" s="362">
        <f t="shared" ca="1" si="23"/>
        <v>0</v>
      </c>
      <c r="L92" s="369"/>
      <c r="M92" s="369"/>
      <c r="N92" s="369"/>
      <c r="O92" s="363"/>
      <c r="P92" s="363"/>
      <c r="Q92" s="344"/>
      <c r="R92" s="336"/>
      <c r="S92" s="364"/>
      <c r="T92" s="341"/>
      <c r="U92" s="341"/>
      <c r="V92" s="341"/>
    </row>
    <row r="93" spans="1:22" s="370" customFormat="1">
      <c r="A93" s="336"/>
      <c r="B93" s="497">
        <v>1</v>
      </c>
      <c r="C93" s="498" t="s">
        <v>1145</v>
      </c>
      <c r="D93" s="358" t="str">
        <f ca="1">IF(ISERROR(OFFSET('HARGA SATUAN'!$D$6,MATCH(RAB!C93,'HARGA SATUAN'!$C$7:$C$1492,0),0)),"",OFFSET('HARGA SATUAN'!$D$6,MATCH(RAB!C93,'HARGA SATUAN'!$C$7:$C$1492,0),0))</f>
        <v>MDU-KD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368">
        <f>F92*1</f>
        <v>1</v>
      </c>
      <c r="G93" s="360">
        <f ca="1">IF(ISERROR(OFFSET('HARGA SATUAN'!$I$6,MATCH(RAB!C93,'HARGA SATUAN'!$C$7:$C$1492,0),0)),0,OFFSET('HARGA SATUAN'!$I$6,MATCH(RAB!C93,'HARGA SATUAN'!$C$7:$C$1492,0),0))</f>
        <v>42757200</v>
      </c>
      <c r="H93" s="361">
        <f t="shared" ca="1" si="20"/>
        <v>42757200</v>
      </c>
      <c r="I93" s="361">
        <f t="shared" ca="1" si="21"/>
        <v>0</v>
      </c>
      <c r="J93" s="361">
        <f t="shared" ca="1" si="22"/>
        <v>0</v>
      </c>
      <c r="K93" s="362">
        <f t="shared" ca="1" si="23"/>
        <v>42757200</v>
      </c>
      <c r="L93" s="369"/>
      <c r="M93" s="369"/>
      <c r="N93" s="369"/>
      <c r="O93" s="363"/>
      <c r="P93" s="363"/>
      <c r="Q93" s="344"/>
      <c r="R93" s="336"/>
      <c r="S93" s="364"/>
      <c r="T93" s="341"/>
      <c r="U93" s="341"/>
      <c r="V93" s="341"/>
    </row>
    <row r="94" spans="1:22" s="370" customFormat="1">
      <c r="A94" s="336"/>
      <c r="B94" s="497">
        <v>2</v>
      </c>
      <c r="C94" s="498" t="s">
        <v>1619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368"/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20"/>
        <v>0</v>
      </c>
      <c r="I94" s="361">
        <f t="shared" ca="1" si="21"/>
        <v>0</v>
      </c>
      <c r="J94" s="361">
        <f t="shared" ca="1" si="22"/>
        <v>0</v>
      </c>
      <c r="K94" s="362">
        <f t="shared" ca="1" si="23"/>
        <v>0</v>
      </c>
      <c r="L94" s="369"/>
      <c r="M94" s="369"/>
      <c r="N94" s="369"/>
      <c r="O94" s="363"/>
      <c r="P94" s="363"/>
      <c r="Q94" s="344"/>
      <c r="R94" s="336"/>
      <c r="S94" s="364"/>
      <c r="T94" s="341"/>
      <c r="U94" s="341"/>
      <c r="V94" s="341"/>
    </row>
    <row r="95" spans="1:22" s="370" customFormat="1">
      <c r="A95" s="336"/>
      <c r="B95" s="497"/>
      <c r="C95" s="498" t="s">
        <v>65</v>
      </c>
      <c r="D95" s="358" t="str">
        <f ca="1">IF(ISERROR(OFFSET('HARGA SATUAN'!$D$6,MATCH(RAB!C95,'HARGA SATUAN'!$C$7:$C$1492,0),0)),"",OFFSET('HARGA SATUAN'!$D$6,MATCH(RAB!C95,'HARGA SATUAN'!$C$7:$C$1492,0),0))</f>
        <v>MDU-KD</v>
      </c>
      <c r="E95" s="359" t="str">
        <f ca="1">IF(B95="+","Unit",IF(ISERROR(OFFSET('HARGA SATUAN'!$E$6,MATCH(RAB!C95,'HARGA SATUAN'!$C$7:$C$1492,0),0)),"",OFFSET('HARGA SATUAN'!$E$6,MATCH(RAB!C95,'HARGA SATUAN'!$C$7:$C$1492,0),0)))</f>
        <v>Mtr</v>
      </c>
      <c r="F95" s="368">
        <f>F92*(3*3)</f>
        <v>9</v>
      </c>
      <c r="G95" s="360">
        <f ca="1">IF(ISERROR(OFFSET('HARGA SATUAN'!$I$6,MATCH(RAB!C95,'HARGA SATUAN'!$C$7:$C$1492,0),0)),0,OFFSET('HARGA SATUAN'!$I$6,MATCH(RAB!C95,'HARGA SATUAN'!$C$7:$C$1492,0),0))</f>
        <v>14200</v>
      </c>
      <c r="H95" s="361">
        <f t="shared" ca="1" si="20"/>
        <v>127800</v>
      </c>
      <c r="I95" s="361">
        <f t="shared" ca="1" si="21"/>
        <v>0</v>
      </c>
      <c r="J95" s="361">
        <f t="shared" ca="1" si="22"/>
        <v>0</v>
      </c>
      <c r="K95" s="362">
        <f t="shared" ca="1" si="23"/>
        <v>127800</v>
      </c>
      <c r="L95" s="369"/>
      <c r="M95" s="369"/>
      <c r="N95" s="369"/>
      <c r="O95" s="363"/>
      <c r="P95" s="363"/>
      <c r="Q95" s="344"/>
      <c r="R95" s="336"/>
      <c r="S95" s="364"/>
      <c r="T95" s="341"/>
      <c r="U95" s="341"/>
      <c r="V95" s="341"/>
    </row>
    <row r="96" spans="1:22" s="370" customFormat="1">
      <c r="A96" s="336"/>
      <c r="B96" s="497"/>
      <c r="C96" s="498" t="s">
        <v>1648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368">
        <f>F92*3</f>
        <v>3</v>
      </c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20"/>
        <v>0</v>
      </c>
      <c r="I96" s="361">
        <f t="shared" ca="1" si="21"/>
        <v>0</v>
      </c>
      <c r="J96" s="361">
        <f t="shared" ca="1" si="22"/>
        <v>0</v>
      </c>
      <c r="K96" s="362">
        <f t="shared" ca="1" si="23"/>
        <v>0</v>
      </c>
      <c r="L96" s="369"/>
      <c r="M96" s="369"/>
      <c r="N96" s="369"/>
      <c r="O96" s="363"/>
      <c r="P96" s="363"/>
      <c r="Q96" s="344"/>
      <c r="R96" s="336"/>
      <c r="S96" s="364"/>
      <c r="T96" s="341"/>
      <c r="U96" s="341"/>
      <c r="V96" s="341"/>
    </row>
    <row r="97" spans="1:22" s="370" customFormat="1">
      <c r="A97" s="336"/>
      <c r="B97" s="497">
        <v>3</v>
      </c>
      <c r="C97" s="498" t="s">
        <v>559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Bh</v>
      </c>
      <c r="F97" s="368">
        <f>F92*3</f>
        <v>3</v>
      </c>
      <c r="G97" s="360">
        <f ca="1">IF(ISERROR(OFFSET('HARGA SATUAN'!$I$6,MATCH(RAB!C97,'HARGA SATUAN'!$C$7:$C$1492,0),0)),0,OFFSET('HARGA SATUAN'!$I$6,MATCH(RAB!C97,'HARGA SATUAN'!$C$7:$C$1492,0),0))</f>
        <v>725900</v>
      </c>
      <c r="H97" s="361">
        <f t="shared" ca="1" si="20"/>
        <v>2177700</v>
      </c>
      <c r="I97" s="361">
        <f t="shared" ca="1" si="21"/>
        <v>0</v>
      </c>
      <c r="J97" s="361">
        <f t="shared" ca="1" si="22"/>
        <v>0</v>
      </c>
      <c r="K97" s="362">
        <f t="shared" ca="1" si="23"/>
        <v>2177700</v>
      </c>
      <c r="L97" s="369"/>
      <c r="M97" s="369"/>
      <c r="N97" s="369"/>
      <c r="O97" s="363"/>
      <c r="P97" s="363"/>
      <c r="Q97" s="344"/>
      <c r="R97" s="336"/>
      <c r="S97" s="364"/>
      <c r="T97" s="341"/>
      <c r="U97" s="341"/>
      <c r="V97" s="341"/>
    </row>
    <row r="98" spans="1:22" s="370" customFormat="1">
      <c r="A98" s="336"/>
      <c r="B98" s="497">
        <v>4</v>
      </c>
      <c r="C98" s="498" t="s">
        <v>535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368">
        <f>F92*3</f>
        <v>3</v>
      </c>
      <c r="G98" s="360">
        <f ca="1">IF(ISERROR(OFFSET('HARGA SATUAN'!$I$6,MATCH(RAB!C98,'HARGA SATUAN'!$C$7:$C$1492,0),0)),0,OFFSET('HARGA SATUAN'!$I$6,MATCH(RAB!C98,'HARGA SATUAN'!$C$7:$C$1492,0),0))</f>
        <v>848250</v>
      </c>
      <c r="H98" s="361">
        <f t="shared" ca="1" si="20"/>
        <v>2544750</v>
      </c>
      <c r="I98" s="361">
        <f t="shared" ca="1" si="21"/>
        <v>0</v>
      </c>
      <c r="J98" s="361">
        <f t="shared" ca="1" si="22"/>
        <v>0</v>
      </c>
      <c r="K98" s="362">
        <f t="shared" ca="1" si="23"/>
        <v>2544750</v>
      </c>
      <c r="L98" s="369"/>
      <c r="M98" s="369"/>
      <c r="N98" s="369"/>
      <c r="O98" s="363"/>
      <c r="P98" s="363"/>
      <c r="Q98" s="344"/>
      <c r="R98" s="336"/>
      <c r="S98" s="364"/>
      <c r="T98" s="341"/>
      <c r="U98" s="341"/>
      <c r="V98" s="341"/>
    </row>
    <row r="99" spans="1:22" s="370" customFormat="1">
      <c r="A99" s="336"/>
      <c r="B99" s="497">
        <v>5</v>
      </c>
      <c r="C99" s="498" t="s">
        <v>537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368">
        <f>F92*3</f>
        <v>3</v>
      </c>
      <c r="G99" s="360">
        <f ca="1">IF(ISERROR(OFFSET('HARGA SATUAN'!$I$6,MATCH(RAB!C99,'HARGA SATUAN'!$C$7:$C$1492,0),0)),0,OFFSET('HARGA SATUAN'!$I$6,MATCH(RAB!C99,'HARGA SATUAN'!$C$7:$C$1492,0),0))</f>
        <v>17500</v>
      </c>
      <c r="H99" s="361">
        <f t="shared" ca="1" si="20"/>
        <v>0</v>
      </c>
      <c r="I99" s="361">
        <f t="shared" ca="1" si="21"/>
        <v>52500</v>
      </c>
      <c r="J99" s="361">
        <f t="shared" ca="1" si="22"/>
        <v>0</v>
      </c>
      <c r="K99" s="362">
        <f t="shared" ca="1" si="23"/>
        <v>52500</v>
      </c>
      <c r="L99" s="369"/>
      <c r="M99" s="369"/>
      <c r="N99" s="369"/>
      <c r="O99" s="363"/>
      <c r="P99" s="363"/>
      <c r="Q99" s="344"/>
      <c r="R99" s="336"/>
      <c r="S99" s="364"/>
      <c r="T99" s="341"/>
      <c r="U99" s="341"/>
      <c r="V99" s="341"/>
    </row>
    <row r="100" spans="1:22" s="370" customFormat="1">
      <c r="A100" s="336"/>
      <c r="B100" s="497">
        <v>6</v>
      </c>
      <c r="C100" s="498" t="s">
        <v>1649</v>
      </c>
      <c r="D100" s="358" t="str">
        <f ca="1">IF(ISERROR(OFFSET('HARGA SATUAN'!$D$6,MATCH(RAB!C100,'HARGA SATUAN'!$C$7:$C$1492,0),0)),"",OFFSET('HARGA SATUAN'!$D$6,MATCH(RAB!C100,'HARGA SATUAN'!$C$7:$C$1492,0),0))</f>
        <v/>
      </c>
      <c r="E100" s="359" t="str">
        <f ca="1">IF(B100="+","Unit",IF(ISERROR(OFFSET('HARGA SATUAN'!$E$6,MATCH(RAB!C100,'HARGA SATUAN'!$C$7:$C$1492,0),0)),"",OFFSET('HARGA SATUAN'!$E$6,MATCH(RAB!C100,'HARGA SATUAN'!$C$7:$C$1492,0),0)))</f>
        <v/>
      </c>
      <c r="F100" s="368">
        <f>F92*13</f>
        <v>13</v>
      </c>
      <c r="G100" s="360">
        <f ca="1">IF(ISERROR(OFFSET('HARGA SATUAN'!$I$6,MATCH(RAB!C100,'HARGA SATUAN'!$C$7:$C$1492,0),0)),0,OFFSET('HARGA SATUAN'!$I$6,MATCH(RAB!C100,'HARGA SATUAN'!$C$7:$C$1492,0),0))</f>
        <v>0</v>
      </c>
      <c r="H100" s="361">
        <f t="shared" ca="1" si="20"/>
        <v>0</v>
      </c>
      <c r="I100" s="361">
        <f t="shared" ca="1" si="21"/>
        <v>0</v>
      </c>
      <c r="J100" s="361">
        <f t="shared" ca="1" si="22"/>
        <v>0</v>
      </c>
      <c r="K100" s="362">
        <f t="shared" ca="1" si="23"/>
        <v>0</v>
      </c>
      <c r="L100" s="369"/>
      <c r="M100" s="369"/>
      <c r="N100" s="369"/>
      <c r="O100" s="363"/>
      <c r="P100" s="363"/>
      <c r="Q100" s="344"/>
      <c r="R100" s="336"/>
      <c r="S100" s="364"/>
      <c r="T100" s="341"/>
      <c r="U100" s="341"/>
      <c r="V100" s="341"/>
    </row>
    <row r="101" spans="1:22" s="370" customFormat="1">
      <c r="A101" s="336"/>
      <c r="B101" s="497">
        <v>7</v>
      </c>
      <c r="C101" s="498" t="s">
        <v>163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368">
        <f>F92*22</f>
        <v>22</v>
      </c>
      <c r="G101" s="360">
        <f ca="1">IF(ISERROR(OFFSET('HARGA SATUAN'!$I$6,MATCH(RAB!C101,'HARGA SATUAN'!$C$7:$C$1492,0),0)),0,OFFSET('HARGA SATUAN'!$I$6,MATCH(RAB!C101,'HARGA SATUAN'!$C$7:$C$1492,0),0))</f>
        <v>7938</v>
      </c>
      <c r="H101" s="361">
        <f t="shared" ca="1" si="20"/>
        <v>0</v>
      </c>
      <c r="I101" s="361">
        <f t="shared" ca="1" si="21"/>
        <v>174636</v>
      </c>
      <c r="J101" s="361">
        <f t="shared" ca="1" si="22"/>
        <v>0</v>
      </c>
      <c r="K101" s="362">
        <f t="shared" ca="1" si="23"/>
        <v>174636</v>
      </c>
      <c r="L101" s="369"/>
      <c r="M101" s="369"/>
      <c r="N101" s="369"/>
      <c r="O101" s="363"/>
      <c r="P101" s="363"/>
      <c r="Q101" s="344"/>
      <c r="R101" s="336"/>
      <c r="S101" s="364"/>
      <c r="T101" s="341"/>
      <c r="U101" s="341"/>
      <c r="V101" s="341"/>
    </row>
    <row r="102" spans="1:22" s="370" customFormat="1">
      <c r="A102" s="336"/>
      <c r="B102" s="497">
        <v>8</v>
      </c>
      <c r="C102" s="498" t="s">
        <v>176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368">
        <f>F92*1</f>
        <v>1</v>
      </c>
      <c r="G102" s="360">
        <f ca="1">IF(ISERROR(OFFSET('HARGA SATUAN'!$I$6,MATCH(RAB!C102,'HARGA SATUAN'!$C$7:$C$1492,0),0)),0,OFFSET('HARGA SATUAN'!$I$6,MATCH(RAB!C102,'HARGA SATUAN'!$C$7:$C$1492,0),0))</f>
        <v>404600</v>
      </c>
      <c r="H102" s="361">
        <f t="shared" ca="1" si="20"/>
        <v>0</v>
      </c>
      <c r="I102" s="361">
        <f t="shared" ca="1" si="21"/>
        <v>404600</v>
      </c>
      <c r="J102" s="361">
        <f t="shared" ca="1" si="22"/>
        <v>0</v>
      </c>
      <c r="K102" s="362">
        <f t="shared" ca="1" si="23"/>
        <v>404600</v>
      </c>
      <c r="L102" s="369"/>
      <c r="M102" s="369"/>
      <c r="N102" s="369"/>
      <c r="O102" s="363"/>
      <c r="P102" s="363"/>
      <c r="Q102" s="344"/>
      <c r="R102" s="336"/>
      <c r="S102" s="364"/>
      <c r="T102" s="341"/>
      <c r="U102" s="341"/>
      <c r="V102" s="341"/>
    </row>
    <row r="103" spans="1:22" s="370" customFormat="1">
      <c r="A103" s="336"/>
      <c r="B103" s="497">
        <v>9</v>
      </c>
      <c r="C103" s="498" t="s">
        <v>184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368">
        <f>F92*3</f>
        <v>3</v>
      </c>
      <c r="G103" s="360">
        <f ca="1">IF(ISERROR(OFFSET('HARGA SATUAN'!$I$6,MATCH(RAB!C103,'HARGA SATUAN'!$C$7:$C$1492,0),0)),0,OFFSET('HARGA SATUAN'!$I$6,MATCH(RAB!C103,'HARGA SATUAN'!$C$7:$C$1492,0),0))</f>
        <v>15900</v>
      </c>
      <c r="H103" s="361">
        <f t="shared" ca="1" si="20"/>
        <v>0</v>
      </c>
      <c r="I103" s="361">
        <f t="shared" ca="1" si="21"/>
        <v>47700</v>
      </c>
      <c r="J103" s="361">
        <f t="shared" ca="1" si="22"/>
        <v>0</v>
      </c>
      <c r="K103" s="362">
        <f t="shared" ca="1" si="23"/>
        <v>47700</v>
      </c>
      <c r="L103" s="369"/>
      <c r="M103" s="369"/>
      <c r="N103" s="369"/>
      <c r="O103" s="363"/>
      <c r="P103" s="363"/>
      <c r="Q103" s="344"/>
      <c r="R103" s="336"/>
      <c r="S103" s="364"/>
      <c r="T103" s="341"/>
      <c r="U103" s="341"/>
      <c r="V103" s="341"/>
    </row>
    <row r="104" spans="1:22" s="370" customFormat="1">
      <c r="A104" s="336"/>
      <c r="B104" s="497">
        <v>10</v>
      </c>
      <c r="C104" s="498" t="s">
        <v>592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368">
        <f>F92*5</f>
        <v>5</v>
      </c>
      <c r="G104" s="360">
        <f ca="1">IF(ISERROR(OFFSET('HARGA SATUAN'!$I$6,MATCH(RAB!C104,'HARGA SATUAN'!$C$7:$C$1492,0),0)),0,OFFSET('HARGA SATUAN'!$I$6,MATCH(RAB!C104,'HARGA SATUAN'!$C$7:$C$1492,0),0))</f>
        <v>283100</v>
      </c>
      <c r="H104" s="361">
        <f t="shared" ref="H104:H120" ca="1" si="28">IF(OR(D104="MDU",D104="MDU-KD"),(IF($O$3="RAB NON MDU","PLN KD",G104*F104)),0)</f>
        <v>0</v>
      </c>
      <c r="I104" s="361">
        <f t="shared" ref="I104:I120" ca="1" si="29">IF(D104="HDW",G104*F104,0)</f>
        <v>1415500</v>
      </c>
      <c r="J104" s="361">
        <f t="shared" ref="J104:J120" ca="1" si="30">IF(D104="JASA",G104*F104,0)</f>
        <v>0</v>
      </c>
      <c r="K104" s="362">
        <f t="shared" ref="K104:K120" ca="1" si="31">SUM(H104:J104)</f>
        <v>1415500</v>
      </c>
      <c r="L104" s="369"/>
      <c r="M104" s="369"/>
      <c r="N104" s="369"/>
      <c r="O104" s="363"/>
      <c r="P104" s="363"/>
      <c r="Q104" s="344"/>
      <c r="R104" s="336"/>
      <c r="S104" s="364"/>
      <c r="T104" s="341"/>
      <c r="U104" s="341"/>
      <c r="V104" s="341"/>
    </row>
    <row r="105" spans="1:22" s="370" customFormat="1">
      <c r="A105" s="336"/>
      <c r="B105" s="497">
        <v>11</v>
      </c>
      <c r="C105" s="498" t="s">
        <v>593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368">
        <f>F92*4</f>
        <v>4</v>
      </c>
      <c r="G105" s="360">
        <f ca="1">IF(ISERROR(OFFSET('HARGA SATUAN'!$I$6,MATCH(RAB!C105,'HARGA SATUAN'!$C$7:$C$1492,0),0)),0,OFFSET('HARGA SATUAN'!$I$6,MATCH(RAB!C105,'HARGA SATUAN'!$C$7:$C$1492,0),0))</f>
        <v>380500</v>
      </c>
      <c r="H105" s="361">
        <f t="shared" ca="1" si="28"/>
        <v>0</v>
      </c>
      <c r="I105" s="361">
        <f t="shared" ca="1" si="29"/>
        <v>1522000</v>
      </c>
      <c r="J105" s="361">
        <f t="shared" ca="1" si="30"/>
        <v>0</v>
      </c>
      <c r="K105" s="362">
        <f t="shared" ca="1" si="31"/>
        <v>1522000</v>
      </c>
      <c r="L105" s="369"/>
      <c r="M105" s="369"/>
      <c r="N105" s="369"/>
      <c r="O105" s="363"/>
      <c r="P105" s="363"/>
      <c r="Q105" s="344"/>
      <c r="R105" s="336"/>
      <c r="S105" s="364"/>
      <c r="T105" s="341"/>
      <c r="U105" s="341"/>
      <c r="V105" s="341"/>
    </row>
    <row r="106" spans="1:22" s="370" customFormat="1">
      <c r="A106" s="336"/>
      <c r="B106" s="497">
        <v>12</v>
      </c>
      <c r="C106" s="498" t="s">
        <v>208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368">
        <f>F92*3</f>
        <v>3</v>
      </c>
      <c r="G106" s="360">
        <f ca="1">IF(ISERROR(OFFSET('HARGA SATUAN'!$I$6,MATCH(RAB!C106,'HARGA SATUAN'!$C$7:$C$1492,0),0)),0,OFFSET('HARGA SATUAN'!$I$6,MATCH(RAB!C106,'HARGA SATUAN'!$C$7:$C$1492,0),0))</f>
        <v>173400</v>
      </c>
      <c r="H106" s="361">
        <f t="shared" ca="1" si="28"/>
        <v>0</v>
      </c>
      <c r="I106" s="361">
        <f t="shared" ca="1" si="29"/>
        <v>520200</v>
      </c>
      <c r="J106" s="361">
        <f t="shared" ca="1" si="30"/>
        <v>0</v>
      </c>
      <c r="K106" s="362">
        <f t="shared" ca="1" si="31"/>
        <v>520200</v>
      </c>
      <c r="L106" s="369"/>
      <c r="M106" s="369"/>
      <c r="N106" s="369"/>
      <c r="O106" s="363"/>
      <c r="P106" s="363"/>
      <c r="Q106" s="344"/>
      <c r="R106" s="336"/>
      <c r="S106" s="364"/>
      <c r="T106" s="341"/>
      <c r="U106" s="341"/>
      <c r="V106" s="341"/>
    </row>
    <row r="107" spans="1:22" s="370" customFormat="1">
      <c r="A107" s="336"/>
      <c r="B107" s="497">
        <v>13</v>
      </c>
      <c r="C107" s="498" t="s">
        <v>247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368">
        <f>F92*1</f>
        <v>1</v>
      </c>
      <c r="G107" s="360">
        <f ca="1">IF(ISERROR(OFFSET('HARGA SATUAN'!$I$6,MATCH(RAB!C107,'HARGA SATUAN'!$C$7:$C$1492,0),0)),0,OFFSET('HARGA SATUAN'!$I$6,MATCH(RAB!C107,'HARGA SATUAN'!$C$7:$C$1492,0),0))</f>
        <v>57690</v>
      </c>
      <c r="H107" s="361">
        <f t="shared" ca="1" si="28"/>
        <v>0</v>
      </c>
      <c r="I107" s="361">
        <f t="shared" ca="1" si="29"/>
        <v>57690</v>
      </c>
      <c r="J107" s="361">
        <f t="shared" ca="1" si="30"/>
        <v>0</v>
      </c>
      <c r="K107" s="362">
        <f t="shared" ca="1" si="31"/>
        <v>57690</v>
      </c>
      <c r="L107" s="369"/>
      <c r="M107" s="369"/>
      <c r="N107" s="369"/>
      <c r="O107" s="363"/>
      <c r="P107" s="363"/>
      <c r="Q107" s="344"/>
      <c r="R107" s="336"/>
      <c r="S107" s="364"/>
      <c r="T107" s="341"/>
      <c r="U107" s="341"/>
      <c r="V107" s="341"/>
    </row>
    <row r="108" spans="1:22" s="370" customFormat="1">
      <c r="A108" s="336"/>
      <c r="B108" s="497">
        <v>14</v>
      </c>
      <c r="C108" s="498" t="s">
        <v>234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368">
        <f>F92*2</f>
        <v>2</v>
      </c>
      <c r="G108" s="360">
        <f ca="1">IF(ISERROR(OFFSET('HARGA SATUAN'!$I$6,MATCH(RAB!C108,'HARGA SATUAN'!$C$7:$C$1492,0),0)),0,OFFSET('HARGA SATUAN'!$I$6,MATCH(RAB!C108,'HARGA SATUAN'!$C$7:$C$1492,0),0))</f>
        <v>67500</v>
      </c>
      <c r="H108" s="361">
        <f t="shared" ca="1" si="28"/>
        <v>0</v>
      </c>
      <c r="I108" s="361">
        <f t="shared" ca="1" si="29"/>
        <v>135000</v>
      </c>
      <c r="J108" s="361">
        <f t="shared" ca="1" si="30"/>
        <v>0</v>
      </c>
      <c r="K108" s="362">
        <f t="shared" ca="1" si="31"/>
        <v>135000</v>
      </c>
      <c r="L108" s="369"/>
      <c r="M108" s="369"/>
      <c r="N108" s="369"/>
      <c r="O108" s="363"/>
      <c r="P108" s="363"/>
      <c r="Q108" s="344"/>
      <c r="R108" s="336"/>
      <c r="S108" s="364"/>
      <c r="T108" s="341"/>
      <c r="U108" s="341"/>
      <c r="V108" s="341"/>
    </row>
    <row r="109" spans="1:22" s="370" customFormat="1">
      <c r="A109" s="336"/>
      <c r="B109" s="497">
        <v>15</v>
      </c>
      <c r="C109" s="498" t="s">
        <v>267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368">
        <f>F92*2</f>
        <v>2</v>
      </c>
      <c r="G109" s="360">
        <f ca="1">IF(ISERROR(OFFSET('HARGA SATUAN'!$I$6,MATCH(RAB!C109,'HARGA SATUAN'!$C$7:$C$1492,0),0)),0,OFFSET('HARGA SATUAN'!$I$6,MATCH(RAB!C109,'HARGA SATUAN'!$C$7:$C$1492,0),0))</f>
        <v>129000</v>
      </c>
      <c r="H109" s="361">
        <f t="shared" ca="1" si="28"/>
        <v>0</v>
      </c>
      <c r="I109" s="361">
        <f t="shared" ca="1" si="29"/>
        <v>258000</v>
      </c>
      <c r="J109" s="361">
        <f t="shared" ca="1" si="30"/>
        <v>0</v>
      </c>
      <c r="K109" s="362">
        <f t="shared" ca="1" si="31"/>
        <v>258000</v>
      </c>
      <c r="L109" s="369"/>
      <c r="M109" s="369"/>
      <c r="N109" s="369"/>
      <c r="O109" s="363"/>
      <c r="P109" s="363"/>
      <c r="Q109" s="344"/>
      <c r="R109" s="336"/>
      <c r="S109" s="364"/>
      <c r="T109" s="341"/>
      <c r="U109" s="341"/>
      <c r="V109" s="341"/>
    </row>
    <row r="110" spans="1:22" s="370" customFormat="1">
      <c r="A110" s="336"/>
      <c r="B110" s="497">
        <v>16</v>
      </c>
      <c r="C110" s="498" t="s">
        <v>607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368">
        <f>F92*4</f>
        <v>4</v>
      </c>
      <c r="G110" s="360">
        <f ca="1">IF(ISERROR(OFFSET('HARGA SATUAN'!$I$6,MATCH(RAB!C110,'HARGA SATUAN'!$C$7:$C$1492,0),0)),0,OFFSET('HARGA SATUAN'!$I$6,MATCH(RAB!C110,'HARGA SATUAN'!$C$7:$C$1492,0),0))</f>
        <v>250000</v>
      </c>
      <c r="H110" s="361">
        <f t="shared" ca="1" si="28"/>
        <v>0</v>
      </c>
      <c r="I110" s="361">
        <f t="shared" ca="1" si="29"/>
        <v>1000000</v>
      </c>
      <c r="J110" s="361">
        <f t="shared" ca="1" si="30"/>
        <v>0</v>
      </c>
      <c r="K110" s="362">
        <f t="shared" ca="1" si="31"/>
        <v>1000000</v>
      </c>
      <c r="L110" s="369"/>
      <c r="M110" s="369"/>
      <c r="N110" s="369"/>
      <c r="O110" s="363"/>
      <c r="P110" s="363"/>
      <c r="Q110" s="344"/>
      <c r="R110" s="336"/>
      <c r="S110" s="364"/>
      <c r="T110" s="341"/>
      <c r="U110" s="341"/>
      <c r="V110" s="341"/>
    </row>
    <row r="111" spans="1:22" s="370" customFormat="1">
      <c r="A111" s="336"/>
      <c r="B111" s="497">
        <v>17</v>
      </c>
      <c r="C111" s="498" t="s">
        <v>783</v>
      </c>
      <c r="D111" s="358" t="str">
        <f ca="1">IF(ISERROR(OFFSET('HARGA SATUAN'!$D$6,MATCH(RAB!C111,'HARGA SATUAN'!$C$7:$C$1492,0),0)),"",OFFSET('HARGA SATUAN'!$D$6,MATCH(RAB!C111,'HARGA SATUAN'!$C$7:$C$1492,0),0))</f>
        <v>JASA</v>
      </c>
      <c r="E111" s="359" t="str">
        <f ca="1">IF(B111="+","Unit",IF(ISERROR(OFFSET('HARGA SATUAN'!$E$6,MATCH(RAB!C111,'HARGA SATUAN'!$C$7:$C$1492,0),0)),"",OFFSET('HARGA SATUAN'!$E$6,MATCH(RAB!C111,'HARGA SATUAN'!$C$7:$C$1492,0),0)))</f>
        <v>Unit</v>
      </c>
      <c r="F111" s="368">
        <f>F92*1</f>
        <v>1</v>
      </c>
      <c r="G111" s="360">
        <f ca="1">IF(ISERROR(OFFSET('HARGA SATUAN'!$I$6,MATCH(RAB!C111,'HARGA SATUAN'!$C$7:$C$1492,0),0)),0,OFFSET('HARGA SATUAN'!$I$6,MATCH(RAB!C111,'HARGA SATUAN'!$C$7:$C$1492,0),0))</f>
        <v>1182800</v>
      </c>
      <c r="H111" s="361">
        <f t="shared" ca="1" si="28"/>
        <v>0</v>
      </c>
      <c r="I111" s="361">
        <f t="shared" ca="1" si="29"/>
        <v>0</v>
      </c>
      <c r="J111" s="361">
        <f t="shared" ca="1" si="30"/>
        <v>1182800</v>
      </c>
      <c r="K111" s="362">
        <f t="shared" ca="1" si="31"/>
        <v>1182800</v>
      </c>
      <c r="L111" s="369"/>
      <c r="M111" s="369"/>
      <c r="N111" s="369"/>
      <c r="O111" s="363"/>
      <c r="P111" s="363"/>
      <c r="Q111" s="344"/>
      <c r="R111" s="336"/>
      <c r="S111" s="364"/>
      <c r="T111" s="341"/>
      <c r="U111" s="341"/>
      <c r="V111" s="341"/>
    </row>
    <row r="112" spans="1:22" s="370" customFormat="1">
      <c r="A112" s="336"/>
      <c r="B112" s="497"/>
      <c r="C112" s="498"/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368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28"/>
        <v>0</v>
      </c>
      <c r="I112" s="361">
        <f t="shared" ca="1" si="29"/>
        <v>0</v>
      </c>
      <c r="J112" s="361">
        <f t="shared" ca="1" si="30"/>
        <v>0</v>
      </c>
      <c r="K112" s="362">
        <f t="shared" ca="1" si="31"/>
        <v>0</v>
      </c>
      <c r="L112" s="369"/>
      <c r="M112" s="369"/>
      <c r="N112" s="369"/>
      <c r="O112" s="363"/>
      <c r="P112" s="363"/>
      <c r="Q112" s="344"/>
      <c r="R112" s="336"/>
      <c r="S112" s="364"/>
      <c r="T112" s="341"/>
      <c r="U112" s="341"/>
      <c r="V112" s="341"/>
    </row>
    <row r="113" spans="1:22" s="370" customFormat="1">
      <c r="A113" s="336"/>
      <c r="B113" s="499" t="s">
        <v>1034</v>
      </c>
      <c r="C113" s="723" t="s">
        <v>1620</v>
      </c>
      <c r="D113" s="358" t="str">
        <f ca="1">IF(ISERROR(OFFSET('HARGA SATUAN'!$D$6,MATCH(RAB!C113,'HARGA SATUAN'!$C$7:$C$1492,0),0)),"",OFFSET('HARGA SATUAN'!$D$6,MATCH(RAB!C113,'HARGA SATUAN'!$C$7:$C$1492,0),0))</f>
        <v/>
      </c>
      <c r="E113" s="359" t="str">
        <f ca="1">IF(B113="+","Unit",IF(ISERROR(OFFSET('HARGA SATUAN'!$E$6,MATCH(RAB!C113,'HARGA SATUAN'!$C$7:$C$1492,0),0)),"",OFFSET('HARGA SATUAN'!$E$6,MATCH(RAB!C113,'HARGA SATUAN'!$C$7:$C$1492,0),0)))</f>
        <v>Unit</v>
      </c>
      <c r="F113" s="368">
        <v>2</v>
      </c>
      <c r="G113" s="360">
        <f ca="1">IF(ISERROR(OFFSET('HARGA SATUAN'!$I$6,MATCH(RAB!C113,'HARGA SATUAN'!$C$7:$C$1492,0),0)),0,OFFSET('HARGA SATUAN'!$I$6,MATCH(RAB!C113,'HARGA SATUAN'!$C$7:$C$1492,0),0))</f>
        <v>0</v>
      </c>
      <c r="H113" s="361">
        <f t="shared" ca="1" si="28"/>
        <v>0</v>
      </c>
      <c r="I113" s="361">
        <f t="shared" ca="1" si="29"/>
        <v>0</v>
      </c>
      <c r="J113" s="361">
        <f t="shared" ca="1" si="30"/>
        <v>0</v>
      </c>
      <c r="K113" s="362">
        <f t="shared" ca="1" si="31"/>
        <v>0</v>
      </c>
      <c r="L113" s="369"/>
      <c r="M113" s="369"/>
      <c r="N113" s="369"/>
      <c r="O113" s="363"/>
      <c r="P113" s="363"/>
      <c r="Q113" s="344"/>
      <c r="R113" s="336"/>
      <c r="S113" s="364"/>
      <c r="T113" s="341"/>
      <c r="U113" s="341"/>
      <c r="V113" s="341"/>
    </row>
    <row r="114" spans="1:22" s="370" customFormat="1">
      <c r="A114" s="336"/>
      <c r="B114" s="497">
        <v>1</v>
      </c>
      <c r="C114" s="498" t="s">
        <v>29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368">
        <f>F113*1</f>
        <v>2</v>
      </c>
      <c r="G114" s="360">
        <f ca="1">IF(ISERROR(OFFSET('HARGA SATUAN'!$I$6,MATCH(RAB!C114,'HARGA SATUAN'!$C$7:$C$1492,0),0)),0,OFFSET('HARGA SATUAN'!$I$6,MATCH(RAB!C114,'HARGA SATUAN'!$C$7:$C$1492,0),0))</f>
        <v>185200</v>
      </c>
      <c r="H114" s="361">
        <f t="shared" ca="1" si="28"/>
        <v>0</v>
      </c>
      <c r="I114" s="361">
        <f t="shared" ca="1" si="29"/>
        <v>370400</v>
      </c>
      <c r="J114" s="361">
        <f t="shared" ca="1" si="30"/>
        <v>0</v>
      </c>
      <c r="K114" s="362">
        <f t="shared" ca="1" si="31"/>
        <v>370400</v>
      </c>
      <c r="L114" s="369"/>
      <c r="M114" s="369"/>
      <c r="N114" s="369"/>
      <c r="O114" s="363"/>
      <c r="P114" s="363"/>
      <c r="Q114" s="344"/>
      <c r="R114" s="336"/>
      <c r="S114" s="364"/>
      <c r="T114" s="341"/>
      <c r="U114" s="341"/>
      <c r="V114" s="341"/>
    </row>
    <row r="115" spans="1:22" s="370" customFormat="1">
      <c r="A115" s="336"/>
      <c r="B115" s="497">
        <v>2</v>
      </c>
      <c r="C115" s="498" t="s">
        <v>30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368">
        <f>F113*1</f>
        <v>2</v>
      </c>
      <c r="G115" s="360">
        <f ca="1">IF(ISERROR(OFFSET('HARGA SATUAN'!$I$6,MATCH(RAB!C115,'HARGA SATUAN'!$C$7:$C$1492,0),0)),0,OFFSET('HARGA SATUAN'!$I$6,MATCH(RAB!C115,'HARGA SATUAN'!$C$7:$C$1492,0),0))</f>
        <v>47459</v>
      </c>
      <c r="H115" s="361">
        <f t="shared" ca="1" si="28"/>
        <v>0</v>
      </c>
      <c r="I115" s="361">
        <f t="shared" ca="1" si="29"/>
        <v>94918</v>
      </c>
      <c r="J115" s="361">
        <f t="shared" ca="1" si="30"/>
        <v>0</v>
      </c>
      <c r="K115" s="362">
        <f t="shared" ca="1" si="31"/>
        <v>94918</v>
      </c>
      <c r="L115" s="369"/>
      <c r="M115" s="369"/>
      <c r="N115" s="369"/>
      <c r="O115" s="363"/>
      <c r="P115" s="363"/>
      <c r="Q115" s="344"/>
      <c r="R115" s="336"/>
      <c r="S115" s="364"/>
      <c r="T115" s="341"/>
      <c r="U115" s="341"/>
      <c r="V115" s="341"/>
    </row>
    <row r="116" spans="1:22" s="370" customFormat="1">
      <c r="A116" s="336"/>
      <c r="B116" s="497">
        <v>3</v>
      </c>
      <c r="C116" s="498" t="s">
        <v>31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368">
        <f>F113*1</f>
        <v>2</v>
      </c>
      <c r="G116" s="360">
        <f ca="1">IF(ISERROR(OFFSET('HARGA SATUAN'!$I$6,MATCH(RAB!C116,'HARGA SATUAN'!$C$7:$C$1492,0),0)),0,OFFSET('HARGA SATUAN'!$I$6,MATCH(RAB!C116,'HARGA SATUAN'!$C$7:$C$1492,0),0))</f>
        <v>4880</v>
      </c>
      <c r="H116" s="361">
        <f t="shared" ca="1" si="28"/>
        <v>0</v>
      </c>
      <c r="I116" s="361">
        <f t="shared" ca="1" si="29"/>
        <v>9760</v>
      </c>
      <c r="J116" s="361">
        <f t="shared" ca="1" si="30"/>
        <v>0</v>
      </c>
      <c r="K116" s="362">
        <f t="shared" ca="1" si="31"/>
        <v>9760</v>
      </c>
      <c r="L116" s="369"/>
      <c r="M116" s="369"/>
      <c r="N116" s="369"/>
      <c r="O116" s="363"/>
      <c r="P116" s="363"/>
      <c r="Q116" s="344"/>
      <c r="R116" s="336"/>
      <c r="S116" s="364"/>
      <c r="T116" s="341"/>
      <c r="U116" s="341"/>
      <c r="V116" s="341"/>
    </row>
    <row r="117" spans="1:22" s="370" customFormat="1">
      <c r="A117" s="336"/>
      <c r="B117" s="497">
        <v>4</v>
      </c>
      <c r="C117" s="498" t="s">
        <v>32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Mtr</v>
      </c>
      <c r="F117" s="368">
        <f>F113*10</f>
        <v>20</v>
      </c>
      <c r="G117" s="360">
        <f ca="1">IF(ISERROR(OFFSET('HARGA SATUAN'!$I$6,MATCH(RAB!C117,'HARGA SATUAN'!$C$7:$C$1492,0),0)),0,OFFSET('HARGA SATUAN'!$I$6,MATCH(RAB!C117,'HARGA SATUAN'!$C$7:$C$1492,0),0))</f>
        <v>30000</v>
      </c>
      <c r="H117" s="361">
        <f t="shared" ca="1" si="28"/>
        <v>0</v>
      </c>
      <c r="I117" s="361">
        <f t="shared" ca="1" si="29"/>
        <v>600000</v>
      </c>
      <c r="J117" s="361">
        <f t="shared" ca="1" si="30"/>
        <v>0</v>
      </c>
      <c r="K117" s="362">
        <f t="shared" ca="1" si="31"/>
        <v>600000</v>
      </c>
      <c r="L117" s="369"/>
      <c r="M117" s="369"/>
      <c r="N117" s="369"/>
      <c r="O117" s="363"/>
      <c r="P117" s="363"/>
      <c r="Q117" s="344"/>
      <c r="R117" s="336"/>
      <c r="S117" s="364"/>
      <c r="T117" s="341"/>
      <c r="U117" s="341"/>
      <c r="V117" s="341"/>
    </row>
    <row r="118" spans="1:22" s="370" customFormat="1">
      <c r="A118" s="336"/>
      <c r="B118" s="497">
        <v>5</v>
      </c>
      <c r="C118" s="498" t="s">
        <v>33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368">
        <f>F113*2</f>
        <v>4</v>
      </c>
      <c r="G118" s="360">
        <f ca="1">IF(ISERROR(OFFSET('HARGA SATUAN'!$I$6,MATCH(RAB!C118,'HARGA SATUAN'!$C$7:$C$1492,0),0)),0,OFFSET('HARGA SATUAN'!$I$6,MATCH(RAB!C118,'HARGA SATUAN'!$C$7:$C$1492,0),0))</f>
        <v>9500</v>
      </c>
      <c r="H118" s="361">
        <f t="shared" ca="1" si="28"/>
        <v>0</v>
      </c>
      <c r="I118" s="361">
        <f t="shared" ca="1" si="29"/>
        <v>38000</v>
      </c>
      <c r="J118" s="361">
        <f t="shared" ca="1" si="30"/>
        <v>0</v>
      </c>
      <c r="K118" s="362">
        <f t="shared" ca="1" si="31"/>
        <v>38000</v>
      </c>
      <c r="L118" s="369"/>
      <c r="M118" s="369"/>
      <c r="N118" s="369"/>
      <c r="O118" s="363"/>
      <c r="P118" s="363"/>
      <c r="Q118" s="344"/>
      <c r="R118" s="336"/>
      <c r="S118" s="364"/>
      <c r="T118" s="341"/>
      <c r="U118" s="341"/>
      <c r="V118" s="341"/>
    </row>
    <row r="119" spans="1:22" s="370" customFormat="1">
      <c r="A119" s="336"/>
      <c r="B119" s="497">
        <v>6</v>
      </c>
      <c r="C119" s="498" t="s">
        <v>34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368">
        <f>F113*5.5</f>
        <v>11</v>
      </c>
      <c r="G119" s="360">
        <f ca="1">IF(ISERROR(OFFSET('HARGA SATUAN'!$I$6,MATCH(RAB!C119,'HARGA SATUAN'!$C$7:$C$1492,0),0)),0,OFFSET('HARGA SATUAN'!$I$6,MATCH(RAB!C119,'HARGA SATUAN'!$C$7:$C$1492,0),0))</f>
        <v>6100</v>
      </c>
      <c r="H119" s="361">
        <f t="shared" ca="1" si="28"/>
        <v>0</v>
      </c>
      <c r="I119" s="361">
        <f t="shared" ca="1" si="29"/>
        <v>67100</v>
      </c>
      <c r="J119" s="361">
        <f t="shared" ca="1" si="30"/>
        <v>0</v>
      </c>
      <c r="K119" s="362">
        <f t="shared" ca="1" si="31"/>
        <v>67100</v>
      </c>
      <c r="L119" s="369"/>
      <c r="M119" s="369"/>
      <c r="N119" s="369"/>
      <c r="O119" s="363"/>
      <c r="P119" s="363"/>
      <c r="Q119" s="344"/>
      <c r="R119" s="336"/>
      <c r="S119" s="364"/>
      <c r="T119" s="341"/>
      <c r="U119" s="341"/>
      <c r="V119" s="341"/>
    </row>
    <row r="120" spans="1:22" s="370" customFormat="1">
      <c r="A120" s="336"/>
      <c r="B120" s="497">
        <v>7</v>
      </c>
      <c r="C120" s="498" t="s">
        <v>35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Bh</v>
      </c>
      <c r="F120" s="368">
        <f>F113*6</f>
        <v>12</v>
      </c>
      <c r="G120" s="360">
        <f ca="1">IF(ISERROR(OFFSET('HARGA SATUAN'!$I$6,MATCH(RAB!C120,'HARGA SATUAN'!$C$7:$C$1492,0),0)),0,OFFSET('HARGA SATUAN'!$I$6,MATCH(RAB!C120,'HARGA SATUAN'!$C$7:$C$1492,0),0))</f>
        <v>2300</v>
      </c>
      <c r="H120" s="361">
        <f t="shared" ca="1" si="28"/>
        <v>0</v>
      </c>
      <c r="I120" s="361">
        <f t="shared" ca="1" si="29"/>
        <v>27600</v>
      </c>
      <c r="J120" s="361">
        <f t="shared" ca="1" si="30"/>
        <v>0</v>
      </c>
      <c r="K120" s="362">
        <f t="shared" ca="1" si="31"/>
        <v>27600</v>
      </c>
      <c r="L120" s="369"/>
      <c r="M120" s="369"/>
      <c r="N120" s="369"/>
      <c r="O120" s="363"/>
      <c r="P120" s="363"/>
      <c r="Q120" s="344"/>
      <c r="R120" s="336"/>
      <c r="S120" s="364"/>
      <c r="T120" s="341"/>
      <c r="U120" s="341"/>
      <c r="V120" s="341"/>
    </row>
    <row r="121" spans="1:22" s="370" customFormat="1">
      <c r="A121" s="336"/>
      <c r="B121" s="497">
        <v>8</v>
      </c>
      <c r="C121" s="498" t="s">
        <v>1621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Mtr</v>
      </c>
      <c r="F121" s="368">
        <f>F113*4.8</f>
        <v>9.6</v>
      </c>
      <c r="G121" s="360">
        <f ca="1">IF(ISERROR(OFFSET('HARGA SATUAN'!$I$6,MATCH(RAB!C121,'HARGA SATUAN'!$C$7:$C$1492,0),0)),0,OFFSET('HARGA SATUAN'!$I$6,MATCH(RAB!C121,'HARGA SATUAN'!$C$7:$C$1492,0),0))</f>
        <v>23310</v>
      </c>
      <c r="H121" s="361">
        <f t="shared" ca="1" si="20"/>
        <v>0</v>
      </c>
      <c r="I121" s="361">
        <f t="shared" ca="1" si="21"/>
        <v>223776</v>
      </c>
      <c r="J121" s="361">
        <f t="shared" ca="1" si="22"/>
        <v>0</v>
      </c>
      <c r="K121" s="362">
        <f t="shared" ca="1" si="23"/>
        <v>223776</v>
      </c>
      <c r="L121" s="369"/>
      <c r="M121" s="369"/>
      <c r="N121" s="369"/>
      <c r="O121" s="363"/>
      <c r="P121" s="363"/>
      <c r="Q121" s="344"/>
      <c r="R121" s="336"/>
      <c r="S121" s="364"/>
      <c r="T121" s="341"/>
      <c r="U121" s="341"/>
      <c r="V121" s="341"/>
    </row>
    <row r="122" spans="1:22" s="370" customFormat="1">
      <c r="A122" s="336"/>
      <c r="B122" s="497">
        <v>9</v>
      </c>
      <c r="C122" s="498" t="s">
        <v>736</v>
      </c>
      <c r="D122" s="358" t="str">
        <f ca="1">IF(ISERROR(OFFSET('HARGA SATUAN'!$D$6,MATCH(RAB!C122,'HARGA SATUAN'!$C$7:$C$1492,0),0)),"",OFFSET('HARGA SATUAN'!$D$6,MATCH(RAB!C122,'HARGA SATUAN'!$C$7:$C$1492,0),0))</f>
        <v>JASA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368">
        <f>F113*1</f>
        <v>2</v>
      </c>
      <c r="G122" s="360">
        <f ca="1">IF(ISERROR(OFFSET('HARGA SATUAN'!$I$6,MATCH(RAB!C122,'HARGA SATUAN'!$C$7:$C$1492,0),0)),0,OFFSET('HARGA SATUAN'!$I$6,MATCH(RAB!C122,'HARGA SATUAN'!$C$7:$C$1492,0),0))</f>
        <v>65400</v>
      </c>
      <c r="H122" s="361">
        <f t="shared" ca="1" si="12"/>
        <v>0</v>
      </c>
      <c r="I122" s="361">
        <f t="shared" ca="1" si="13"/>
        <v>0</v>
      </c>
      <c r="J122" s="361">
        <f t="shared" ca="1" si="14"/>
        <v>130800</v>
      </c>
      <c r="K122" s="362">
        <f t="shared" ca="1" si="15"/>
        <v>130800</v>
      </c>
      <c r="L122" s="369"/>
      <c r="M122" s="369"/>
      <c r="N122" s="369"/>
      <c r="O122" s="363"/>
      <c r="P122" s="363"/>
      <c r="Q122" s="344"/>
      <c r="R122" s="336"/>
      <c r="S122" s="364"/>
      <c r="T122" s="341"/>
      <c r="U122" s="341"/>
      <c r="V122" s="341"/>
    </row>
    <row r="123" spans="1:22" s="370" customFormat="1">
      <c r="A123" s="336"/>
      <c r="B123" s="497"/>
      <c r="C123" s="498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36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12"/>
        <v>0</v>
      </c>
      <c r="I123" s="361">
        <f t="shared" ca="1" si="13"/>
        <v>0</v>
      </c>
      <c r="J123" s="361">
        <f t="shared" ca="1" si="14"/>
        <v>0</v>
      </c>
      <c r="K123" s="362">
        <f t="shared" ca="1" si="15"/>
        <v>0</v>
      </c>
      <c r="L123" s="369"/>
      <c r="M123" s="369"/>
      <c r="N123" s="369"/>
      <c r="O123" s="363"/>
      <c r="P123" s="363"/>
      <c r="Q123" s="344"/>
      <c r="R123" s="336"/>
      <c r="S123" s="364"/>
      <c r="T123" s="341"/>
      <c r="U123" s="341"/>
      <c r="V123" s="341"/>
    </row>
    <row r="124" spans="1:22" s="370" customFormat="1">
      <c r="A124" s="336"/>
      <c r="B124" s="499" t="s">
        <v>1034</v>
      </c>
      <c r="C124" s="723" t="s">
        <v>1634</v>
      </c>
      <c r="D124" s="358" t="s">
        <v>48</v>
      </c>
      <c r="E124" s="359" t="s">
        <v>14</v>
      </c>
      <c r="F124" s="368">
        <v>2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si="12"/>
        <v>0</v>
      </c>
      <c r="I124" s="361">
        <f t="shared" si="13"/>
        <v>0</v>
      </c>
      <c r="J124" s="361">
        <f t="shared" si="14"/>
        <v>0</v>
      </c>
      <c r="K124" s="362">
        <f t="shared" si="15"/>
        <v>0</v>
      </c>
      <c r="L124" s="369"/>
      <c r="M124" s="369"/>
      <c r="N124" s="369"/>
      <c r="O124" s="363"/>
      <c r="P124" s="363"/>
      <c r="Q124" s="344"/>
      <c r="R124" s="336"/>
      <c r="S124" s="364"/>
      <c r="T124" s="341"/>
      <c r="U124" s="341"/>
      <c r="V124" s="341"/>
    </row>
    <row r="125" spans="1:22" s="370" customFormat="1">
      <c r="A125" s="336"/>
      <c r="B125" s="497">
        <v>1</v>
      </c>
      <c r="C125" s="498" t="s">
        <v>30</v>
      </c>
      <c r="D125" s="358" t="s">
        <v>45</v>
      </c>
      <c r="E125" s="359" t="s">
        <v>8</v>
      </c>
      <c r="F125" s="368">
        <f>F124*1</f>
        <v>2</v>
      </c>
      <c r="G125" s="360">
        <f ca="1">IF(ISERROR(OFFSET('HARGA SATUAN'!$I$6,MATCH(RAB!C125,'HARGA SATUAN'!$C$7:$C$1492,0),0)),0,OFFSET('HARGA SATUAN'!$I$6,MATCH(RAB!C125,'HARGA SATUAN'!$C$7:$C$1492,0),0))</f>
        <v>47459</v>
      </c>
      <c r="H125" s="361">
        <f t="shared" si="12"/>
        <v>0</v>
      </c>
      <c r="I125" s="361">
        <f t="shared" ca="1" si="13"/>
        <v>94918</v>
      </c>
      <c r="J125" s="361">
        <f t="shared" si="14"/>
        <v>0</v>
      </c>
      <c r="K125" s="362">
        <f t="shared" ca="1" si="15"/>
        <v>94918</v>
      </c>
      <c r="L125" s="369"/>
      <c r="M125" s="369"/>
      <c r="N125" s="369"/>
      <c r="O125" s="363"/>
      <c r="P125" s="363"/>
      <c r="Q125" s="344"/>
      <c r="R125" s="336"/>
      <c r="S125" s="364"/>
      <c r="T125" s="341"/>
      <c r="U125" s="341"/>
      <c r="V125" s="341"/>
    </row>
    <row r="126" spans="1:22" s="370" customFormat="1">
      <c r="A126" s="336"/>
      <c r="B126" s="497">
        <v>2</v>
      </c>
      <c r="C126" s="498" t="s">
        <v>32</v>
      </c>
      <c r="D126" s="358" t="s">
        <v>45</v>
      </c>
      <c r="E126" s="359" t="s">
        <v>7</v>
      </c>
      <c r="F126" s="368">
        <f>F124*0.8</f>
        <v>1.6</v>
      </c>
      <c r="G126" s="360">
        <f ca="1">IF(ISERROR(OFFSET('HARGA SATUAN'!$I$6,MATCH(RAB!C126,'HARGA SATUAN'!$C$7:$C$1492,0),0)),0,OFFSET('HARGA SATUAN'!$I$6,MATCH(RAB!C126,'HARGA SATUAN'!$C$7:$C$1492,0),0))</f>
        <v>30000</v>
      </c>
      <c r="H126" s="361">
        <f t="shared" si="12"/>
        <v>0</v>
      </c>
      <c r="I126" s="361">
        <f t="shared" ca="1" si="13"/>
        <v>48000</v>
      </c>
      <c r="J126" s="361">
        <f t="shared" si="14"/>
        <v>0</v>
      </c>
      <c r="K126" s="362">
        <f t="shared" ca="1" si="15"/>
        <v>48000</v>
      </c>
      <c r="L126" s="369"/>
      <c r="M126" s="369"/>
      <c r="N126" s="369"/>
      <c r="O126" s="363"/>
      <c r="P126" s="363"/>
      <c r="Q126" s="344"/>
      <c r="R126" s="336"/>
      <c r="S126" s="364"/>
      <c r="T126" s="341"/>
      <c r="U126" s="341"/>
      <c r="V126" s="341"/>
    </row>
    <row r="127" spans="1:22" s="370" customFormat="1">
      <c r="A127" s="336"/>
      <c r="B127" s="497">
        <v>3</v>
      </c>
      <c r="C127" s="498" t="s">
        <v>33</v>
      </c>
      <c r="D127" s="358" t="s">
        <v>45</v>
      </c>
      <c r="E127" s="359" t="s">
        <v>8</v>
      </c>
      <c r="F127" s="368">
        <f>F124*1</f>
        <v>2</v>
      </c>
      <c r="G127" s="360">
        <f ca="1">IF(ISERROR(OFFSET('HARGA SATUAN'!$I$6,MATCH(RAB!C127,'HARGA SATUAN'!$C$7:$C$1492,0),0)),0,OFFSET('HARGA SATUAN'!$I$6,MATCH(RAB!C127,'HARGA SATUAN'!$C$7:$C$1492,0),0))</f>
        <v>9500</v>
      </c>
      <c r="H127" s="361">
        <f t="shared" si="12"/>
        <v>0</v>
      </c>
      <c r="I127" s="361">
        <f t="shared" ca="1" si="13"/>
        <v>19000</v>
      </c>
      <c r="J127" s="361">
        <f t="shared" si="14"/>
        <v>0</v>
      </c>
      <c r="K127" s="362">
        <f t="shared" ca="1" si="15"/>
        <v>19000</v>
      </c>
      <c r="L127" s="369"/>
      <c r="M127" s="369"/>
      <c r="N127" s="369"/>
      <c r="O127" s="363"/>
      <c r="P127" s="363"/>
      <c r="Q127" s="344"/>
      <c r="R127" s="336"/>
      <c r="S127" s="364"/>
      <c r="T127" s="341"/>
      <c r="U127" s="341"/>
      <c r="V127" s="341"/>
    </row>
    <row r="128" spans="1:22" s="370" customFormat="1">
      <c r="A128" s="336"/>
      <c r="B128" s="497">
        <v>4</v>
      </c>
      <c r="C128" s="498" t="s">
        <v>737</v>
      </c>
      <c r="D128" s="358" t="s">
        <v>47</v>
      </c>
      <c r="E128" s="359" t="s">
        <v>14</v>
      </c>
      <c r="F128" s="368">
        <f>F124*1</f>
        <v>2</v>
      </c>
      <c r="G128" s="360">
        <f ca="1">IF(ISERROR(OFFSET('HARGA SATUAN'!$I$6,MATCH(RAB!C128,'HARGA SATUAN'!$C$7:$C$1492,0),0)),0,OFFSET('HARGA SATUAN'!$I$6,MATCH(RAB!C128,'HARGA SATUAN'!$C$7:$C$1492,0),0))</f>
        <v>16200</v>
      </c>
      <c r="H128" s="361">
        <f t="shared" si="12"/>
        <v>0</v>
      </c>
      <c r="I128" s="361">
        <f t="shared" si="13"/>
        <v>0</v>
      </c>
      <c r="J128" s="361">
        <f t="shared" ca="1" si="14"/>
        <v>32400</v>
      </c>
      <c r="K128" s="362">
        <f t="shared" ca="1" si="15"/>
        <v>32400</v>
      </c>
      <c r="L128" s="369"/>
      <c r="M128" s="369"/>
      <c r="N128" s="369"/>
      <c r="O128" s="363"/>
      <c r="P128" s="363"/>
      <c r="Q128" s="344"/>
      <c r="R128" s="336"/>
      <c r="S128" s="364"/>
      <c r="T128" s="341"/>
      <c r="U128" s="341"/>
      <c r="V128" s="341"/>
    </row>
    <row r="129" spans="1:22" s="370" customFormat="1">
      <c r="A129" s="336"/>
      <c r="B129" s="497"/>
      <c r="C129" s="498"/>
      <c r="D129" s="358" t="s">
        <v>48</v>
      </c>
      <c r="E129" s="359" t="s">
        <v>48</v>
      </c>
      <c r="F129" s="368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si="12"/>
        <v>0</v>
      </c>
      <c r="I129" s="361">
        <f t="shared" si="13"/>
        <v>0</v>
      </c>
      <c r="J129" s="361">
        <f t="shared" si="14"/>
        <v>0</v>
      </c>
      <c r="K129" s="362">
        <f t="shared" si="15"/>
        <v>0</v>
      </c>
      <c r="L129" s="369"/>
      <c r="M129" s="369"/>
      <c r="N129" s="369"/>
      <c r="O129" s="363"/>
      <c r="P129" s="363"/>
      <c r="Q129" s="344"/>
      <c r="R129" s="336"/>
      <c r="S129" s="364"/>
      <c r="T129" s="341"/>
      <c r="U129" s="341"/>
      <c r="V129" s="341"/>
    </row>
    <row r="130" spans="1:22" s="370" customFormat="1">
      <c r="A130" s="336"/>
      <c r="B130" s="499" t="s">
        <v>1034</v>
      </c>
      <c r="C130" s="723" t="s">
        <v>1633</v>
      </c>
      <c r="D130" s="358" t="s">
        <v>48</v>
      </c>
      <c r="E130" s="359" t="s">
        <v>14</v>
      </c>
      <c r="F130" s="368">
        <v>1</v>
      </c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si="12"/>
        <v>0</v>
      </c>
      <c r="I130" s="361">
        <f t="shared" si="13"/>
        <v>0</v>
      </c>
      <c r="J130" s="361">
        <f t="shared" si="14"/>
        <v>0</v>
      </c>
      <c r="K130" s="362">
        <f t="shared" si="15"/>
        <v>0</v>
      </c>
      <c r="L130" s="369"/>
      <c r="M130" s="369"/>
      <c r="N130" s="369"/>
      <c r="O130" s="363"/>
      <c r="P130" s="363"/>
      <c r="Q130" s="344"/>
      <c r="R130" s="336"/>
      <c r="S130" s="364"/>
      <c r="T130" s="341"/>
      <c r="U130" s="341"/>
      <c r="V130" s="341"/>
    </row>
    <row r="131" spans="1:22" s="370" customFormat="1">
      <c r="A131" s="336"/>
      <c r="B131" s="497">
        <v>1</v>
      </c>
      <c r="C131" s="498" t="s">
        <v>30</v>
      </c>
      <c r="D131" s="358" t="s">
        <v>45</v>
      </c>
      <c r="E131" s="359" t="s">
        <v>8</v>
      </c>
      <c r="F131" s="368">
        <f>F130*1</f>
        <v>1</v>
      </c>
      <c r="G131" s="360">
        <f ca="1">IF(ISERROR(OFFSET('HARGA SATUAN'!$I$6,MATCH(RAB!C131,'HARGA SATUAN'!$C$7:$C$1492,0),0)),0,OFFSET('HARGA SATUAN'!$I$6,MATCH(RAB!C131,'HARGA SATUAN'!$C$7:$C$1492,0),0))</f>
        <v>47459</v>
      </c>
      <c r="H131" s="361">
        <f t="shared" si="12"/>
        <v>0</v>
      </c>
      <c r="I131" s="361">
        <f t="shared" ca="1" si="13"/>
        <v>47459</v>
      </c>
      <c r="J131" s="361">
        <f t="shared" si="14"/>
        <v>0</v>
      </c>
      <c r="K131" s="362">
        <f t="shared" ca="1" si="15"/>
        <v>47459</v>
      </c>
      <c r="L131" s="369"/>
      <c r="M131" s="369"/>
      <c r="N131" s="369"/>
      <c r="O131" s="363"/>
      <c r="P131" s="363"/>
      <c r="Q131" s="344"/>
      <c r="R131" s="336"/>
      <c r="S131" s="364"/>
      <c r="T131" s="341"/>
      <c r="U131" s="341"/>
      <c r="V131" s="341"/>
    </row>
    <row r="132" spans="1:22" s="370" customFormat="1">
      <c r="A132" s="336"/>
      <c r="B132" s="497">
        <v>2</v>
      </c>
      <c r="C132" s="498" t="s">
        <v>32</v>
      </c>
      <c r="D132" s="358" t="s">
        <v>45</v>
      </c>
      <c r="E132" s="359" t="s">
        <v>7</v>
      </c>
      <c r="F132" s="368">
        <f>F130*1</f>
        <v>1</v>
      </c>
      <c r="G132" s="360">
        <f ca="1">IF(ISERROR(OFFSET('HARGA SATUAN'!$I$6,MATCH(RAB!C132,'HARGA SATUAN'!$C$7:$C$1492,0),0)),0,OFFSET('HARGA SATUAN'!$I$6,MATCH(RAB!C132,'HARGA SATUAN'!$C$7:$C$1492,0),0))</f>
        <v>30000</v>
      </c>
      <c r="H132" s="361">
        <f t="shared" si="12"/>
        <v>0</v>
      </c>
      <c r="I132" s="361">
        <f t="shared" ca="1" si="13"/>
        <v>30000</v>
      </c>
      <c r="J132" s="361">
        <f t="shared" si="14"/>
        <v>0</v>
      </c>
      <c r="K132" s="362">
        <f t="shared" ca="1" si="15"/>
        <v>30000</v>
      </c>
      <c r="L132" s="369"/>
      <c r="M132" s="369"/>
      <c r="N132" s="369"/>
      <c r="O132" s="363"/>
      <c r="P132" s="363"/>
      <c r="Q132" s="344"/>
      <c r="R132" s="336"/>
      <c r="S132" s="364"/>
      <c r="T132" s="341"/>
      <c r="U132" s="341"/>
      <c r="V132" s="341"/>
    </row>
    <row r="133" spans="1:22" s="370" customFormat="1">
      <c r="A133" s="336"/>
      <c r="B133" s="497">
        <v>3</v>
      </c>
      <c r="C133" s="498" t="s">
        <v>33</v>
      </c>
      <c r="D133" s="358" t="s">
        <v>45</v>
      </c>
      <c r="E133" s="359" t="s">
        <v>8</v>
      </c>
      <c r="F133" s="368">
        <f>F130*1</f>
        <v>1</v>
      </c>
      <c r="G133" s="360">
        <f ca="1">IF(ISERROR(OFFSET('HARGA SATUAN'!$I$6,MATCH(RAB!C133,'HARGA SATUAN'!$C$7:$C$1492,0),0)),0,OFFSET('HARGA SATUAN'!$I$6,MATCH(RAB!C133,'HARGA SATUAN'!$C$7:$C$1492,0),0))</f>
        <v>9500</v>
      </c>
      <c r="H133" s="361">
        <f t="shared" si="12"/>
        <v>0</v>
      </c>
      <c r="I133" s="361">
        <f t="shared" ca="1" si="13"/>
        <v>9500</v>
      </c>
      <c r="J133" s="361">
        <f t="shared" si="14"/>
        <v>0</v>
      </c>
      <c r="K133" s="362">
        <f t="shared" ca="1" si="15"/>
        <v>9500</v>
      </c>
      <c r="L133" s="369"/>
      <c r="M133" s="369"/>
      <c r="N133" s="369"/>
      <c r="O133" s="363"/>
      <c r="P133" s="363"/>
      <c r="Q133" s="344"/>
      <c r="R133" s="336"/>
      <c r="S133" s="364"/>
      <c r="T133" s="341"/>
      <c r="U133" s="341"/>
      <c r="V133" s="341"/>
    </row>
    <row r="134" spans="1:22" s="370" customFormat="1">
      <c r="A134" s="336"/>
      <c r="B134" s="497">
        <v>4</v>
      </c>
      <c r="C134" s="498" t="s">
        <v>738</v>
      </c>
      <c r="D134" s="358" t="s">
        <v>47</v>
      </c>
      <c r="E134" s="359" t="s">
        <v>14</v>
      </c>
      <c r="F134" s="368">
        <f>F130*1</f>
        <v>1</v>
      </c>
      <c r="G134" s="360">
        <f ca="1">IF(ISERROR(OFFSET('HARGA SATUAN'!$I$6,MATCH(RAB!C134,'HARGA SATUAN'!$C$7:$C$1492,0),0)),0,OFFSET('HARGA SATUAN'!$I$6,MATCH(RAB!C134,'HARGA SATUAN'!$C$7:$C$1492,0),0))</f>
        <v>21200</v>
      </c>
      <c r="H134" s="361">
        <f t="shared" si="12"/>
        <v>0</v>
      </c>
      <c r="I134" s="361">
        <f t="shared" si="13"/>
        <v>0</v>
      </c>
      <c r="J134" s="361">
        <f t="shared" ca="1" si="14"/>
        <v>21200</v>
      </c>
      <c r="K134" s="362">
        <f t="shared" ca="1" si="15"/>
        <v>21200</v>
      </c>
      <c r="L134" s="369"/>
      <c r="M134" s="369"/>
      <c r="N134" s="369"/>
      <c r="O134" s="363"/>
      <c r="P134" s="363"/>
      <c r="Q134" s="344"/>
      <c r="R134" s="336"/>
      <c r="S134" s="364"/>
      <c r="T134" s="341"/>
      <c r="U134" s="341"/>
      <c r="V134" s="341"/>
    </row>
    <row r="135" spans="1:22" s="370" customFormat="1">
      <c r="A135" s="336"/>
      <c r="B135" s="497"/>
      <c r="C135" s="498"/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/>
      </c>
      <c r="F135" s="368"/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12"/>
        <v>0</v>
      </c>
      <c r="I135" s="361">
        <f t="shared" ca="1" si="13"/>
        <v>0</v>
      </c>
      <c r="J135" s="361">
        <f t="shared" ca="1" si="14"/>
        <v>0</v>
      </c>
      <c r="K135" s="362">
        <f t="shared" ca="1" si="15"/>
        <v>0</v>
      </c>
      <c r="L135" s="369"/>
      <c r="M135" s="369"/>
      <c r="N135" s="369"/>
      <c r="O135" s="363"/>
      <c r="P135" s="363"/>
      <c r="Q135" s="344"/>
      <c r="R135" s="336"/>
      <c r="S135" s="364"/>
      <c r="T135" s="341"/>
      <c r="U135" s="341"/>
      <c r="V135" s="341"/>
    </row>
    <row r="136" spans="1:22" s="370" customFormat="1">
      <c r="A136" s="336"/>
      <c r="B136" s="499" t="s">
        <v>1034</v>
      </c>
      <c r="C136" s="723" t="s">
        <v>1635</v>
      </c>
      <c r="D136" s="358" t="s">
        <v>48</v>
      </c>
      <c r="E136" s="359" t="s">
        <v>14</v>
      </c>
      <c r="F136" s="368">
        <v>3</v>
      </c>
      <c r="G136" s="360">
        <f ca="1">IF(ISERROR(OFFSET('HARGA SATUAN'!$I$6,MATCH(RAB!C136,'HARGA SATUAN'!$C$7:$C$1492,0),0)),0,OFFSET('HARGA SATUAN'!$I$6,MATCH(RAB!C136,'HARGA SATUAN'!$C$7:$C$1492,0),0))</f>
        <v>0</v>
      </c>
      <c r="H136" s="361">
        <f t="shared" si="12"/>
        <v>0</v>
      </c>
      <c r="I136" s="361">
        <f t="shared" si="13"/>
        <v>0</v>
      </c>
      <c r="J136" s="361">
        <f t="shared" si="14"/>
        <v>0</v>
      </c>
      <c r="K136" s="362">
        <f t="shared" si="15"/>
        <v>0</v>
      </c>
      <c r="L136" s="369"/>
      <c r="M136" s="369"/>
      <c r="N136" s="369"/>
      <c r="O136" s="363"/>
      <c r="P136" s="363"/>
      <c r="Q136" s="344"/>
      <c r="R136" s="336"/>
      <c r="S136" s="364"/>
      <c r="T136" s="341"/>
      <c r="U136" s="341"/>
      <c r="V136" s="341"/>
    </row>
    <row r="137" spans="1:22" s="370" customFormat="1">
      <c r="A137" s="336"/>
      <c r="B137" s="497">
        <v>1</v>
      </c>
      <c r="C137" s="498" t="s">
        <v>229</v>
      </c>
      <c r="D137" s="358" t="s">
        <v>45</v>
      </c>
      <c r="E137" s="359" t="s">
        <v>8</v>
      </c>
      <c r="F137" s="368">
        <f>F136*1</f>
        <v>3</v>
      </c>
      <c r="G137" s="360">
        <f ca="1">IF(ISERROR(OFFSET('HARGA SATUAN'!$I$6,MATCH(RAB!C137,'HARGA SATUAN'!$C$7:$C$1492,0),0)),0,OFFSET('HARGA SATUAN'!$I$6,MATCH(RAB!C137,'HARGA SATUAN'!$C$7:$C$1492,0),0))</f>
        <v>4212</v>
      </c>
      <c r="H137" s="361">
        <f t="shared" si="12"/>
        <v>0</v>
      </c>
      <c r="I137" s="361">
        <f t="shared" ca="1" si="13"/>
        <v>12636</v>
      </c>
      <c r="J137" s="361">
        <f t="shared" si="14"/>
        <v>0</v>
      </c>
      <c r="K137" s="362">
        <f t="shared" ca="1" si="15"/>
        <v>12636</v>
      </c>
      <c r="L137" s="369"/>
      <c r="M137" s="369"/>
      <c r="N137" s="369"/>
      <c r="O137" s="363"/>
      <c r="P137" s="363"/>
      <c r="Q137" s="344"/>
      <c r="R137" s="336"/>
      <c r="S137" s="364"/>
      <c r="T137" s="341"/>
      <c r="U137" s="341"/>
      <c r="V137" s="341"/>
    </row>
    <row r="138" spans="1:22" s="370" customFormat="1">
      <c r="A138" s="336"/>
      <c r="B138" s="497">
        <v>2</v>
      </c>
      <c r="C138" s="498" t="s">
        <v>266</v>
      </c>
      <c r="D138" s="358" t="s">
        <v>45</v>
      </c>
      <c r="E138" s="359" t="s">
        <v>7</v>
      </c>
      <c r="F138" s="368">
        <f>F136*1</f>
        <v>3</v>
      </c>
      <c r="G138" s="360">
        <f ca="1">IF(ISERROR(OFFSET('HARGA SATUAN'!$I$6,MATCH(RAB!C138,'HARGA SATUAN'!$C$7:$C$1492,0),0)),0,OFFSET('HARGA SATUAN'!$I$6,MATCH(RAB!C138,'HARGA SATUAN'!$C$7:$C$1492,0),0))</f>
        <v>23310</v>
      </c>
      <c r="H138" s="361">
        <f t="shared" ref="H138:H152" si="32">IF(OR(D138="MDU",D138="MDU-KD"),(IF($O$3="RAB NON MDU","PLN KD",G138*F138)),0)</f>
        <v>0</v>
      </c>
      <c r="I138" s="361">
        <f t="shared" ref="I138:I152" ca="1" si="33">IF(D138="HDW",G138*F138,0)</f>
        <v>69930</v>
      </c>
      <c r="J138" s="361">
        <f t="shared" ref="J138:J152" si="34">IF(D138="JASA",G138*F138,0)</f>
        <v>0</v>
      </c>
      <c r="K138" s="362">
        <f t="shared" ref="K138:K152" ca="1" si="35">SUM(H138:J138)</f>
        <v>69930</v>
      </c>
      <c r="L138" s="369"/>
      <c r="M138" s="369"/>
      <c r="N138" s="369"/>
      <c r="O138" s="363"/>
      <c r="P138" s="363"/>
      <c r="Q138" s="344"/>
      <c r="R138" s="336"/>
      <c r="S138" s="364"/>
      <c r="T138" s="341"/>
      <c r="U138" s="341"/>
      <c r="V138" s="341"/>
    </row>
    <row r="139" spans="1:22" s="370" customFormat="1">
      <c r="A139" s="336"/>
      <c r="B139" s="497">
        <v>3</v>
      </c>
      <c r="C139" s="498" t="s">
        <v>35</v>
      </c>
      <c r="D139" s="358" t="s">
        <v>45</v>
      </c>
      <c r="E139" s="359" t="s">
        <v>8</v>
      </c>
      <c r="F139" s="368">
        <f>F136*1</f>
        <v>3</v>
      </c>
      <c r="G139" s="360">
        <f ca="1">IF(ISERROR(OFFSET('HARGA SATUAN'!$I$6,MATCH(RAB!C139,'HARGA SATUAN'!$C$7:$C$1492,0),0)),0,OFFSET('HARGA SATUAN'!$I$6,MATCH(RAB!C139,'HARGA SATUAN'!$C$7:$C$1492,0),0))</f>
        <v>2300</v>
      </c>
      <c r="H139" s="361">
        <f t="shared" si="32"/>
        <v>0</v>
      </c>
      <c r="I139" s="361">
        <f t="shared" ca="1" si="33"/>
        <v>6900</v>
      </c>
      <c r="J139" s="361">
        <f t="shared" si="34"/>
        <v>0</v>
      </c>
      <c r="K139" s="362">
        <f t="shared" ca="1" si="35"/>
        <v>6900</v>
      </c>
      <c r="L139" s="369"/>
      <c r="M139" s="369"/>
      <c r="N139" s="369"/>
      <c r="O139" s="363"/>
      <c r="P139" s="363"/>
      <c r="Q139" s="344"/>
      <c r="R139" s="336"/>
      <c r="S139" s="364"/>
      <c r="T139" s="341"/>
      <c r="U139" s="341"/>
      <c r="V139" s="341"/>
    </row>
    <row r="140" spans="1:22" s="370" customFormat="1">
      <c r="A140" s="336"/>
      <c r="B140" s="497">
        <v>4</v>
      </c>
      <c r="C140" s="498" t="s">
        <v>609</v>
      </c>
      <c r="D140" s="358" t="s">
        <v>45</v>
      </c>
      <c r="E140" s="359" t="s">
        <v>8</v>
      </c>
      <c r="F140" s="368">
        <f>F136*1</f>
        <v>3</v>
      </c>
      <c r="G140" s="360">
        <f ca="1">IF(ISERROR(OFFSET('HARGA SATUAN'!$I$6,MATCH(RAB!C140,'HARGA SATUAN'!$C$7:$C$1492,0),0)),0,OFFSET('HARGA SATUAN'!$I$6,MATCH(RAB!C140,'HARGA SATUAN'!$C$7:$C$1492,0),0))</f>
        <v>71000</v>
      </c>
      <c r="H140" s="361">
        <f t="shared" si="32"/>
        <v>0</v>
      </c>
      <c r="I140" s="361">
        <f t="shared" ca="1" si="33"/>
        <v>213000</v>
      </c>
      <c r="J140" s="361">
        <f t="shared" si="34"/>
        <v>0</v>
      </c>
      <c r="K140" s="362">
        <f t="shared" ca="1" si="35"/>
        <v>213000</v>
      </c>
      <c r="L140" s="369"/>
      <c r="M140" s="369"/>
      <c r="N140" s="369"/>
      <c r="O140" s="363"/>
      <c r="P140" s="363"/>
      <c r="Q140" s="344"/>
      <c r="R140" s="336"/>
      <c r="S140" s="364"/>
      <c r="T140" s="341"/>
      <c r="U140" s="341"/>
      <c r="V140" s="341"/>
    </row>
    <row r="141" spans="1:22" s="370" customFormat="1">
      <c r="A141" s="336"/>
      <c r="B141" s="497">
        <v>5</v>
      </c>
      <c r="C141" s="498" t="s">
        <v>629</v>
      </c>
      <c r="D141" s="358" t="s">
        <v>47</v>
      </c>
      <c r="E141" s="359" t="s">
        <v>14</v>
      </c>
      <c r="F141" s="368">
        <f>F136*1</f>
        <v>3</v>
      </c>
      <c r="G141" s="360">
        <f ca="1">IF(ISERROR(OFFSET('HARGA SATUAN'!$I$6,MATCH(RAB!C141,'HARGA SATUAN'!$C$7:$C$1492,0),0)),0,OFFSET('HARGA SATUAN'!$I$6,MATCH(RAB!C141,'HARGA SATUAN'!$C$7:$C$1492,0),0))</f>
        <v>29400</v>
      </c>
      <c r="H141" s="361">
        <f t="shared" si="32"/>
        <v>0</v>
      </c>
      <c r="I141" s="361">
        <f t="shared" si="33"/>
        <v>0</v>
      </c>
      <c r="J141" s="361">
        <f t="shared" ca="1" si="34"/>
        <v>88200</v>
      </c>
      <c r="K141" s="362">
        <f t="shared" ca="1" si="35"/>
        <v>88200</v>
      </c>
      <c r="L141" s="369"/>
      <c r="M141" s="369"/>
      <c r="N141" s="369"/>
      <c r="O141" s="363"/>
      <c r="P141" s="363"/>
      <c r="Q141" s="344"/>
      <c r="R141" s="336"/>
      <c r="S141" s="364"/>
      <c r="T141" s="341"/>
      <c r="U141" s="341"/>
      <c r="V141" s="341"/>
    </row>
    <row r="142" spans="1:22" s="370" customFormat="1">
      <c r="A142" s="336"/>
      <c r="B142" s="497"/>
      <c r="C142" s="498"/>
      <c r="D142" s="358" t="s">
        <v>48</v>
      </c>
      <c r="E142" s="359" t="s">
        <v>48</v>
      </c>
      <c r="F142" s="368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si="32"/>
        <v>0</v>
      </c>
      <c r="I142" s="361">
        <f t="shared" si="33"/>
        <v>0</v>
      </c>
      <c r="J142" s="361">
        <f t="shared" si="34"/>
        <v>0</v>
      </c>
      <c r="K142" s="362">
        <f t="shared" si="35"/>
        <v>0</v>
      </c>
      <c r="L142" s="369"/>
      <c r="M142" s="369"/>
      <c r="N142" s="369"/>
      <c r="O142" s="363"/>
      <c r="P142" s="363"/>
      <c r="Q142" s="344"/>
      <c r="R142" s="336"/>
      <c r="S142" s="364"/>
      <c r="T142" s="341"/>
      <c r="U142" s="341"/>
      <c r="V142" s="341"/>
    </row>
    <row r="143" spans="1:22" s="370" customFormat="1">
      <c r="A143" s="336"/>
      <c r="B143" s="499" t="s">
        <v>1034</v>
      </c>
      <c r="C143" s="723" t="s">
        <v>1636</v>
      </c>
      <c r="D143" s="358" t="s">
        <v>48</v>
      </c>
      <c r="E143" s="359" t="s">
        <v>14</v>
      </c>
      <c r="F143" s="368">
        <v>6</v>
      </c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si="32"/>
        <v>0</v>
      </c>
      <c r="I143" s="361">
        <f t="shared" si="33"/>
        <v>0</v>
      </c>
      <c r="J143" s="361">
        <f t="shared" si="34"/>
        <v>0</v>
      </c>
      <c r="K143" s="362">
        <f t="shared" si="35"/>
        <v>0</v>
      </c>
      <c r="L143" s="369"/>
      <c r="M143" s="369"/>
      <c r="N143" s="369"/>
      <c r="O143" s="363"/>
      <c r="P143" s="363"/>
      <c r="Q143" s="344"/>
      <c r="R143" s="336"/>
      <c r="S143" s="364"/>
      <c r="T143" s="341"/>
      <c r="U143" s="341"/>
      <c r="V143" s="341"/>
    </row>
    <row r="144" spans="1:22" s="370" customFormat="1">
      <c r="A144" s="336"/>
      <c r="B144" s="497">
        <v>1</v>
      </c>
      <c r="C144" s="498" t="s">
        <v>595</v>
      </c>
      <c r="D144" s="358" t="s">
        <v>45</v>
      </c>
      <c r="E144" s="359" t="s">
        <v>8</v>
      </c>
      <c r="F144" s="368">
        <f>F143*1</f>
        <v>6</v>
      </c>
      <c r="G144" s="360">
        <f ca="1">IF(ISERROR(OFFSET('HARGA SATUAN'!$I$6,MATCH(RAB!C144,'HARGA SATUAN'!$C$7:$C$1492,0),0)),0,OFFSET('HARGA SATUAN'!$I$6,MATCH(RAB!C144,'HARGA SATUAN'!$C$7:$C$1492,0),0))</f>
        <v>78500</v>
      </c>
      <c r="H144" s="361">
        <f t="shared" si="32"/>
        <v>0</v>
      </c>
      <c r="I144" s="361">
        <f t="shared" ca="1" si="33"/>
        <v>471000</v>
      </c>
      <c r="J144" s="361">
        <f t="shared" si="34"/>
        <v>0</v>
      </c>
      <c r="K144" s="362">
        <f t="shared" ca="1" si="35"/>
        <v>471000</v>
      </c>
      <c r="L144" s="369"/>
      <c r="M144" s="369"/>
      <c r="N144" s="369"/>
      <c r="O144" s="363"/>
      <c r="P144" s="363"/>
      <c r="Q144" s="344"/>
      <c r="R144" s="336"/>
      <c r="S144" s="364"/>
      <c r="T144" s="341"/>
      <c r="U144" s="341"/>
      <c r="V144" s="341"/>
    </row>
    <row r="145" spans="1:22" s="370" customFormat="1">
      <c r="A145" s="336"/>
      <c r="B145" s="497">
        <v>2</v>
      </c>
      <c r="C145" s="498" t="s">
        <v>229</v>
      </c>
      <c r="D145" s="358" t="s">
        <v>45</v>
      </c>
      <c r="E145" s="359" t="s">
        <v>8</v>
      </c>
      <c r="F145" s="368">
        <f>F143*1</f>
        <v>6</v>
      </c>
      <c r="G145" s="360">
        <f ca="1">IF(ISERROR(OFFSET('HARGA SATUAN'!$I$6,MATCH(RAB!C145,'HARGA SATUAN'!$C$7:$C$1492,0),0)),0,OFFSET('HARGA SATUAN'!$I$6,MATCH(RAB!C145,'HARGA SATUAN'!$C$7:$C$1492,0),0))</f>
        <v>4212</v>
      </c>
      <c r="H145" s="361">
        <f t="shared" si="32"/>
        <v>0</v>
      </c>
      <c r="I145" s="361">
        <f t="shared" ca="1" si="33"/>
        <v>25272</v>
      </c>
      <c r="J145" s="361">
        <f t="shared" si="34"/>
        <v>0</v>
      </c>
      <c r="K145" s="362">
        <f t="shared" ca="1" si="35"/>
        <v>25272</v>
      </c>
      <c r="L145" s="369"/>
      <c r="M145" s="369"/>
      <c r="N145" s="369"/>
      <c r="O145" s="363"/>
      <c r="P145" s="363"/>
      <c r="Q145" s="344"/>
      <c r="R145" s="336"/>
      <c r="S145" s="364"/>
      <c r="T145" s="341"/>
      <c r="U145" s="341"/>
      <c r="V145" s="341"/>
    </row>
    <row r="146" spans="1:22" s="370" customFormat="1">
      <c r="A146" s="336"/>
      <c r="B146" s="497">
        <v>3</v>
      </c>
      <c r="C146" s="498" t="s">
        <v>266</v>
      </c>
      <c r="D146" s="358" t="s">
        <v>45</v>
      </c>
      <c r="E146" s="359" t="s">
        <v>7</v>
      </c>
      <c r="F146" s="368">
        <f>F143*1</f>
        <v>6</v>
      </c>
      <c r="G146" s="360">
        <f ca="1">IF(ISERROR(OFFSET('HARGA SATUAN'!$I$6,MATCH(RAB!C146,'HARGA SATUAN'!$C$7:$C$1492,0),0)),0,OFFSET('HARGA SATUAN'!$I$6,MATCH(RAB!C146,'HARGA SATUAN'!$C$7:$C$1492,0),0))</f>
        <v>23310</v>
      </c>
      <c r="H146" s="361">
        <f t="shared" si="32"/>
        <v>0</v>
      </c>
      <c r="I146" s="361">
        <f t="shared" ca="1" si="33"/>
        <v>139860</v>
      </c>
      <c r="J146" s="361">
        <f t="shared" si="34"/>
        <v>0</v>
      </c>
      <c r="K146" s="362">
        <f t="shared" ca="1" si="35"/>
        <v>139860</v>
      </c>
      <c r="L146" s="369"/>
      <c r="M146" s="369"/>
      <c r="N146" s="369"/>
      <c r="O146" s="363"/>
      <c r="P146" s="363"/>
      <c r="Q146" s="344"/>
      <c r="R146" s="336"/>
      <c r="S146" s="364"/>
      <c r="T146" s="341"/>
      <c r="U146" s="341"/>
      <c r="V146" s="341"/>
    </row>
    <row r="147" spans="1:22" s="370" customFormat="1">
      <c r="A147" s="336"/>
      <c r="B147" s="497">
        <v>4</v>
      </c>
      <c r="C147" s="498" t="s">
        <v>35</v>
      </c>
      <c r="D147" s="358" t="s">
        <v>45</v>
      </c>
      <c r="E147" s="359" t="s">
        <v>8</v>
      </c>
      <c r="F147" s="368">
        <f>F143*1</f>
        <v>6</v>
      </c>
      <c r="G147" s="360">
        <f ca="1">IF(ISERROR(OFFSET('HARGA SATUAN'!$I$6,MATCH(RAB!C147,'HARGA SATUAN'!$C$7:$C$1492,0),0)),0,OFFSET('HARGA SATUAN'!$I$6,MATCH(RAB!C147,'HARGA SATUAN'!$C$7:$C$1492,0),0))</f>
        <v>2300</v>
      </c>
      <c r="H147" s="361">
        <f t="shared" si="32"/>
        <v>0</v>
      </c>
      <c r="I147" s="361">
        <f t="shared" ca="1" si="33"/>
        <v>13800</v>
      </c>
      <c r="J147" s="361">
        <f t="shared" si="34"/>
        <v>0</v>
      </c>
      <c r="K147" s="362">
        <f t="shared" ca="1" si="35"/>
        <v>13800</v>
      </c>
      <c r="L147" s="369"/>
      <c r="M147" s="369"/>
      <c r="N147" s="369"/>
      <c r="O147" s="363"/>
      <c r="P147" s="363"/>
      <c r="Q147" s="344"/>
      <c r="R147" s="336"/>
      <c r="S147" s="364"/>
      <c r="T147" s="341"/>
      <c r="U147" s="341"/>
      <c r="V147" s="341"/>
    </row>
    <row r="148" spans="1:22" s="370" customFormat="1">
      <c r="A148" s="336"/>
      <c r="B148" s="497">
        <v>5</v>
      </c>
      <c r="C148" s="498" t="s">
        <v>630</v>
      </c>
      <c r="D148" s="358" t="s">
        <v>47</v>
      </c>
      <c r="E148" s="359" t="s">
        <v>14</v>
      </c>
      <c r="F148" s="368">
        <f>F143*1</f>
        <v>6</v>
      </c>
      <c r="G148" s="360">
        <f ca="1">IF(ISERROR(OFFSET('HARGA SATUAN'!$I$6,MATCH(RAB!C148,'HARGA SATUAN'!$C$7:$C$1492,0),0)),0,OFFSET('HARGA SATUAN'!$I$6,MATCH(RAB!C148,'HARGA SATUAN'!$C$7:$C$1492,0),0))</f>
        <v>35700</v>
      </c>
      <c r="H148" s="361">
        <f t="shared" si="32"/>
        <v>0</v>
      </c>
      <c r="I148" s="361">
        <f t="shared" si="33"/>
        <v>0</v>
      </c>
      <c r="J148" s="361">
        <f t="shared" ca="1" si="34"/>
        <v>214200</v>
      </c>
      <c r="K148" s="362">
        <f t="shared" ca="1" si="35"/>
        <v>214200</v>
      </c>
      <c r="L148" s="369"/>
      <c r="M148" s="369"/>
      <c r="N148" s="369"/>
      <c r="O148" s="363"/>
      <c r="P148" s="363"/>
      <c r="Q148" s="344"/>
      <c r="R148" s="336"/>
      <c r="S148" s="364"/>
      <c r="T148" s="341"/>
      <c r="U148" s="341"/>
      <c r="V148" s="341"/>
    </row>
    <row r="149" spans="1:22" s="370" customFormat="1">
      <c r="A149" s="336"/>
      <c r="B149" s="497"/>
      <c r="C149" s="498"/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8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ca="1" si="32"/>
        <v>0</v>
      </c>
      <c r="I149" s="361">
        <f t="shared" ca="1" si="33"/>
        <v>0</v>
      </c>
      <c r="J149" s="361">
        <f t="shared" ca="1" si="34"/>
        <v>0</v>
      </c>
      <c r="K149" s="362">
        <f t="shared" ca="1" si="35"/>
        <v>0</v>
      </c>
      <c r="L149" s="369"/>
      <c r="M149" s="369"/>
      <c r="N149" s="369"/>
      <c r="O149" s="363"/>
      <c r="P149" s="363"/>
      <c r="Q149" s="344"/>
      <c r="R149" s="336"/>
      <c r="S149" s="364"/>
      <c r="T149" s="341"/>
      <c r="U149" s="341"/>
      <c r="V149" s="341"/>
    </row>
    <row r="150" spans="1:22" s="370" customFormat="1">
      <c r="A150" s="336"/>
      <c r="B150" s="499" t="s">
        <v>1034</v>
      </c>
      <c r="C150" s="723" t="s">
        <v>1640</v>
      </c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>Unit</v>
      </c>
      <c r="F150" s="368">
        <v>1</v>
      </c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32"/>
        <v>0</v>
      </c>
      <c r="I150" s="361">
        <f t="shared" ca="1" si="33"/>
        <v>0</v>
      </c>
      <c r="J150" s="361">
        <f t="shared" ca="1" si="34"/>
        <v>0</v>
      </c>
      <c r="K150" s="362">
        <f t="shared" ca="1" si="35"/>
        <v>0</v>
      </c>
      <c r="L150" s="369"/>
      <c r="M150" s="369"/>
      <c r="N150" s="369"/>
      <c r="O150" s="363"/>
      <c r="P150" s="363"/>
      <c r="Q150" s="344"/>
      <c r="R150" s="336"/>
      <c r="S150" s="364"/>
      <c r="T150" s="341"/>
      <c r="U150" s="341"/>
      <c r="V150" s="341"/>
    </row>
    <row r="151" spans="1:22" s="370" customFormat="1">
      <c r="A151" s="336"/>
      <c r="B151" s="497">
        <v>1</v>
      </c>
      <c r="C151" s="498" t="s">
        <v>28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Bh</v>
      </c>
      <c r="F151" s="368">
        <f>F150*1</f>
        <v>1</v>
      </c>
      <c r="G151" s="360">
        <f ca="1">IF(ISERROR(OFFSET('HARGA SATUAN'!$I$6,MATCH(RAB!C151,'HARGA SATUAN'!$C$7:$C$1492,0),0)),0,OFFSET('HARGA SATUAN'!$I$6,MATCH(RAB!C151,'HARGA SATUAN'!$C$7:$C$1492,0),0))</f>
        <v>26500</v>
      </c>
      <c r="H151" s="361">
        <f t="shared" ca="1" si="32"/>
        <v>0</v>
      </c>
      <c r="I151" s="361">
        <f t="shared" ca="1" si="33"/>
        <v>26500</v>
      </c>
      <c r="J151" s="361">
        <f t="shared" ca="1" si="34"/>
        <v>0</v>
      </c>
      <c r="K151" s="362">
        <f t="shared" ca="1" si="35"/>
        <v>26500</v>
      </c>
      <c r="L151" s="369"/>
      <c r="M151" s="369"/>
      <c r="N151" s="369"/>
      <c r="O151" s="363"/>
      <c r="P151" s="363"/>
      <c r="Q151" s="344"/>
      <c r="R151" s="336"/>
      <c r="S151" s="364"/>
      <c r="T151" s="341"/>
      <c r="U151" s="341"/>
      <c r="V151" s="341"/>
    </row>
    <row r="152" spans="1:22" s="370" customFormat="1">
      <c r="A152" s="336"/>
      <c r="B152" s="497">
        <v>2</v>
      </c>
      <c r="C152" s="498" t="s">
        <v>203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368">
        <f>F150*1</f>
        <v>1</v>
      </c>
      <c r="G152" s="360">
        <f ca="1">IF(ISERROR(OFFSET('HARGA SATUAN'!$I$6,MATCH(RAB!C152,'HARGA SATUAN'!$C$7:$C$1492,0),0)),0,OFFSET('HARGA SATUAN'!$I$6,MATCH(RAB!C152,'HARGA SATUAN'!$C$7:$C$1492,0),0))</f>
        <v>12500</v>
      </c>
      <c r="H152" s="361">
        <f t="shared" ca="1" si="32"/>
        <v>0</v>
      </c>
      <c r="I152" s="361">
        <f t="shared" ca="1" si="33"/>
        <v>12500</v>
      </c>
      <c r="J152" s="361">
        <f t="shared" ca="1" si="34"/>
        <v>0</v>
      </c>
      <c r="K152" s="362">
        <f t="shared" ca="1" si="35"/>
        <v>12500</v>
      </c>
      <c r="L152" s="369"/>
      <c r="M152" s="369"/>
      <c r="N152" s="369"/>
      <c r="O152" s="363"/>
      <c r="P152" s="363"/>
      <c r="Q152" s="344"/>
      <c r="R152" s="336"/>
      <c r="S152" s="364"/>
      <c r="T152" s="341"/>
      <c r="U152" s="341"/>
      <c r="V152" s="341"/>
    </row>
    <row r="153" spans="1:22" s="370" customFormat="1">
      <c r="A153" s="336"/>
      <c r="B153" s="497">
        <v>3</v>
      </c>
      <c r="C153" s="498" t="s">
        <v>206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Mtr</v>
      </c>
      <c r="F153" s="368">
        <f>F150*12</f>
        <v>12</v>
      </c>
      <c r="G153" s="360">
        <f ca="1">IF(ISERROR(OFFSET('HARGA SATUAN'!$I$6,MATCH(RAB!C153,'HARGA SATUAN'!$C$7:$C$1492,0),0)),0,OFFSET('HARGA SATUAN'!$I$6,MATCH(RAB!C153,'HARGA SATUAN'!$C$7:$C$1492,0),0))</f>
        <v>39204</v>
      </c>
      <c r="H153" s="361">
        <f t="shared" ref="H153:H167" ca="1" si="36">IF(OR(D153="MDU",D153="MDU-KD"),(IF($O$3="RAB NON MDU","PLN KD",G153*F153)),0)</f>
        <v>0</v>
      </c>
      <c r="I153" s="361">
        <f t="shared" ref="I153:I167" ca="1" si="37">IF(D153="HDW",G153*F153,0)</f>
        <v>470448</v>
      </c>
      <c r="J153" s="361">
        <f t="shared" ref="J153:J167" ca="1" si="38">IF(D153="JASA",G153*F153,0)</f>
        <v>0</v>
      </c>
      <c r="K153" s="362">
        <f t="shared" ref="K153:K167" ca="1" si="39">SUM(H153:J153)</f>
        <v>470448</v>
      </c>
      <c r="L153" s="369"/>
      <c r="M153" s="369"/>
      <c r="N153" s="369"/>
      <c r="O153" s="363"/>
      <c r="P153" s="363"/>
      <c r="Q153" s="344"/>
      <c r="R153" s="336"/>
      <c r="S153" s="364"/>
      <c r="T153" s="341"/>
      <c r="U153" s="341"/>
      <c r="V153" s="341"/>
    </row>
    <row r="154" spans="1:22" s="370" customFormat="1">
      <c r="A154" s="336"/>
      <c r="B154" s="497">
        <v>4</v>
      </c>
      <c r="C154" s="498" t="s">
        <v>287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Bh</v>
      </c>
      <c r="F154" s="368">
        <f>F150*2</f>
        <v>2</v>
      </c>
      <c r="G154" s="360">
        <f ca="1">IF(ISERROR(OFFSET('HARGA SATUAN'!$I$6,MATCH(RAB!C154,'HARGA SATUAN'!$C$7:$C$1492,0),0)),0,OFFSET('HARGA SATUAN'!$I$6,MATCH(RAB!C154,'HARGA SATUAN'!$C$7:$C$1492,0),0))</f>
        <v>40000</v>
      </c>
      <c r="H154" s="361">
        <f t="shared" ca="1" si="36"/>
        <v>0</v>
      </c>
      <c r="I154" s="361">
        <f t="shared" ca="1" si="37"/>
        <v>80000</v>
      </c>
      <c r="J154" s="361">
        <f t="shared" ca="1" si="38"/>
        <v>0</v>
      </c>
      <c r="K154" s="362">
        <f t="shared" ca="1" si="39"/>
        <v>80000</v>
      </c>
      <c r="L154" s="369"/>
      <c r="M154" s="369"/>
      <c r="N154" s="369"/>
      <c r="O154" s="363"/>
      <c r="P154" s="363"/>
      <c r="Q154" s="344"/>
      <c r="R154" s="336"/>
      <c r="S154" s="364"/>
      <c r="T154" s="341"/>
      <c r="U154" s="341"/>
      <c r="V154" s="341"/>
    </row>
    <row r="155" spans="1:22" s="370" customFormat="1">
      <c r="A155" s="336"/>
      <c r="B155" s="497">
        <v>5</v>
      </c>
      <c r="C155" s="498" t="s">
        <v>26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368">
        <f>F150*1</f>
        <v>1</v>
      </c>
      <c r="G155" s="360">
        <f ca="1">IF(ISERROR(OFFSET('HARGA SATUAN'!$I$6,MATCH(RAB!C155,'HARGA SATUAN'!$C$7:$C$1492,0),0)),0,OFFSET('HARGA SATUAN'!$I$6,MATCH(RAB!C155,'HARGA SATUAN'!$C$7:$C$1492,0),0))</f>
        <v>2500</v>
      </c>
      <c r="H155" s="361">
        <f t="shared" ca="1" si="36"/>
        <v>0</v>
      </c>
      <c r="I155" s="361">
        <f t="shared" ca="1" si="37"/>
        <v>2500</v>
      </c>
      <c r="J155" s="361">
        <f t="shared" ca="1" si="38"/>
        <v>0</v>
      </c>
      <c r="K155" s="362">
        <f t="shared" ca="1" si="39"/>
        <v>2500</v>
      </c>
      <c r="L155" s="369"/>
      <c r="M155" s="369"/>
      <c r="N155" s="369"/>
      <c r="O155" s="363"/>
      <c r="P155" s="363"/>
      <c r="Q155" s="344"/>
      <c r="R155" s="336"/>
      <c r="S155" s="364"/>
      <c r="T155" s="341"/>
      <c r="U155" s="341"/>
      <c r="V155" s="341"/>
    </row>
    <row r="156" spans="1:22" s="370" customFormat="1">
      <c r="A156" s="336"/>
      <c r="B156" s="497">
        <v>6</v>
      </c>
      <c r="C156" s="498" t="s">
        <v>760</v>
      </c>
      <c r="D156" s="358" t="str">
        <f ca="1">IF(ISERROR(OFFSET('HARGA SATUAN'!$D$6,MATCH(RAB!C156,'HARGA SATUAN'!$C$7:$C$1492,0),0)),"",OFFSET('HARGA SATUAN'!$D$6,MATCH(RAB!C156,'HARGA SATUAN'!$C$7:$C$1492,0),0))</f>
        <v>JASA</v>
      </c>
      <c r="E156" s="359" t="str">
        <f ca="1">IF(B156="+","Unit",IF(ISERROR(OFFSET('HARGA SATUAN'!$E$6,MATCH(RAB!C156,'HARGA SATUAN'!$C$7:$C$1492,0),0)),"",OFFSET('HARGA SATUAN'!$E$6,MATCH(RAB!C156,'HARGA SATUAN'!$C$7:$C$1492,0),0)))</f>
        <v>Unit</v>
      </c>
      <c r="F156" s="368">
        <f>F150*1</f>
        <v>1</v>
      </c>
      <c r="G156" s="360">
        <f ca="1">IF(ISERROR(OFFSET('HARGA SATUAN'!$I$6,MATCH(RAB!C156,'HARGA SATUAN'!$C$7:$C$1492,0),0)),0,OFFSET('HARGA SATUAN'!$I$6,MATCH(RAB!C156,'HARGA SATUAN'!$C$7:$C$1492,0),0))</f>
        <v>36600</v>
      </c>
      <c r="H156" s="361">
        <f t="shared" ca="1" si="36"/>
        <v>0</v>
      </c>
      <c r="I156" s="361">
        <f t="shared" ca="1" si="37"/>
        <v>0</v>
      </c>
      <c r="J156" s="361">
        <f t="shared" ca="1" si="38"/>
        <v>36600</v>
      </c>
      <c r="K156" s="362">
        <f t="shared" ca="1" si="39"/>
        <v>36600</v>
      </c>
      <c r="L156" s="369"/>
      <c r="M156" s="369"/>
      <c r="N156" s="369"/>
      <c r="O156" s="363"/>
      <c r="P156" s="363"/>
      <c r="Q156" s="344"/>
      <c r="R156" s="336"/>
      <c r="S156" s="364"/>
      <c r="T156" s="341"/>
      <c r="U156" s="341"/>
      <c r="V156" s="341"/>
    </row>
    <row r="157" spans="1:22" s="370" customFormat="1">
      <c r="A157" s="336"/>
      <c r="B157" s="497"/>
      <c r="C157" s="498"/>
      <c r="D157" s="358" t="str">
        <f ca="1">IF(ISERROR(OFFSET('HARGA SATUAN'!$D$6,MATCH(RAB!C157,'HARGA SATUAN'!$C$7:$C$1492,0),0)),"",OFFSET('HARGA SATUAN'!$D$6,MATCH(RAB!C157,'HARGA SATUAN'!$C$7:$C$1492,0),0))</f>
        <v/>
      </c>
      <c r="E157" s="359" t="str">
        <f ca="1">IF(B157="+","Unit",IF(ISERROR(OFFSET('HARGA SATUAN'!$E$6,MATCH(RAB!C157,'HARGA SATUAN'!$C$7:$C$1492,0),0)),"",OFFSET('HARGA SATUAN'!$E$6,MATCH(RAB!C157,'HARGA SATUAN'!$C$7:$C$1492,0),0)))</f>
        <v/>
      </c>
      <c r="F157" s="368"/>
      <c r="G157" s="360">
        <f ca="1">IF(ISERROR(OFFSET('HARGA SATUAN'!$I$6,MATCH(RAB!C157,'HARGA SATUAN'!$C$7:$C$1492,0),0)),0,OFFSET('HARGA SATUAN'!$I$6,MATCH(RAB!C157,'HARGA SATUAN'!$C$7:$C$1492,0),0))</f>
        <v>0</v>
      </c>
      <c r="H157" s="361">
        <f t="shared" ca="1" si="36"/>
        <v>0</v>
      </c>
      <c r="I157" s="361">
        <f t="shared" ca="1" si="37"/>
        <v>0</v>
      </c>
      <c r="J157" s="361">
        <f t="shared" ca="1" si="38"/>
        <v>0</v>
      </c>
      <c r="K157" s="362">
        <f t="shared" ca="1" si="39"/>
        <v>0</v>
      </c>
      <c r="L157" s="369"/>
      <c r="M157" s="369"/>
      <c r="N157" s="369"/>
      <c r="O157" s="363"/>
      <c r="P157" s="363"/>
      <c r="Q157" s="344"/>
      <c r="R157" s="336"/>
      <c r="S157" s="364"/>
      <c r="T157" s="341"/>
      <c r="U157" s="341"/>
      <c r="V157" s="341"/>
    </row>
    <row r="158" spans="1:22" s="370" customFormat="1">
      <c r="A158" s="336"/>
      <c r="B158" s="499" t="s">
        <v>1034</v>
      </c>
      <c r="C158" s="723" t="s">
        <v>1641</v>
      </c>
      <c r="D158" s="358" t="s">
        <v>48</v>
      </c>
      <c r="E158" s="359" t="s">
        <v>14</v>
      </c>
      <c r="F158" s="368">
        <v>1</v>
      </c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si="36"/>
        <v>0</v>
      </c>
      <c r="I158" s="361">
        <f t="shared" si="37"/>
        <v>0</v>
      </c>
      <c r="J158" s="361">
        <f t="shared" si="38"/>
        <v>0</v>
      </c>
      <c r="K158" s="362">
        <f t="shared" si="39"/>
        <v>0</v>
      </c>
      <c r="L158" s="369"/>
      <c r="M158" s="369"/>
      <c r="N158" s="369"/>
      <c r="O158" s="363"/>
      <c r="P158" s="363"/>
      <c r="Q158" s="344"/>
      <c r="R158" s="336"/>
      <c r="S158" s="364"/>
      <c r="T158" s="341"/>
      <c r="U158" s="341"/>
      <c r="V158" s="341"/>
    </row>
    <row r="159" spans="1:22" s="370" customFormat="1">
      <c r="A159" s="336"/>
      <c r="B159" s="497">
        <v>1</v>
      </c>
      <c r="C159" s="498" t="s">
        <v>597</v>
      </c>
      <c r="D159" s="358" t="s">
        <v>45</v>
      </c>
      <c r="E159" s="359" t="s">
        <v>8</v>
      </c>
      <c r="F159" s="368">
        <f>F158*1</f>
        <v>1</v>
      </c>
      <c r="G159" s="360">
        <f ca="1">IF(ISERROR(OFFSET('HARGA SATUAN'!$I$6,MATCH(RAB!C159,'HARGA SATUAN'!$C$7:$C$1492,0),0)),0,OFFSET('HARGA SATUAN'!$I$6,MATCH(RAB!C159,'HARGA SATUAN'!$C$7:$C$1492,0),0))</f>
        <v>120900</v>
      </c>
      <c r="H159" s="361">
        <f t="shared" si="36"/>
        <v>0</v>
      </c>
      <c r="I159" s="361">
        <f t="shared" ca="1" si="37"/>
        <v>120900</v>
      </c>
      <c r="J159" s="361">
        <f t="shared" si="38"/>
        <v>0</v>
      </c>
      <c r="K159" s="362">
        <f t="shared" ca="1" si="39"/>
        <v>120900</v>
      </c>
      <c r="L159" s="369"/>
      <c r="M159" s="369"/>
      <c r="N159" s="369"/>
      <c r="O159" s="363"/>
      <c r="P159" s="363"/>
      <c r="Q159" s="344"/>
      <c r="R159" s="336"/>
      <c r="S159" s="364"/>
      <c r="T159" s="341"/>
      <c r="U159" s="341"/>
      <c r="V159" s="341"/>
    </row>
    <row r="160" spans="1:22" s="370" customFormat="1">
      <c r="A160" s="336"/>
      <c r="B160" s="497">
        <v>2</v>
      </c>
      <c r="C160" s="498" t="s">
        <v>261</v>
      </c>
      <c r="D160" s="358" t="s">
        <v>45</v>
      </c>
      <c r="E160" s="359" t="s">
        <v>8</v>
      </c>
      <c r="F160" s="368">
        <f>F158*1</f>
        <v>1</v>
      </c>
      <c r="G160" s="360">
        <f ca="1">IF(ISERROR(OFFSET('HARGA SATUAN'!$I$6,MATCH(RAB!C160,'HARGA SATUAN'!$C$7:$C$1492,0),0)),0,OFFSET('HARGA SATUAN'!$I$6,MATCH(RAB!C160,'HARGA SATUAN'!$C$7:$C$1492,0),0))</f>
        <v>135800</v>
      </c>
      <c r="H160" s="361">
        <f t="shared" si="36"/>
        <v>0</v>
      </c>
      <c r="I160" s="361">
        <f t="shared" ca="1" si="37"/>
        <v>135800</v>
      </c>
      <c r="J160" s="361">
        <f t="shared" si="38"/>
        <v>0</v>
      </c>
      <c r="K160" s="362">
        <f t="shared" ca="1" si="39"/>
        <v>135800</v>
      </c>
      <c r="L160" s="369"/>
      <c r="M160" s="369"/>
      <c r="N160" s="369"/>
      <c r="O160" s="363"/>
      <c r="P160" s="363"/>
      <c r="Q160" s="344"/>
      <c r="R160" s="336"/>
      <c r="S160" s="364"/>
      <c r="T160" s="341"/>
      <c r="U160" s="341"/>
      <c r="V160" s="341"/>
    </row>
    <row r="161" spans="1:22" s="370" customFormat="1">
      <c r="A161" s="336"/>
      <c r="B161" s="497">
        <v>3</v>
      </c>
      <c r="C161" s="498" t="s">
        <v>214</v>
      </c>
      <c r="D161" s="358" t="s">
        <v>45</v>
      </c>
      <c r="E161" s="359" t="s">
        <v>8</v>
      </c>
      <c r="F161" s="368">
        <f>F158*1</f>
        <v>1</v>
      </c>
      <c r="G161" s="360">
        <f ca="1">IF(ISERROR(OFFSET('HARGA SATUAN'!$I$6,MATCH(RAB!C161,'HARGA SATUAN'!$C$7:$C$1492,0),0)),0,OFFSET('HARGA SATUAN'!$I$6,MATCH(RAB!C161,'HARGA SATUAN'!$C$7:$C$1492,0),0))</f>
        <v>4500</v>
      </c>
      <c r="H161" s="361">
        <f t="shared" si="36"/>
        <v>0</v>
      </c>
      <c r="I161" s="361">
        <f t="shared" ca="1" si="37"/>
        <v>4500</v>
      </c>
      <c r="J161" s="361">
        <f t="shared" si="38"/>
        <v>0</v>
      </c>
      <c r="K161" s="362">
        <f t="shared" ca="1" si="39"/>
        <v>4500</v>
      </c>
      <c r="L161" s="369"/>
      <c r="M161" s="369"/>
      <c r="N161" s="369"/>
      <c r="O161" s="363"/>
      <c r="P161" s="363"/>
      <c r="Q161" s="344"/>
      <c r="R161" s="336"/>
      <c r="S161" s="364"/>
      <c r="T161" s="341"/>
      <c r="U161" s="341"/>
      <c r="V161" s="341"/>
    </row>
    <row r="162" spans="1:22" s="370" customFormat="1">
      <c r="A162" s="336"/>
      <c r="B162" s="497">
        <v>4</v>
      </c>
      <c r="C162" s="498" t="s">
        <v>768</v>
      </c>
      <c r="D162" s="358" t="s">
        <v>47</v>
      </c>
      <c r="E162" s="359" t="s">
        <v>14</v>
      </c>
      <c r="F162" s="368">
        <f>F158*1</f>
        <v>1</v>
      </c>
      <c r="G162" s="360">
        <f ca="1">IF(ISERROR(OFFSET('HARGA SATUAN'!$I$6,MATCH(RAB!C162,'HARGA SATUAN'!$C$7:$C$1492,0),0)),0,OFFSET('HARGA SATUAN'!$I$6,MATCH(RAB!C162,'HARGA SATUAN'!$C$7:$C$1492,0),0))</f>
        <v>55500</v>
      </c>
      <c r="H162" s="361">
        <f t="shared" si="36"/>
        <v>0</v>
      </c>
      <c r="I162" s="361">
        <f t="shared" si="37"/>
        <v>0</v>
      </c>
      <c r="J162" s="361">
        <f t="shared" ca="1" si="38"/>
        <v>55500</v>
      </c>
      <c r="K162" s="362">
        <f t="shared" ca="1" si="39"/>
        <v>55500</v>
      </c>
      <c r="L162" s="369"/>
      <c r="M162" s="369"/>
      <c r="N162" s="369"/>
      <c r="O162" s="363"/>
      <c r="P162" s="363"/>
      <c r="Q162" s="344"/>
      <c r="R162" s="336"/>
      <c r="S162" s="364"/>
      <c r="T162" s="341"/>
      <c r="U162" s="341"/>
      <c r="V162" s="341"/>
    </row>
    <row r="163" spans="1:22" s="370" customFormat="1">
      <c r="A163" s="336"/>
      <c r="B163" s="497"/>
      <c r="C163" s="498"/>
      <c r="D163" s="358" t="str">
        <f ca="1">IF(ISERROR(OFFSET('HARGA SATUAN'!$D$6,MATCH(RAB!C163,'HARGA SATUAN'!$C$7:$C$1492,0),0)),"",OFFSET('HARGA SATUAN'!$D$6,MATCH(RAB!C163,'HARGA SATUAN'!$C$7:$C$1492,0),0))</f>
        <v/>
      </c>
      <c r="E163" s="359" t="str">
        <f ca="1">IF(B163="+","Unit",IF(ISERROR(OFFSET('HARGA SATUAN'!$E$6,MATCH(RAB!C163,'HARGA SATUAN'!$C$7:$C$1492,0),0)),"",OFFSET('HARGA SATUAN'!$E$6,MATCH(RAB!C163,'HARGA SATUAN'!$C$7:$C$1492,0),0)))</f>
        <v/>
      </c>
      <c r="F163" s="368"/>
      <c r="G163" s="360">
        <f ca="1">IF(ISERROR(OFFSET('HARGA SATUAN'!$I$6,MATCH(RAB!C163,'HARGA SATUAN'!$C$7:$C$1492,0),0)),0,OFFSET('HARGA SATUAN'!$I$6,MATCH(RAB!C163,'HARGA SATUAN'!$C$7:$C$1492,0),0))</f>
        <v>0</v>
      </c>
      <c r="H163" s="361">
        <f t="shared" ca="1" si="36"/>
        <v>0</v>
      </c>
      <c r="I163" s="361">
        <f t="shared" ca="1" si="37"/>
        <v>0</v>
      </c>
      <c r="J163" s="361">
        <f t="shared" ca="1" si="38"/>
        <v>0</v>
      </c>
      <c r="K163" s="362">
        <f t="shared" ca="1" si="39"/>
        <v>0</v>
      </c>
      <c r="L163" s="369"/>
      <c r="M163" s="369"/>
      <c r="N163" s="369"/>
      <c r="O163" s="363"/>
      <c r="P163" s="363"/>
      <c r="Q163" s="344"/>
      <c r="R163" s="336"/>
      <c r="S163" s="364"/>
      <c r="T163" s="341"/>
      <c r="U163" s="341"/>
      <c r="V163" s="341"/>
    </row>
    <row r="164" spans="1:22" s="370" customFormat="1">
      <c r="A164" s="336"/>
      <c r="B164" s="497"/>
      <c r="C164" s="498"/>
      <c r="D164" s="358" t="str">
        <f ca="1">IF(ISERROR(OFFSET('HARGA SATUAN'!$D$6,MATCH(RAB!C164,'HARGA SATUAN'!$C$7:$C$1492,0),0)),"",OFFSET('HARGA SATUAN'!$D$6,MATCH(RAB!C164,'HARGA SATUAN'!$C$7:$C$1492,0),0))</f>
        <v/>
      </c>
      <c r="E164" s="359" t="str">
        <f ca="1">IF(B164="+","Unit",IF(ISERROR(OFFSET('HARGA SATUAN'!$E$6,MATCH(RAB!C164,'HARGA SATUAN'!$C$7:$C$1492,0),0)),"",OFFSET('HARGA SATUAN'!$E$6,MATCH(RAB!C164,'HARGA SATUAN'!$C$7:$C$1492,0),0)))</f>
        <v/>
      </c>
      <c r="F164" s="368"/>
      <c r="G164" s="360">
        <f ca="1">IF(ISERROR(OFFSET('HARGA SATUAN'!$I$6,MATCH(RAB!C164,'HARGA SATUAN'!$C$7:$C$1492,0),0)),0,OFFSET('HARGA SATUAN'!$I$6,MATCH(RAB!C164,'HARGA SATUAN'!$C$7:$C$1492,0),0))</f>
        <v>0</v>
      </c>
      <c r="H164" s="361">
        <f t="shared" ca="1" si="36"/>
        <v>0</v>
      </c>
      <c r="I164" s="361">
        <f t="shared" ca="1" si="37"/>
        <v>0</v>
      </c>
      <c r="J164" s="361">
        <f t="shared" ca="1" si="38"/>
        <v>0</v>
      </c>
      <c r="K164" s="362">
        <f t="shared" ca="1" si="39"/>
        <v>0</v>
      </c>
      <c r="L164" s="369"/>
      <c r="M164" s="369"/>
      <c r="N164" s="369"/>
      <c r="O164" s="363"/>
      <c r="P164" s="363"/>
      <c r="Q164" s="344"/>
      <c r="R164" s="336"/>
      <c r="S164" s="364"/>
      <c r="T164" s="341"/>
      <c r="U164" s="341"/>
      <c r="V164" s="341"/>
    </row>
    <row r="165" spans="1:22" s="370" customFormat="1">
      <c r="A165" s="336"/>
      <c r="B165" s="497">
        <v>1</v>
      </c>
      <c r="C165" s="109" t="s">
        <v>65</v>
      </c>
      <c r="D165" s="358" t="str">
        <f ca="1">IF(ISERROR(OFFSET('HARGA SATUAN'!$D$6,MATCH(RAB!C165,'HARGA SATUAN'!$C$7:$C$1492,0),0)),"",OFFSET('HARGA SATUAN'!$D$6,MATCH(RAB!C165,'HARGA SATUAN'!$C$7:$C$1492,0),0))</f>
        <v>MDU-KD</v>
      </c>
      <c r="E165" s="359" t="str">
        <f ca="1">IF(B165="+","Unit",IF(ISERROR(OFFSET('HARGA SATUAN'!$E$6,MATCH(RAB!C165,'HARGA SATUAN'!$C$7:$C$1492,0),0)),"",OFFSET('HARGA SATUAN'!$E$6,MATCH(RAB!C165,'HARGA SATUAN'!$C$7:$C$1492,0),0)))</f>
        <v>Mtr</v>
      </c>
      <c r="F165" s="368">
        <v>1920</v>
      </c>
      <c r="G165" s="360">
        <f ca="1">IF(ISERROR(OFFSET('HARGA SATUAN'!$I$6,MATCH(RAB!C165,'HARGA SATUAN'!$C$7:$C$1492,0),0)),0,OFFSET('HARGA SATUAN'!$I$6,MATCH(RAB!C165,'HARGA SATUAN'!$C$7:$C$1492,0),0))</f>
        <v>14200</v>
      </c>
      <c r="H165" s="361">
        <f t="shared" ca="1" si="36"/>
        <v>27264000</v>
      </c>
      <c r="I165" s="361">
        <f t="shared" ca="1" si="37"/>
        <v>0</v>
      </c>
      <c r="J165" s="361">
        <f t="shared" ca="1" si="38"/>
        <v>0</v>
      </c>
      <c r="K165" s="362">
        <f t="shared" ca="1" si="39"/>
        <v>27264000</v>
      </c>
      <c r="L165" s="369"/>
      <c r="M165" s="369"/>
      <c r="N165" s="369"/>
      <c r="O165" s="363"/>
      <c r="P165" s="363"/>
      <c r="Q165" s="344"/>
      <c r="R165" s="336"/>
      <c r="S165" s="364"/>
      <c r="T165" s="341"/>
      <c r="U165" s="341"/>
      <c r="V165" s="341"/>
    </row>
    <row r="166" spans="1:22" s="370" customFormat="1">
      <c r="A166" s="336"/>
      <c r="B166" s="497">
        <v>2</v>
      </c>
      <c r="C166" s="109" t="s">
        <v>1461</v>
      </c>
      <c r="D166" s="358" t="str">
        <f ca="1">IF(ISERROR(OFFSET('HARGA SATUAN'!$D$6,MATCH(RAB!C166,'HARGA SATUAN'!$C$7:$C$1492,0),0)),"",OFFSET('HARGA SATUAN'!$D$6,MATCH(RAB!C166,'HARGA SATUAN'!$C$7:$C$1492,0),0))</f>
        <v>MDU-KD</v>
      </c>
      <c r="E166" s="359" t="str">
        <f ca="1">IF(B166="+","Unit",IF(ISERROR(OFFSET('HARGA SATUAN'!$E$6,MATCH(RAB!C166,'HARGA SATUAN'!$C$7:$C$1492,0),0)),"",OFFSET('HARGA SATUAN'!$E$6,MATCH(RAB!C166,'HARGA SATUAN'!$C$7:$C$1492,0),0)))</f>
        <v>Mtr</v>
      </c>
      <c r="F166" s="368">
        <v>250</v>
      </c>
      <c r="G166" s="360">
        <f ca="1">IF(ISERROR(OFFSET('HARGA SATUAN'!$I$6,MATCH(RAB!C166,'HARGA SATUAN'!$C$7:$C$1492,0),0)),0,OFFSET('HARGA SATUAN'!$I$6,MATCH(RAB!C166,'HARGA SATUAN'!$C$7:$C$1492,0),0))</f>
        <v>54500</v>
      </c>
      <c r="H166" s="361">
        <f t="shared" ca="1" si="36"/>
        <v>13625000</v>
      </c>
      <c r="I166" s="361">
        <f t="shared" ca="1" si="37"/>
        <v>0</v>
      </c>
      <c r="J166" s="361">
        <f t="shared" ca="1" si="38"/>
        <v>0</v>
      </c>
      <c r="K166" s="362">
        <f t="shared" ca="1" si="39"/>
        <v>13625000</v>
      </c>
      <c r="L166" s="369"/>
      <c r="M166" s="369"/>
      <c r="N166" s="369"/>
      <c r="O166" s="363"/>
      <c r="P166" s="363"/>
      <c r="Q166" s="344"/>
      <c r="R166" s="336"/>
      <c r="S166" s="364"/>
      <c r="T166" s="341"/>
      <c r="U166" s="341"/>
      <c r="V166" s="341"/>
    </row>
    <row r="167" spans="1:22" s="370" customFormat="1">
      <c r="A167" s="336"/>
      <c r="B167" s="497"/>
      <c r="C167" s="498"/>
      <c r="D167" s="358" t="str">
        <f ca="1">IF(ISERROR(OFFSET('HARGA SATUAN'!$D$6,MATCH(RAB!C167,'HARGA SATUAN'!$C$7:$C$1492,0),0)),"",OFFSET('HARGA SATUAN'!$D$6,MATCH(RAB!C167,'HARGA SATUAN'!$C$7:$C$1492,0),0))</f>
        <v/>
      </c>
      <c r="E167" s="359" t="str">
        <f ca="1">IF(B167="+","Unit",IF(ISERROR(OFFSET('HARGA SATUAN'!$E$6,MATCH(RAB!C167,'HARGA SATUAN'!$C$7:$C$1492,0),0)),"",OFFSET('HARGA SATUAN'!$E$6,MATCH(RAB!C167,'HARGA SATUAN'!$C$7:$C$1492,0),0)))</f>
        <v/>
      </c>
      <c r="F167" s="368"/>
      <c r="G167" s="360">
        <f ca="1">IF(ISERROR(OFFSET('HARGA SATUAN'!$I$6,MATCH(RAB!C167,'HARGA SATUAN'!$C$7:$C$1492,0),0)),0,OFFSET('HARGA SATUAN'!$I$6,MATCH(RAB!C167,'HARGA SATUAN'!$C$7:$C$1492,0),0))</f>
        <v>0</v>
      </c>
      <c r="H167" s="361">
        <f t="shared" ca="1" si="36"/>
        <v>0</v>
      </c>
      <c r="I167" s="361">
        <f t="shared" ca="1" si="37"/>
        <v>0</v>
      </c>
      <c r="J167" s="361">
        <f t="shared" ca="1" si="38"/>
        <v>0</v>
      </c>
      <c r="K167" s="362">
        <f t="shared" ca="1" si="39"/>
        <v>0</v>
      </c>
      <c r="L167" s="369"/>
      <c r="M167" s="369"/>
      <c r="N167" s="369"/>
      <c r="O167" s="363"/>
      <c r="P167" s="363"/>
      <c r="Q167" s="344"/>
      <c r="R167" s="336"/>
      <c r="S167" s="364"/>
      <c r="T167" s="341"/>
      <c r="U167" s="341"/>
      <c r="V167" s="341"/>
    </row>
    <row r="168" spans="1:22" s="370" customFormat="1">
      <c r="A168" s="336"/>
      <c r="B168" s="497"/>
      <c r="C168" s="498"/>
      <c r="D168" s="358" t="str">
        <f ca="1">IF(ISERROR(OFFSET('HARGA SATUAN'!$D$6,MATCH(RAB!C168,'HARGA SATUAN'!$C$7:$C$1492,0),0)),"",OFFSET('HARGA SATUAN'!$D$6,MATCH(RAB!C168,'HARGA SATUAN'!$C$7:$C$1492,0),0))</f>
        <v/>
      </c>
      <c r="E168" s="359" t="str">
        <f ca="1">IF(B168="+","Unit",IF(ISERROR(OFFSET('HARGA SATUAN'!$E$6,MATCH(RAB!C168,'HARGA SATUAN'!$C$7:$C$1492,0),0)),"",OFFSET('HARGA SATUAN'!$E$6,MATCH(RAB!C168,'HARGA SATUAN'!$C$7:$C$1492,0),0)))</f>
        <v/>
      </c>
      <c r="F168" s="368"/>
      <c r="G168" s="360">
        <f ca="1">IF(ISERROR(OFFSET('HARGA SATUAN'!$I$6,MATCH(RAB!C168,'HARGA SATUAN'!$C$7:$C$1492,0),0)),0,OFFSET('HARGA SATUAN'!$I$6,MATCH(RAB!C168,'HARGA SATUAN'!$C$7:$C$1492,0),0))</f>
        <v>0</v>
      </c>
      <c r="H168" s="361">
        <f t="shared" ca="1" si="12"/>
        <v>0</v>
      </c>
      <c r="I168" s="361">
        <f t="shared" ca="1" si="13"/>
        <v>0</v>
      </c>
      <c r="J168" s="361">
        <f t="shared" ca="1" si="14"/>
        <v>0</v>
      </c>
      <c r="K168" s="362">
        <f t="shared" ca="1" si="15"/>
        <v>0</v>
      </c>
      <c r="L168" s="369"/>
      <c r="M168" s="369"/>
      <c r="N168" s="369"/>
      <c r="O168" s="363"/>
      <c r="P168" s="363"/>
      <c r="Q168" s="344"/>
      <c r="R168" s="336"/>
      <c r="S168" s="364"/>
      <c r="T168" s="341"/>
      <c r="U168" s="341"/>
      <c r="V168" s="341"/>
    </row>
    <row r="169" spans="1:22" s="370" customFormat="1">
      <c r="A169" s="336"/>
      <c r="B169" s="497">
        <v>1</v>
      </c>
      <c r="C169" s="109" t="s">
        <v>315</v>
      </c>
      <c r="D169" s="358" t="str">
        <f ca="1">IF(ISERROR(OFFSET('HARGA SATUAN'!$D$6,MATCH(RAB!C169,'HARGA SATUAN'!$C$7:$C$1492,0),0)),"",OFFSET('HARGA SATUAN'!$D$6,MATCH(RAB!C169,'HARGA SATUAN'!$C$7:$C$1492,0),0))</f>
        <v>JASA</v>
      </c>
      <c r="E169" s="359" t="str">
        <f ca="1">IF(B169="+","Unit",IF(ISERROR(OFFSET('HARGA SATUAN'!$E$6,MATCH(RAB!C169,'HARGA SATUAN'!$C$7:$C$1492,0),0)),"",OFFSET('HARGA SATUAN'!$E$6,MATCH(RAB!C169,'HARGA SATUAN'!$C$7:$C$1492,0),0)))</f>
        <v>Per 50 m</v>
      </c>
      <c r="F169" s="368">
        <f>(F165/3)/50</f>
        <v>12.8</v>
      </c>
      <c r="G169" s="360">
        <f ca="1">IF(ISERROR(OFFSET('HARGA SATUAN'!$I$6,MATCH(RAB!C169,'HARGA SATUAN'!$C$7:$C$1492,0),0)),0,OFFSET('HARGA SATUAN'!$I$6,MATCH(RAB!C169,'HARGA SATUAN'!$C$7:$C$1492,0),0))</f>
        <v>261600</v>
      </c>
      <c r="H169" s="361">
        <f t="shared" ca="1" si="12"/>
        <v>0</v>
      </c>
      <c r="I169" s="361">
        <f t="shared" ca="1" si="13"/>
        <v>0</v>
      </c>
      <c r="J169" s="361">
        <f t="shared" ca="1" si="14"/>
        <v>3348480</v>
      </c>
      <c r="K169" s="362">
        <f t="shared" ca="1" si="15"/>
        <v>3348480</v>
      </c>
      <c r="L169" s="369"/>
      <c r="M169" s="369"/>
      <c r="N169" s="369"/>
      <c r="O169" s="363"/>
      <c r="P169" s="363"/>
      <c r="Q169" s="344"/>
      <c r="R169" s="336"/>
      <c r="S169" s="364"/>
      <c r="T169" s="341"/>
      <c r="U169" s="341"/>
      <c r="V169" s="341"/>
    </row>
    <row r="170" spans="1:22" s="370" customFormat="1">
      <c r="A170" s="336"/>
      <c r="B170" s="497">
        <v>2</v>
      </c>
      <c r="C170" s="109" t="s">
        <v>346</v>
      </c>
      <c r="D170" s="358" t="str">
        <f ca="1">IF(ISERROR(OFFSET('HARGA SATUAN'!$D$6,MATCH(RAB!C170,'HARGA SATUAN'!$C$7:$C$1492,0),0)),"",OFFSET('HARGA SATUAN'!$D$6,MATCH(RAB!C170,'HARGA SATUAN'!$C$7:$C$1492,0),0))</f>
        <v>JASA</v>
      </c>
      <c r="E170" s="359" t="str">
        <f ca="1">IF(B170="+","Unit",IF(ISERROR(OFFSET('HARGA SATUAN'!$E$6,MATCH(RAB!C170,'HARGA SATUAN'!$C$7:$C$1492,0),0)),"",OFFSET('HARGA SATUAN'!$E$6,MATCH(RAB!C170,'HARGA SATUAN'!$C$7:$C$1492,0),0)))</f>
        <v>Per 50 m</v>
      </c>
      <c r="F170" s="368">
        <f>F166/50</f>
        <v>5</v>
      </c>
      <c r="G170" s="360">
        <f ca="1">IF(ISERROR(OFFSET('HARGA SATUAN'!$I$6,MATCH(RAB!C170,'HARGA SATUAN'!$C$7:$C$1492,0),0)),0,OFFSET('HARGA SATUAN'!$I$6,MATCH(RAB!C170,'HARGA SATUAN'!$C$7:$C$1492,0),0))</f>
        <v>223500</v>
      </c>
      <c r="H170" s="361">
        <f t="shared" ca="1" si="12"/>
        <v>0</v>
      </c>
      <c r="I170" s="361">
        <f t="shared" ca="1" si="13"/>
        <v>0</v>
      </c>
      <c r="J170" s="361">
        <f t="shared" ca="1" si="14"/>
        <v>1117500</v>
      </c>
      <c r="K170" s="362">
        <f t="shared" ca="1" si="15"/>
        <v>1117500</v>
      </c>
      <c r="L170" s="369"/>
      <c r="M170" s="369"/>
      <c r="N170" s="369"/>
      <c r="O170" s="363"/>
      <c r="P170" s="363"/>
      <c r="Q170" s="344"/>
      <c r="R170" s="336"/>
      <c r="S170" s="364"/>
      <c r="T170" s="341"/>
      <c r="U170" s="341"/>
      <c r="V170" s="341"/>
    </row>
    <row r="171" spans="1:22" s="370" customFormat="1">
      <c r="A171" s="336"/>
      <c r="B171" s="497"/>
      <c r="C171" s="498"/>
      <c r="D171" s="358" t="str">
        <f ca="1">IF(ISERROR(OFFSET('HARGA SATUAN'!$D$6,MATCH(RAB!C171,'HARGA SATUAN'!$C$7:$C$1492,0),0)),"",OFFSET('HARGA SATUAN'!$D$6,MATCH(RAB!C171,'HARGA SATUAN'!$C$7:$C$1492,0),0))</f>
        <v/>
      </c>
      <c r="E171" s="359" t="str">
        <f ca="1">IF(B171="+","Unit",IF(ISERROR(OFFSET('HARGA SATUAN'!$E$6,MATCH(RAB!C171,'HARGA SATUAN'!$C$7:$C$1492,0),0)),"",OFFSET('HARGA SATUAN'!$E$6,MATCH(RAB!C171,'HARGA SATUAN'!$C$7:$C$1492,0),0)))</f>
        <v/>
      </c>
      <c r="F171" s="368"/>
      <c r="G171" s="360">
        <f ca="1">IF(ISERROR(OFFSET('HARGA SATUAN'!$I$6,MATCH(RAB!C171,'HARGA SATUAN'!$C$7:$C$1492,0),0)),0,OFFSET('HARGA SATUAN'!$I$6,MATCH(RAB!C171,'HARGA SATUAN'!$C$7:$C$1492,0),0))</f>
        <v>0</v>
      </c>
      <c r="H171" s="361">
        <f t="shared" ref="H171" ca="1" si="40">IF(OR(D171="MDU",D171="MDU-KD"),(IF($O$3="RAB NON MDU","PLN KD",G171*F171)),0)</f>
        <v>0</v>
      </c>
      <c r="I171" s="361">
        <f t="shared" ref="I171" ca="1" si="41">IF(D171="HDW",G171*F171,0)</f>
        <v>0</v>
      </c>
      <c r="J171" s="361">
        <f t="shared" ref="J171" ca="1" si="42">IF(D171="JASA",G171*F171,0)</f>
        <v>0</v>
      </c>
      <c r="K171" s="362">
        <f t="shared" ref="K171" ca="1" si="43">SUM(H171:J171)</f>
        <v>0</v>
      </c>
      <c r="L171" s="369"/>
      <c r="M171" s="369"/>
      <c r="N171" s="369"/>
      <c r="O171" s="363"/>
      <c r="P171" s="363"/>
      <c r="Q171" s="344"/>
      <c r="R171" s="336"/>
      <c r="S171" s="364"/>
      <c r="T171" s="341"/>
      <c r="U171" s="341"/>
      <c r="V171" s="341"/>
    </row>
    <row r="172" spans="1:22" s="365" customFormat="1">
      <c r="A172" s="336"/>
      <c r="B172" s="373" t="s">
        <v>1548</v>
      </c>
      <c r="C172" s="374" t="s">
        <v>1617</v>
      </c>
      <c r="D172" s="358" t="str">
        <f ca="1">IF(ISERROR(OFFSET('HARGA SATUAN'!$D$6,MATCH(RAB!C172,'HARGA SATUAN'!$C$7:$C$1492,0),0)),"",OFFSET('HARGA SATUAN'!$D$6,MATCH(RAB!C172,'HARGA SATUAN'!$C$7:$C$1492,0),0))</f>
        <v/>
      </c>
      <c r="E172" s="359" t="str">
        <f ca="1">IF(B172="+","Unit",IF(ISERROR(OFFSET('HARGA SATUAN'!$E$6,MATCH(RAB!C172,'HARGA SATUAN'!$C$7:$C$1492,0),0)),"",OFFSET('HARGA SATUAN'!$E$6,MATCH(RAB!C172,'HARGA SATUAN'!$C$7:$C$1492,0),0)))</f>
        <v/>
      </c>
      <c r="F172" s="484"/>
      <c r="G172" s="360">
        <f ca="1">IF(ISERROR(OFFSET('HARGA SATUAN'!$I$6,MATCH(RAB!C172,'HARGA SATUAN'!$C$7:$C$1492,0),0)),0,OFFSET('HARGA SATUAN'!$I$6,MATCH(RAB!C172,'HARGA SATUAN'!$C$7:$C$1492,0),0))</f>
        <v>0</v>
      </c>
      <c r="H172" s="361">
        <f t="shared" ref="H172:H174" ca="1" si="44">IF(OR(D172="MDU",D172="MDU-KD"),(IF($O$3="RAB NON MDU","PLN KD",G172*F172)),0)</f>
        <v>0</v>
      </c>
      <c r="I172" s="361">
        <f t="shared" ref="I172:I174" ca="1" si="45">IF(D172="HDW",G172*F172,0)</f>
        <v>0</v>
      </c>
      <c r="J172" s="361">
        <f t="shared" ref="J172:J174" ca="1" si="46">IF(D172="JASA",G172*F172,0)</f>
        <v>0</v>
      </c>
      <c r="K172" s="362">
        <f t="shared" ref="K172:K174" ca="1" si="47">SUM(H172:J172)</f>
        <v>0</v>
      </c>
      <c r="L172" s="342"/>
      <c r="M172" s="342"/>
      <c r="N172" s="369"/>
      <c r="O172" s="344"/>
      <c r="P172" s="344"/>
      <c r="Q172" s="398"/>
      <c r="R172" s="344"/>
      <c r="S172" s="398"/>
      <c r="T172" s="399"/>
      <c r="U172" s="399"/>
      <c r="V172" s="399"/>
    </row>
    <row r="173" spans="1:22" s="365" customFormat="1">
      <c r="A173" s="336"/>
      <c r="B173" s="373"/>
      <c r="C173" s="374"/>
      <c r="D173" s="358"/>
      <c r="E173" s="359"/>
      <c r="F173" s="484"/>
      <c r="G173" s="360"/>
      <c r="H173" s="361"/>
      <c r="I173" s="361"/>
      <c r="J173" s="361"/>
      <c r="K173" s="362"/>
      <c r="L173" s="342"/>
      <c r="M173" s="342"/>
      <c r="N173" s="369"/>
      <c r="O173" s="344"/>
      <c r="P173" s="344"/>
      <c r="Q173" s="398"/>
      <c r="R173" s="344"/>
      <c r="S173" s="398"/>
      <c r="T173" s="399"/>
      <c r="U173" s="399"/>
      <c r="V173" s="399"/>
    </row>
    <row r="174" spans="1:22" s="365" customFormat="1">
      <c r="A174" s="336"/>
      <c r="B174" s="513" t="s">
        <v>1034</v>
      </c>
      <c r="C174" s="722" t="s">
        <v>1647</v>
      </c>
      <c r="D174" s="358" t="str">
        <f ca="1">IF(ISERROR(OFFSET('HARGA SATUAN'!$D$6,MATCH(RAB!C174,'HARGA SATUAN'!$C$7:$C$1492,0),0)),"",OFFSET('HARGA SATUAN'!$D$6,MATCH(RAB!C174,'HARGA SATUAN'!$C$7:$C$1492,0),0))</f>
        <v/>
      </c>
      <c r="E174" s="359" t="str">
        <f ca="1">IF(B174="+","Unit",IF(ISERROR(OFFSET('HARGA SATUAN'!$E$6,MATCH(RAB!C174,'HARGA SATUAN'!$C$7:$C$1492,0),0)),"",OFFSET('HARGA SATUAN'!$E$6,MATCH(RAB!C174,'HARGA SATUAN'!$C$7:$C$1492,0),0)))</f>
        <v>Unit</v>
      </c>
      <c r="F174" s="484">
        <v>1</v>
      </c>
      <c r="G174" s="360">
        <f ca="1">IF(ISERROR(OFFSET('HARGA SATUAN'!$I$6,MATCH(RAB!C174,'HARGA SATUAN'!$C$7:$C$1492,0),0)),0,OFFSET('HARGA SATUAN'!$I$6,MATCH(RAB!C174,'HARGA SATUAN'!$C$7:$C$1492,0),0))</f>
        <v>0</v>
      </c>
      <c r="H174" s="361">
        <f t="shared" ca="1" si="44"/>
        <v>0</v>
      </c>
      <c r="I174" s="361">
        <f t="shared" ca="1" si="45"/>
        <v>0</v>
      </c>
      <c r="J174" s="361">
        <f t="shared" ca="1" si="46"/>
        <v>0</v>
      </c>
      <c r="K174" s="362">
        <f t="shared" ca="1" si="47"/>
        <v>0</v>
      </c>
      <c r="L174" s="342"/>
      <c r="M174" s="342"/>
      <c r="N174" s="369"/>
      <c r="O174" s="344"/>
      <c r="P174" s="344"/>
      <c r="Q174" s="398"/>
      <c r="R174" s="344"/>
      <c r="S174" s="398"/>
      <c r="T174" s="399"/>
      <c r="U174" s="399"/>
      <c r="V174" s="399"/>
    </row>
    <row r="175" spans="1:22" s="365" customFormat="1">
      <c r="A175" s="336"/>
      <c r="B175" s="513">
        <v>1</v>
      </c>
      <c r="C175" s="109" t="s">
        <v>1145</v>
      </c>
      <c r="D175" s="358" t="str">
        <f ca="1">IF(ISERROR(OFFSET('HARGA SATUAN'!$D$6,MATCH(RAB!C175,'HARGA SATUAN'!$C$7:$C$1492,0),0)),"",OFFSET('HARGA SATUAN'!$D$6,MATCH(RAB!C175,'HARGA SATUAN'!$C$7:$C$1492,0),0))</f>
        <v>MDU-KD</v>
      </c>
      <c r="E175" s="359" t="str">
        <f ca="1">IF(B175="+","Unit",IF(ISERROR(OFFSET('HARGA SATUAN'!$E$6,MATCH(RAB!C175,'HARGA SATUAN'!$C$7:$C$1492,0),0)),"",OFFSET('HARGA SATUAN'!$E$6,MATCH(RAB!C175,'HARGA SATUAN'!$C$7:$C$1492,0),0)))</f>
        <v>Bh</v>
      </c>
      <c r="F175" s="484">
        <f>F174*1</f>
        <v>1</v>
      </c>
      <c r="G175" s="360">
        <f ca="1">IF(ISERROR(OFFSET('HARGA SATUAN'!$I$6,MATCH(RAB!C175,'HARGA SATUAN'!$C$7:$C$1492,0),0)),0,OFFSET('HARGA SATUAN'!$I$6,MATCH(RAB!C175,'HARGA SATUAN'!$C$7:$C$1492,0),0))</f>
        <v>42757200</v>
      </c>
      <c r="H175" s="361">
        <f t="shared" ref="H175:H229" ca="1" si="48">IF(OR(D175="MDU",D175="MDU-KD"),(IF($O$3="RAB NON MDU","PLN KD",G175*F175)),0)</f>
        <v>42757200</v>
      </c>
      <c r="I175" s="361">
        <f t="shared" ref="I175:I229" ca="1" si="49">IF(D175="HDW",G175*F175,0)</f>
        <v>0</v>
      </c>
      <c r="J175" s="361">
        <f t="shared" ref="J175:J229" ca="1" si="50">IF(D175="JASA",G175*F175,0)</f>
        <v>0</v>
      </c>
      <c r="K175" s="362">
        <f t="shared" ref="K175:K229" ca="1" si="51">SUM(H175:J175)</f>
        <v>42757200</v>
      </c>
      <c r="L175" s="342"/>
      <c r="M175" s="342"/>
      <c r="N175" s="369"/>
      <c r="O175" s="344"/>
      <c r="P175" s="344"/>
      <c r="Q175" s="344"/>
      <c r="R175" s="344"/>
      <c r="S175" s="344"/>
      <c r="T175" s="403"/>
      <c r="U175" s="403"/>
      <c r="V175" s="403"/>
    </row>
    <row r="176" spans="1:22" s="365" customFormat="1">
      <c r="A176" s="336"/>
      <c r="B176" s="508">
        <v>2</v>
      </c>
      <c r="C176" s="509" t="s">
        <v>1619</v>
      </c>
      <c r="D176" s="358" t="str">
        <f ca="1">IF(ISERROR(OFFSET('HARGA SATUAN'!$D$6,MATCH(RAB!C176,'HARGA SATUAN'!$C$7:$C$1492,0),0)),"",OFFSET('HARGA SATUAN'!$D$6,MATCH(RAB!C176,'HARGA SATUAN'!$C$7:$C$1492,0),0))</f>
        <v/>
      </c>
      <c r="E176" s="359" t="str">
        <f ca="1">IF(B176="+","Unit",IF(ISERROR(OFFSET('HARGA SATUAN'!$E$6,MATCH(RAB!C176,'HARGA SATUAN'!$C$7:$C$1492,0),0)),"",OFFSET('HARGA SATUAN'!$E$6,MATCH(RAB!C176,'HARGA SATUAN'!$C$7:$C$1492,0),0)))</f>
        <v/>
      </c>
      <c r="F176" s="510"/>
      <c r="G176" s="360">
        <f ca="1">IF(ISERROR(OFFSET('HARGA SATUAN'!$I$6,MATCH(RAB!C176,'HARGA SATUAN'!$C$7:$C$1492,0),0)),0,OFFSET('HARGA SATUAN'!$I$6,MATCH(RAB!C176,'HARGA SATUAN'!$C$7:$C$1492,0),0))</f>
        <v>0</v>
      </c>
      <c r="H176" s="361">
        <f t="shared" ca="1" si="48"/>
        <v>0</v>
      </c>
      <c r="I176" s="361">
        <f t="shared" ca="1" si="49"/>
        <v>0</v>
      </c>
      <c r="J176" s="361">
        <f t="shared" ca="1" si="50"/>
        <v>0</v>
      </c>
      <c r="K176" s="362">
        <f t="shared" ca="1" si="51"/>
        <v>0</v>
      </c>
      <c r="L176" s="342"/>
      <c r="M176" s="342"/>
      <c r="N176" s="369"/>
      <c r="O176" s="344"/>
      <c r="P176" s="344"/>
      <c r="Q176" s="344"/>
      <c r="R176" s="344"/>
      <c r="S176" s="344"/>
      <c r="T176" s="399"/>
      <c r="U176" s="399"/>
      <c r="V176" s="399"/>
    </row>
    <row r="177" spans="1:22" s="365" customFormat="1">
      <c r="A177" s="336"/>
      <c r="B177" s="513"/>
      <c r="C177" s="509" t="s">
        <v>65</v>
      </c>
      <c r="D177" s="358" t="str">
        <f ca="1">IF(ISERROR(OFFSET('HARGA SATUAN'!$D$6,MATCH(RAB!C177,'HARGA SATUAN'!$C$7:$C$1492,0),0)),"",OFFSET('HARGA SATUAN'!$D$6,MATCH(RAB!C177,'HARGA SATUAN'!$C$7:$C$1492,0),0))</f>
        <v>MDU-KD</v>
      </c>
      <c r="E177" s="359" t="str">
        <f ca="1">IF(B177="+","Unit",IF(ISERROR(OFFSET('HARGA SATUAN'!$E$6,MATCH(RAB!C177,'HARGA SATUAN'!$C$7:$C$1492,0),0)),"",OFFSET('HARGA SATUAN'!$E$6,MATCH(RAB!C177,'HARGA SATUAN'!$C$7:$C$1492,0),0)))</f>
        <v>Mtr</v>
      </c>
      <c r="F177" s="484">
        <f>F174*(3*3)</f>
        <v>9</v>
      </c>
      <c r="G177" s="360">
        <f ca="1">IF(ISERROR(OFFSET('HARGA SATUAN'!$I$6,MATCH(RAB!C177,'HARGA SATUAN'!$C$7:$C$1492,0),0)),0,OFFSET('HARGA SATUAN'!$I$6,MATCH(RAB!C177,'HARGA SATUAN'!$C$7:$C$1492,0),0))</f>
        <v>14200</v>
      </c>
      <c r="H177" s="361">
        <f t="shared" ca="1" si="48"/>
        <v>127800</v>
      </c>
      <c r="I177" s="361">
        <f t="shared" ca="1" si="49"/>
        <v>0</v>
      </c>
      <c r="J177" s="361">
        <f t="shared" ca="1" si="50"/>
        <v>0</v>
      </c>
      <c r="K177" s="362">
        <f t="shared" ca="1" si="51"/>
        <v>127800</v>
      </c>
      <c r="L177" s="342"/>
      <c r="M177" s="342"/>
      <c r="N177" s="369"/>
      <c r="O177" s="344"/>
      <c r="P177" s="344"/>
      <c r="Q177" s="344"/>
      <c r="R177" s="344"/>
      <c r="S177" s="344"/>
      <c r="T177" s="399"/>
      <c r="U177" s="399"/>
      <c r="V177" s="399"/>
    </row>
    <row r="178" spans="1:22" s="365" customFormat="1">
      <c r="A178" s="336"/>
      <c r="B178" s="513"/>
      <c r="C178" s="109" t="s">
        <v>1461</v>
      </c>
      <c r="D178" s="358" t="str">
        <f ca="1">IF(ISERROR(OFFSET('HARGA SATUAN'!$D$6,MATCH(RAB!C178,'HARGA SATUAN'!$C$7:$C$1492,0),0)),"",OFFSET('HARGA SATUAN'!$D$6,MATCH(RAB!C178,'HARGA SATUAN'!$C$7:$C$1492,0),0))</f>
        <v>MDU-KD</v>
      </c>
      <c r="E178" s="359" t="str">
        <f ca="1">IF(B178="+","Unit",IF(ISERROR(OFFSET('HARGA SATUAN'!$E$6,MATCH(RAB!C178,'HARGA SATUAN'!$C$7:$C$1492,0),0)),"",OFFSET('HARGA SATUAN'!$E$6,MATCH(RAB!C178,'HARGA SATUAN'!$C$7:$C$1492,0),0)))</f>
        <v>Mtr</v>
      </c>
      <c r="F178" s="484">
        <f>F174*3</f>
        <v>3</v>
      </c>
      <c r="G178" s="360">
        <f ca="1">IF(ISERROR(OFFSET('HARGA SATUAN'!$I$6,MATCH(RAB!C178,'HARGA SATUAN'!$C$7:$C$1492,0),0)),0,OFFSET('HARGA SATUAN'!$I$6,MATCH(RAB!C178,'HARGA SATUAN'!$C$7:$C$1492,0),0))</f>
        <v>54500</v>
      </c>
      <c r="H178" s="361">
        <f t="shared" ca="1" si="48"/>
        <v>163500</v>
      </c>
      <c r="I178" s="361">
        <f t="shared" ca="1" si="49"/>
        <v>0</v>
      </c>
      <c r="J178" s="361">
        <f t="shared" ca="1" si="50"/>
        <v>0</v>
      </c>
      <c r="K178" s="362">
        <f t="shared" ca="1" si="51"/>
        <v>163500</v>
      </c>
      <c r="L178" s="342"/>
      <c r="M178" s="342"/>
      <c r="N178" s="369"/>
      <c r="O178" s="344"/>
      <c r="P178" s="344"/>
      <c r="Q178" s="344"/>
      <c r="R178" s="344"/>
      <c r="S178" s="344"/>
      <c r="T178" s="403"/>
      <c r="U178" s="403"/>
      <c r="V178" s="403"/>
    </row>
    <row r="179" spans="1:22" s="365" customFormat="1">
      <c r="A179" s="336"/>
      <c r="B179" s="513">
        <v>3</v>
      </c>
      <c r="C179" s="109" t="s">
        <v>559</v>
      </c>
      <c r="D179" s="358" t="str">
        <f ca="1">IF(ISERROR(OFFSET('HARGA SATUAN'!$D$6,MATCH(RAB!C179,'HARGA SATUAN'!$C$7:$C$1492,0),0)),"",OFFSET('HARGA SATUAN'!$D$6,MATCH(RAB!C179,'HARGA SATUAN'!$C$7:$C$1492,0),0))</f>
        <v>MDU-KD</v>
      </c>
      <c r="E179" s="359" t="str">
        <f ca="1">IF(B179="+","Unit",IF(ISERROR(OFFSET('HARGA SATUAN'!$E$6,MATCH(RAB!C179,'HARGA SATUAN'!$C$7:$C$1492,0),0)),"",OFFSET('HARGA SATUAN'!$E$6,MATCH(RAB!C179,'HARGA SATUAN'!$C$7:$C$1492,0),0)))</f>
        <v>Bh</v>
      </c>
      <c r="F179" s="484">
        <f>F174*3</f>
        <v>3</v>
      </c>
      <c r="G179" s="360">
        <f ca="1">IF(ISERROR(OFFSET('HARGA SATUAN'!$I$6,MATCH(RAB!C179,'HARGA SATUAN'!$C$7:$C$1492,0),0)),0,OFFSET('HARGA SATUAN'!$I$6,MATCH(RAB!C179,'HARGA SATUAN'!$C$7:$C$1492,0),0))</f>
        <v>725900</v>
      </c>
      <c r="H179" s="361">
        <f t="shared" ca="1" si="48"/>
        <v>2177700</v>
      </c>
      <c r="I179" s="361">
        <f t="shared" ca="1" si="49"/>
        <v>0</v>
      </c>
      <c r="J179" s="361">
        <f t="shared" ca="1" si="50"/>
        <v>0</v>
      </c>
      <c r="K179" s="362">
        <f t="shared" ca="1" si="51"/>
        <v>2177700</v>
      </c>
      <c r="L179" s="406" t="e">
        <f ca="1">PROPER([94]!terbilang(K235))</f>
        <v>#NAME?</v>
      </c>
      <c r="M179" s="406"/>
      <c r="N179" s="369"/>
      <c r="O179" s="344"/>
      <c r="P179" s="344"/>
      <c r="Q179" s="344"/>
    </row>
    <row r="180" spans="1:22">
      <c r="B180" s="513">
        <v>4</v>
      </c>
      <c r="C180" s="514" t="s">
        <v>535</v>
      </c>
      <c r="D180" s="358" t="str">
        <f ca="1">IF(ISERROR(OFFSET('HARGA SATUAN'!$D$6,MATCH(RAB!C180,'HARGA SATUAN'!$C$7:$C$1492,0),0)),"",OFFSET('HARGA SATUAN'!$D$6,MATCH(RAB!C180,'HARGA SATUAN'!$C$7:$C$1492,0),0))</f>
        <v>MDU-KD</v>
      </c>
      <c r="E180" s="359" t="str">
        <f ca="1">IF(B180="+","Unit",IF(ISERROR(OFFSET('HARGA SATUAN'!$E$6,MATCH(RAB!C180,'HARGA SATUAN'!$C$7:$C$1492,0),0)),"",OFFSET('HARGA SATUAN'!$E$6,MATCH(RAB!C180,'HARGA SATUAN'!$C$7:$C$1492,0),0)))</f>
        <v>Bh</v>
      </c>
      <c r="F180" s="484">
        <f>F174*3</f>
        <v>3</v>
      </c>
      <c r="G180" s="360">
        <f ca="1">IF(ISERROR(OFFSET('HARGA SATUAN'!$I$6,MATCH(RAB!C180,'HARGA SATUAN'!$C$7:$C$1492,0),0)),0,OFFSET('HARGA SATUAN'!$I$6,MATCH(RAB!C180,'HARGA SATUAN'!$C$7:$C$1492,0),0))</f>
        <v>848250</v>
      </c>
      <c r="H180" s="361">
        <f t="shared" ca="1" si="48"/>
        <v>2544750</v>
      </c>
      <c r="I180" s="361">
        <f t="shared" ca="1" si="49"/>
        <v>0</v>
      </c>
      <c r="J180" s="361">
        <f t="shared" ca="1" si="50"/>
        <v>0</v>
      </c>
      <c r="K180" s="362">
        <f t="shared" ca="1" si="51"/>
        <v>2544750</v>
      </c>
    </row>
    <row r="181" spans="1:22">
      <c r="B181" s="513">
        <v>5</v>
      </c>
      <c r="C181" s="514" t="s">
        <v>55</v>
      </c>
      <c r="D181" s="358" t="str">
        <f ca="1">IF(ISERROR(OFFSET('HARGA SATUAN'!$D$6,MATCH(RAB!C181,'HARGA SATUAN'!$C$7:$C$1492,0),0)),"",OFFSET('HARGA SATUAN'!$D$6,MATCH(RAB!C181,'HARGA SATUAN'!$C$7:$C$1492,0),0))</f>
        <v>HDW</v>
      </c>
      <c r="E181" s="359" t="str">
        <f ca="1">IF(B181="+","Unit",IF(ISERROR(OFFSET('HARGA SATUAN'!$E$6,MATCH(RAB!C181,'HARGA SATUAN'!$C$7:$C$1492,0),0)),"",OFFSET('HARGA SATUAN'!$E$6,MATCH(RAB!C181,'HARGA SATUAN'!$C$7:$C$1492,0),0)))</f>
        <v>Bh</v>
      </c>
      <c r="F181" s="484">
        <f>F174*3</f>
        <v>3</v>
      </c>
      <c r="G181" s="360">
        <f ca="1">IF(ISERROR(OFFSET('HARGA SATUAN'!$I$6,MATCH(RAB!C181,'HARGA SATUAN'!$C$7:$C$1492,0),0)),0,OFFSET('HARGA SATUAN'!$I$6,MATCH(RAB!C181,'HARGA SATUAN'!$C$7:$C$1492,0),0))</f>
        <v>18000</v>
      </c>
      <c r="H181" s="361">
        <f t="shared" ca="1" si="48"/>
        <v>0</v>
      </c>
      <c r="I181" s="361">
        <f t="shared" ca="1" si="49"/>
        <v>54000</v>
      </c>
      <c r="J181" s="361">
        <f t="shared" ca="1" si="50"/>
        <v>0</v>
      </c>
      <c r="K181" s="362">
        <f t="shared" ca="1" si="51"/>
        <v>54000</v>
      </c>
    </row>
    <row r="182" spans="1:22">
      <c r="B182" s="513">
        <v>6</v>
      </c>
      <c r="C182" s="109" t="s">
        <v>1571</v>
      </c>
      <c r="D182" s="358" t="str">
        <f ca="1">IF(ISERROR(OFFSET('HARGA SATUAN'!$D$6,MATCH(RAB!C182,'HARGA SATUAN'!$C$7:$C$1492,0),0)),"",OFFSET('HARGA SATUAN'!$D$6,MATCH(RAB!C182,'HARGA SATUAN'!$C$7:$C$1492,0),0))</f>
        <v>HDW</v>
      </c>
      <c r="E182" s="359" t="str">
        <f ca="1">IF(B182="+","Unit",IF(ISERROR(OFFSET('HARGA SATUAN'!$E$6,MATCH(RAB!C182,'HARGA SATUAN'!$C$7:$C$1492,0),0)),"",OFFSET('HARGA SATUAN'!$E$6,MATCH(RAB!C182,'HARGA SATUAN'!$C$7:$C$1492,0),0)))</f>
        <v>Bh</v>
      </c>
      <c r="F182" s="484">
        <f>F174*13</f>
        <v>13</v>
      </c>
      <c r="G182" s="360">
        <f ca="1">IF(ISERROR(OFFSET('HARGA SATUAN'!$I$6,MATCH(RAB!C182,'HARGA SATUAN'!$C$7:$C$1492,0),0)),0,OFFSET('HARGA SATUAN'!$I$6,MATCH(RAB!C182,'HARGA SATUAN'!$C$7:$C$1492,0),0))</f>
        <v>49000</v>
      </c>
      <c r="H182" s="361">
        <f t="shared" ca="1" si="48"/>
        <v>0</v>
      </c>
      <c r="I182" s="361">
        <f t="shared" ca="1" si="49"/>
        <v>637000</v>
      </c>
      <c r="J182" s="361">
        <f t="shared" ca="1" si="50"/>
        <v>0</v>
      </c>
      <c r="K182" s="362">
        <f t="shared" ca="1" si="51"/>
        <v>637000</v>
      </c>
    </row>
    <row r="183" spans="1:22">
      <c r="B183" s="513">
        <v>7</v>
      </c>
      <c r="C183" s="514" t="s">
        <v>163</v>
      </c>
      <c r="D183" s="358" t="str">
        <f ca="1">IF(ISERROR(OFFSET('HARGA SATUAN'!$D$6,MATCH(RAB!C183,'HARGA SATUAN'!$C$7:$C$1492,0),0)),"",OFFSET('HARGA SATUAN'!$D$6,MATCH(RAB!C183,'HARGA SATUAN'!$C$7:$C$1492,0),0))</f>
        <v>HDW</v>
      </c>
      <c r="E183" s="359" t="str">
        <f ca="1">IF(B183="+","Unit",IF(ISERROR(OFFSET('HARGA SATUAN'!$E$6,MATCH(RAB!C183,'HARGA SATUAN'!$C$7:$C$1492,0),0)),"",OFFSET('HARGA SATUAN'!$E$6,MATCH(RAB!C183,'HARGA SATUAN'!$C$7:$C$1492,0),0)))</f>
        <v>Bh</v>
      </c>
      <c r="F183" s="484">
        <f>F174*22</f>
        <v>22</v>
      </c>
      <c r="G183" s="360">
        <f ca="1">IF(ISERROR(OFFSET('HARGA SATUAN'!$I$6,MATCH(RAB!C183,'HARGA SATUAN'!$C$7:$C$1492,0),0)),0,OFFSET('HARGA SATUAN'!$I$6,MATCH(RAB!C183,'HARGA SATUAN'!$C$7:$C$1492,0),0))</f>
        <v>7938</v>
      </c>
      <c r="H183" s="361">
        <f t="shared" ca="1" si="48"/>
        <v>0</v>
      </c>
      <c r="I183" s="361">
        <f t="shared" ca="1" si="49"/>
        <v>174636</v>
      </c>
      <c r="J183" s="361">
        <f t="shared" ca="1" si="50"/>
        <v>0</v>
      </c>
      <c r="K183" s="362">
        <f t="shared" ca="1" si="51"/>
        <v>174636</v>
      </c>
    </row>
    <row r="184" spans="1:22">
      <c r="B184" s="513">
        <v>8</v>
      </c>
      <c r="C184" s="514" t="s">
        <v>176</v>
      </c>
      <c r="D184" s="358" t="str">
        <f ca="1">IF(ISERROR(OFFSET('HARGA SATUAN'!$D$6,MATCH(RAB!C184,'HARGA SATUAN'!$C$7:$C$1492,0),0)),"",OFFSET('HARGA SATUAN'!$D$6,MATCH(RAB!C184,'HARGA SATUAN'!$C$7:$C$1492,0),0))</f>
        <v>HDW</v>
      </c>
      <c r="E184" s="359" t="str">
        <f ca="1">IF(B184="+","Unit",IF(ISERROR(OFFSET('HARGA SATUAN'!$E$6,MATCH(RAB!C184,'HARGA SATUAN'!$C$7:$C$1492,0),0)),"",OFFSET('HARGA SATUAN'!$E$6,MATCH(RAB!C184,'HARGA SATUAN'!$C$7:$C$1492,0),0)))</f>
        <v>Bh</v>
      </c>
      <c r="F184" s="484">
        <f>F174*1</f>
        <v>1</v>
      </c>
      <c r="G184" s="360">
        <f ca="1">IF(ISERROR(OFFSET('HARGA SATUAN'!$I$6,MATCH(RAB!C184,'HARGA SATUAN'!$C$7:$C$1492,0),0)),0,OFFSET('HARGA SATUAN'!$I$6,MATCH(RAB!C184,'HARGA SATUAN'!$C$7:$C$1492,0),0))</f>
        <v>404600</v>
      </c>
      <c r="H184" s="361">
        <f t="shared" ca="1" si="48"/>
        <v>0</v>
      </c>
      <c r="I184" s="361">
        <f t="shared" ca="1" si="49"/>
        <v>404600</v>
      </c>
      <c r="J184" s="361">
        <f t="shared" ca="1" si="50"/>
        <v>0</v>
      </c>
      <c r="K184" s="362">
        <f t="shared" ca="1" si="51"/>
        <v>404600</v>
      </c>
    </row>
    <row r="185" spans="1:22">
      <c r="B185" s="513">
        <v>9</v>
      </c>
      <c r="C185" s="514" t="s">
        <v>184</v>
      </c>
      <c r="D185" s="358" t="str">
        <f ca="1">IF(ISERROR(OFFSET('HARGA SATUAN'!$D$6,MATCH(RAB!C185,'HARGA SATUAN'!$C$7:$C$1492,0),0)),"",OFFSET('HARGA SATUAN'!$D$6,MATCH(RAB!C185,'HARGA SATUAN'!$C$7:$C$1492,0),0))</f>
        <v>HDW</v>
      </c>
      <c r="E185" s="359" t="str">
        <f ca="1">IF(B185="+","Unit",IF(ISERROR(OFFSET('HARGA SATUAN'!$E$6,MATCH(RAB!C185,'HARGA SATUAN'!$C$7:$C$1492,0),0)),"",OFFSET('HARGA SATUAN'!$E$6,MATCH(RAB!C185,'HARGA SATUAN'!$C$7:$C$1492,0),0)))</f>
        <v>Bh</v>
      </c>
      <c r="F185" s="484">
        <f>F174*3</f>
        <v>3</v>
      </c>
      <c r="G185" s="360">
        <f ca="1">IF(ISERROR(OFFSET('HARGA SATUAN'!$I$6,MATCH(RAB!C185,'HARGA SATUAN'!$C$7:$C$1492,0),0)),0,OFFSET('HARGA SATUAN'!$I$6,MATCH(RAB!C185,'HARGA SATUAN'!$C$7:$C$1492,0),0))</f>
        <v>15900</v>
      </c>
      <c r="H185" s="361">
        <f t="shared" ca="1" si="48"/>
        <v>0</v>
      </c>
      <c r="I185" s="361">
        <f t="shared" ca="1" si="49"/>
        <v>47700</v>
      </c>
      <c r="J185" s="361">
        <f t="shared" ca="1" si="50"/>
        <v>0</v>
      </c>
      <c r="K185" s="362">
        <f t="shared" ca="1" si="51"/>
        <v>47700</v>
      </c>
    </row>
    <row r="186" spans="1:22">
      <c r="B186" s="513">
        <v>10</v>
      </c>
      <c r="C186" s="514" t="s">
        <v>592</v>
      </c>
      <c r="D186" s="358" t="str">
        <f ca="1">IF(ISERROR(OFFSET('HARGA SATUAN'!$D$6,MATCH(RAB!C186,'HARGA SATUAN'!$C$7:$C$1492,0),0)),"",OFFSET('HARGA SATUAN'!$D$6,MATCH(RAB!C186,'HARGA SATUAN'!$C$7:$C$1492,0),0))</f>
        <v>HDW</v>
      </c>
      <c r="E186" s="359" t="str">
        <f ca="1">IF(B186="+","Unit",IF(ISERROR(OFFSET('HARGA SATUAN'!$E$6,MATCH(RAB!C186,'HARGA SATUAN'!$C$7:$C$1492,0),0)),"",OFFSET('HARGA SATUAN'!$E$6,MATCH(RAB!C186,'HARGA SATUAN'!$C$7:$C$1492,0),0)))</f>
        <v>Bh</v>
      </c>
      <c r="F186" s="484">
        <f>F174*5</f>
        <v>5</v>
      </c>
      <c r="G186" s="360">
        <f ca="1">IF(ISERROR(OFFSET('HARGA SATUAN'!$I$6,MATCH(RAB!C186,'HARGA SATUAN'!$C$7:$C$1492,0),0)),0,OFFSET('HARGA SATUAN'!$I$6,MATCH(RAB!C186,'HARGA SATUAN'!$C$7:$C$1492,0),0))</f>
        <v>283100</v>
      </c>
      <c r="H186" s="361">
        <f t="shared" ca="1" si="48"/>
        <v>0</v>
      </c>
      <c r="I186" s="361">
        <f t="shared" ca="1" si="49"/>
        <v>1415500</v>
      </c>
      <c r="J186" s="361">
        <f t="shared" ca="1" si="50"/>
        <v>0</v>
      </c>
      <c r="K186" s="362">
        <f t="shared" ca="1" si="51"/>
        <v>1415500</v>
      </c>
    </row>
    <row r="187" spans="1:22">
      <c r="B187" s="513">
        <v>11</v>
      </c>
      <c r="C187" s="514" t="s">
        <v>593</v>
      </c>
      <c r="D187" s="358" t="str">
        <f ca="1">IF(ISERROR(OFFSET('HARGA SATUAN'!$D$6,MATCH(RAB!C187,'HARGA SATUAN'!$C$7:$C$1492,0),0)),"",OFFSET('HARGA SATUAN'!$D$6,MATCH(RAB!C187,'HARGA SATUAN'!$C$7:$C$1492,0),0))</f>
        <v>HDW</v>
      </c>
      <c r="E187" s="359" t="str">
        <f ca="1">IF(B187="+","Unit",IF(ISERROR(OFFSET('HARGA SATUAN'!$E$6,MATCH(RAB!C187,'HARGA SATUAN'!$C$7:$C$1492,0),0)),"",OFFSET('HARGA SATUAN'!$E$6,MATCH(RAB!C187,'HARGA SATUAN'!$C$7:$C$1492,0),0)))</f>
        <v>Bh</v>
      </c>
      <c r="F187" s="484">
        <f>F174*4</f>
        <v>4</v>
      </c>
      <c r="G187" s="360">
        <f ca="1">IF(ISERROR(OFFSET('HARGA SATUAN'!$I$6,MATCH(RAB!C187,'HARGA SATUAN'!$C$7:$C$1492,0),0)),0,OFFSET('HARGA SATUAN'!$I$6,MATCH(RAB!C187,'HARGA SATUAN'!$C$7:$C$1492,0),0))</f>
        <v>380500</v>
      </c>
      <c r="H187" s="361">
        <f t="shared" ca="1" si="48"/>
        <v>0</v>
      </c>
      <c r="I187" s="361">
        <f t="shared" ca="1" si="49"/>
        <v>1522000</v>
      </c>
      <c r="J187" s="361">
        <f t="shared" ca="1" si="50"/>
        <v>0</v>
      </c>
      <c r="K187" s="362">
        <f t="shared" ca="1" si="51"/>
        <v>1522000</v>
      </c>
    </row>
    <row r="188" spans="1:22">
      <c r="B188" s="513">
        <v>12</v>
      </c>
      <c r="C188" s="514" t="s">
        <v>208</v>
      </c>
      <c r="D188" s="358" t="str">
        <f ca="1">IF(ISERROR(OFFSET('HARGA SATUAN'!$D$6,MATCH(RAB!C188,'HARGA SATUAN'!$C$7:$C$1492,0),0)),"",OFFSET('HARGA SATUAN'!$D$6,MATCH(RAB!C188,'HARGA SATUAN'!$C$7:$C$1492,0),0))</f>
        <v>HDW</v>
      </c>
      <c r="E188" s="359" t="str">
        <f ca="1">IF(B188="+","Unit",IF(ISERROR(OFFSET('HARGA SATUAN'!$E$6,MATCH(RAB!C188,'HARGA SATUAN'!$C$7:$C$1492,0),0)),"",OFFSET('HARGA SATUAN'!$E$6,MATCH(RAB!C188,'HARGA SATUAN'!$C$7:$C$1492,0),0)))</f>
        <v>Bh</v>
      </c>
      <c r="F188" s="484">
        <f>F174*3</f>
        <v>3</v>
      </c>
      <c r="G188" s="360">
        <f ca="1">IF(ISERROR(OFFSET('HARGA SATUAN'!$I$6,MATCH(RAB!C188,'HARGA SATUAN'!$C$7:$C$1492,0),0)),0,OFFSET('HARGA SATUAN'!$I$6,MATCH(RAB!C188,'HARGA SATUAN'!$C$7:$C$1492,0),0))</f>
        <v>173400</v>
      </c>
      <c r="H188" s="361">
        <f t="shared" ca="1" si="48"/>
        <v>0</v>
      </c>
      <c r="I188" s="361">
        <f t="shared" ca="1" si="49"/>
        <v>520200</v>
      </c>
      <c r="J188" s="361">
        <f t="shared" ca="1" si="50"/>
        <v>0</v>
      </c>
      <c r="K188" s="362">
        <f t="shared" ca="1" si="51"/>
        <v>520200</v>
      </c>
    </row>
    <row r="189" spans="1:22">
      <c r="B189" s="513">
        <v>13</v>
      </c>
      <c r="C189" s="514" t="s">
        <v>247</v>
      </c>
      <c r="D189" s="358" t="str">
        <f ca="1">IF(ISERROR(OFFSET('HARGA SATUAN'!$D$6,MATCH(RAB!C189,'HARGA SATUAN'!$C$7:$C$1492,0),0)),"",OFFSET('HARGA SATUAN'!$D$6,MATCH(RAB!C189,'HARGA SATUAN'!$C$7:$C$1492,0),0))</f>
        <v>HDW</v>
      </c>
      <c r="E189" s="359" t="str">
        <f ca="1">IF(B189="+","Unit",IF(ISERROR(OFFSET('HARGA SATUAN'!$E$6,MATCH(RAB!C189,'HARGA SATUAN'!$C$7:$C$1492,0),0)),"",OFFSET('HARGA SATUAN'!$E$6,MATCH(RAB!C189,'HARGA SATUAN'!$C$7:$C$1492,0),0)))</f>
        <v>Bh</v>
      </c>
      <c r="F189" s="484">
        <f>F174*1</f>
        <v>1</v>
      </c>
      <c r="G189" s="360">
        <f ca="1">IF(ISERROR(OFFSET('HARGA SATUAN'!$I$6,MATCH(RAB!C189,'HARGA SATUAN'!$C$7:$C$1492,0),0)),0,OFFSET('HARGA SATUAN'!$I$6,MATCH(RAB!C189,'HARGA SATUAN'!$C$7:$C$1492,0),0))</f>
        <v>57690</v>
      </c>
      <c r="H189" s="361">
        <f t="shared" ca="1" si="48"/>
        <v>0</v>
      </c>
      <c r="I189" s="361">
        <f t="shared" ca="1" si="49"/>
        <v>57690</v>
      </c>
      <c r="J189" s="361">
        <f t="shared" ca="1" si="50"/>
        <v>0</v>
      </c>
      <c r="K189" s="362">
        <f t="shared" ca="1" si="51"/>
        <v>57690</v>
      </c>
    </row>
    <row r="190" spans="1:22">
      <c r="B190" s="513">
        <v>14</v>
      </c>
      <c r="C190" s="514" t="s">
        <v>234</v>
      </c>
      <c r="D190" s="358" t="str">
        <f ca="1">IF(ISERROR(OFFSET('HARGA SATUAN'!$D$6,MATCH(RAB!C190,'HARGA SATUAN'!$C$7:$C$1492,0),0)),"",OFFSET('HARGA SATUAN'!$D$6,MATCH(RAB!C190,'HARGA SATUAN'!$C$7:$C$1492,0),0))</f>
        <v>HDW</v>
      </c>
      <c r="E190" s="359" t="str">
        <f ca="1">IF(B190="+","Unit",IF(ISERROR(OFFSET('HARGA SATUAN'!$E$6,MATCH(RAB!C190,'HARGA SATUAN'!$C$7:$C$1492,0),0)),"",OFFSET('HARGA SATUAN'!$E$6,MATCH(RAB!C190,'HARGA SATUAN'!$C$7:$C$1492,0),0)))</f>
        <v>Bh</v>
      </c>
      <c r="F190" s="484">
        <f>F174*2</f>
        <v>2</v>
      </c>
      <c r="G190" s="360">
        <f ca="1">IF(ISERROR(OFFSET('HARGA SATUAN'!$I$6,MATCH(RAB!C190,'HARGA SATUAN'!$C$7:$C$1492,0),0)),0,OFFSET('HARGA SATUAN'!$I$6,MATCH(RAB!C190,'HARGA SATUAN'!$C$7:$C$1492,0),0))</f>
        <v>67500</v>
      </c>
      <c r="H190" s="361">
        <f t="shared" ca="1" si="48"/>
        <v>0</v>
      </c>
      <c r="I190" s="361">
        <f t="shared" ca="1" si="49"/>
        <v>135000</v>
      </c>
      <c r="J190" s="361">
        <f t="shared" ca="1" si="50"/>
        <v>0</v>
      </c>
      <c r="K190" s="362">
        <f t="shared" ca="1" si="51"/>
        <v>135000</v>
      </c>
    </row>
    <row r="191" spans="1:22">
      <c r="B191" s="513">
        <v>15</v>
      </c>
      <c r="C191" s="514" t="s">
        <v>267</v>
      </c>
      <c r="D191" s="358" t="str">
        <f ca="1">IF(ISERROR(OFFSET('HARGA SATUAN'!$D$6,MATCH(RAB!C191,'HARGA SATUAN'!$C$7:$C$1492,0),0)),"",OFFSET('HARGA SATUAN'!$D$6,MATCH(RAB!C191,'HARGA SATUAN'!$C$7:$C$1492,0),0))</f>
        <v>HDW</v>
      </c>
      <c r="E191" s="359" t="str">
        <f ca="1">IF(B191="+","Unit",IF(ISERROR(OFFSET('HARGA SATUAN'!$E$6,MATCH(RAB!C191,'HARGA SATUAN'!$C$7:$C$1492,0),0)),"",OFFSET('HARGA SATUAN'!$E$6,MATCH(RAB!C191,'HARGA SATUAN'!$C$7:$C$1492,0),0)))</f>
        <v>Bh</v>
      </c>
      <c r="F191" s="484">
        <f>F174*2</f>
        <v>2</v>
      </c>
      <c r="G191" s="360">
        <f ca="1">IF(ISERROR(OFFSET('HARGA SATUAN'!$I$6,MATCH(RAB!C191,'HARGA SATUAN'!$C$7:$C$1492,0),0)),0,OFFSET('HARGA SATUAN'!$I$6,MATCH(RAB!C191,'HARGA SATUAN'!$C$7:$C$1492,0),0))</f>
        <v>129000</v>
      </c>
      <c r="H191" s="361">
        <f t="shared" ca="1" si="48"/>
        <v>0</v>
      </c>
      <c r="I191" s="361">
        <f t="shared" ca="1" si="49"/>
        <v>258000</v>
      </c>
      <c r="J191" s="361">
        <f t="shared" ca="1" si="50"/>
        <v>0</v>
      </c>
      <c r="K191" s="362">
        <f t="shared" ca="1" si="51"/>
        <v>258000</v>
      </c>
    </row>
    <row r="192" spans="1:22">
      <c r="B192" s="513">
        <v>16</v>
      </c>
      <c r="C192" s="514" t="s">
        <v>607</v>
      </c>
      <c r="D192" s="358" t="str">
        <f ca="1">IF(ISERROR(OFFSET('HARGA SATUAN'!$D$6,MATCH(RAB!C192,'HARGA SATUAN'!$C$7:$C$1492,0),0)),"",OFFSET('HARGA SATUAN'!$D$6,MATCH(RAB!C192,'HARGA SATUAN'!$C$7:$C$1492,0),0))</f>
        <v>HDW</v>
      </c>
      <c r="E192" s="359" t="str">
        <f ca="1">IF(B192="+","Unit",IF(ISERROR(OFFSET('HARGA SATUAN'!$E$6,MATCH(RAB!C192,'HARGA SATUAN'!$C$7:$C$1492,0),0)),"",OFFSET('HARGA SATUAN'!$E$6,MATCH(RAB!C192,'HARGA SATUAN'!$C$7:$C$1492,0),0)))</f>
        <v>Bh</v>
      </c>
      <c r="F192" s="484">
        <f>F174*4</f>
        <v>4</v>
      </c>
      <c r="G192" s="360">
        <f ca="1">IF(ISERROR(OFFSET('HARGA SATUAN'!$I$6,MATCH(RAB!C192,'HARGA SATUAN'!$C$7:$C$1492,0),0)),0,OFFSET('HARGA SATUAN'!$I$6,MATCH(RAB!C192,'HARGA SATUAN'!$C$7:$C$1492,0),0))</f>
        <v>250000</v>
      </c>
      <c r="H192" s="361">
        <f t="shared" ca="1" si="48"/>
        <v>0</v>
      </c>
      <c r="I192" s="361">
        <f t="shared" ca="1" si="49"/>
        <v>1000000</v>
      </c>
      <c r="J192" s="361">
        <f t="shared" ca="1" si="50"/>
        <v>0</v>
      </c>
      <c r="K192" s="362">
        <f t="shared" ca="1" si="51"/>
        <v>1000000</v>
      </c>
    </row>
    <row r="193" spans="2:11">
      <c r="B193" s="513">
        <v>17</v>
      </c>
      <c r="C193" s="722" t="s">
        <v>783</v>
      </c>
      <c r="D193" s="358" t="str">
        <f ca="1">IF(ISERROR(OFFSET('HARGA SATUAN'!$D$6,MATCH(RAB!C193,'HARGA SATUAN'!$C$7:$C$1492,0),0)),"",OFFSET('HARGA SATUAN'!$D$6,MATCH(RAB!C193,'HARGA SATUAN'!$C$7:$C$1492,0),0))</f>
        <v>JASA</v>
      </c>
      <c r="E193" s="359" t="str">
        <f ca="1">IF(B193="+","Unit",IF(ISERROR(OFFSET('HARGA SATUAN'!$E$6,MATCH(RAB!C193,'HARGA SATUAN'!$C$7:$C$1492,0),0)),"",OFFSET('HARGA SATUAN'!$E$6,MATCH(RAB!C193,'HARGA SATUAN'!$C$7:$C$1492,0),0)))</f>
        <v>Unit</v>
      </c>
      <c r="F193" s="484">
        <f>F174*1</f>
        <v>1</v>
      </c>
      <c r="G193" s="360">
        <f ca="1">IF(ISERROR(OFFSET('HARGA SATUAN'!$I$6,MATCH(RAB!C193,'HARGA SATUAN'!$C$7:$C$1492,0),0)),0,OFFSET('HARGA SATUAN'!$I$6,MATCH(RAB!C193,'HARGA SATUAN'!$C$7:$C$1492,0),0))</f>
        <v>1182800</v>
      </c>
      <c r="H193" s="361">
        <f t="shared" ca="1" si="48"/>
        <v>0</v>
      </c>
      <c r="I193" s="361">
        <f t="shared" ca="1" si="49"/>
        <v>0</v>
      </c>
      <c r="J193" s="361">
        <f t="shared" ca="1" si="50"/>
        <v>1182800</v>
      </c>
      <c r="K193" s="362">
        <f t="shared" ca="1" si="51"/>
        <v>1182800</v>
      </c>
    </row>
    <row r="194" spans="2:11">
      <c r="B194" s="502"/>
      <c r="C194" s="109"/>
      <c r="D194" s="358" t="str">
        <f ca="1">IF(ISERROR(OFFSET('HARGA SATUAN'!$D$6,MATCH(RAB!C194,'HARGA SATUAN'!$C$7:$C$1492,0),0)),"",OFFSET('HARGA SATUAN'!$D$6,MATCH(RAB!C194,'HARGA SATUAN'!$C$7:$C$1492,0),0))</f>
        <v/>
      </c>
      <c r="E194" s="359" t="str">
        <f ca="1">IF(B194="+","Unit",IF(ISERROR(OFFSET('HARGA SATUAN'!$E$6,MATCH(RAB!C194,'HARGA SATUAN'!$C$7:$C$1492,0),0)),"",OFFSET('HARGA SATUAN'!$E$6,MATCH(RAB!C194,'HARGA SATUAN'!$C$7:$C$1492,0),0)))</f>
        <v/>
      </c>
      <c r="F194" s="484"/>
      <c r="G194" s="360">
        <f ca="1">IF(ISERROR(OFFSET('HARGA SATUAN'!$I$6,MATCH(RAB!C194,'HARGA SATUAN'!$C$7:$C$1492,0),0)),0,OFFSET('HARGA SATUAN'!$I$6,MATCH(RAB!C194,'HARGA SATUAN'!$C$7:$C$1492,0),0))</f>
        <v>0</v>
      </c>
      <c r="H194" s="361">
        <f t="shared" ca="1" si="48"/>
        <v>0</v>
      </c>
      <c r="I194" s="361">
        <f t="shared" ca="1" si="49"/>
        <v>0</v>
      </c>
      <c r="J194" s="361">
        <f t="shared" ca="1" si="50"/>
        <v>0</v>
      </c>
      <c r="K194" s="362">
        <f t="shared" ca="1" si="51"/>
        <v>0</v>
      </c>
    </row>
    <row r="195" spans="2:11">
      <c r="B195" s="508" t="s">
        <v>1034</v>
      </c>
      <c r="C195" s="511" t="s">
        <v>1620</v>
      </c>
      <c r="D195" s="358" t="str">
        <f ca="1">IF(ISERROR(OFFSET('HARGA SATUAN'!$D$6,MATCH(RAB!C195,'HARGA SATUAN'!$C$7:$C$1492,0),0)),"",OFFSET('HARGA SATUAN'!$D$6,MATCH(RAB!C195,'HARGA SATUAN'!$C$7:$C$1492,0),0))</f>
        <v/>
      </c>
      <c r="E195" s="359" t="str">
        <f ca="1">IF(B195="+","Unit",IF(ISERROR(OFFSET('HARGA SATUAN'!$E$6,MATCH(RAB!C195,'HARGA SATUAN'!$C$7:$C$1492,0),0)),"",OFFSET('HARGA SATUAN'!$E$6,MATCH(RAB!C195,'HARGA SATUAN'!$C$7:$C$1492,0),0)))</f>
        <v>Unit</v>
      </c>
      <c r="F195" s="484">
        <v>2</v>
      </c>
      <c r="G195" s="360">
        <f ca="1">IF(ISERROR(OFFSET('HARGA SATUAN'!$I$6,MATCH(RAB!C195,'HARGA SATUAN'!$C$7:$C$1492,0),0)),0,OFFSET('HARGA SATUAN'!$I$6,MATCH(RAB!C195,'HARGA SATUAN'!$C$7:$C$1492,0),0))</f>
        <v>0</v>
      </c>
      <c r="H195" s="361">
        <f t="shared" ca="1" si="48"/>
        <v>0</v>
      </c>
      <c r="I195" s="361">
        <f t="shared" ca="1" si="49"/>
        <v>0</v>
      </c>
      <c r="J195" s="361">
        <f t="shared" ca="1" si="50"/>
        <v>0</v>
      </c>
      <c r="K195" s="362">
        <f t="shared" ca="1" si="51"/>
        <v>0</v>
      </c>
    </row>
    <row r="196" spans="2:11">
      <c r="B196" s="508">
        <v>1</v>
      </c>
      <c r="C196" s="507" t="s">
        <v>29</v>
      </c>
      <c r="D196" s="358" t="str">
        <f ca="1">IF(ISERROR(OFFSET('HARGA SATUAN'!$D$6,MATCH(RAB!C196,'HARGA SATUAN'!$C$7:$C$1492,0),0)),"",OFFSET('HARGA SATUAN'!$D$6,MATCH(RAB!C196,'HARGA SATUAN'!$C$7:$C$1492,0),0))</f>
        <v>HDW</v>
      </c>
      <c r="E196" s="359" t="str">
        <f ca="1">IF(B196="+","Unit",IF(ISERROR(OFFSET('HARGA SATUAN'!$E$6,MATCH(RAB!C196,'HARGA SATUAN'!$C$7:$C$1492,0),0)),"",OFFSET('HARGA SATUAN'!$E$6,MATCH(RAB!C196,'HARGA SATUAN'!$C$7:$C$1492,0),0)))</f>
        <v>Bh</v>
      </c>
      <c r="F196" s="484">
        <f>F195*1</f>
        <v>2</v>
      </c>
      <c r="G196" s="360">
        <f ca="1">IF(ISERROR(OFFSET('HARGA SATUAN'!$I$6,MATCH(RAB!C196,'HARGA SATUAN'!$C$7:$C$1492,0),0)),0,OFFSET('HARGA SATUAN'!$I$6,MATCH(RAB!C196,'HARGA SATUAN'!$C$7:$C$1492,0),0))</f>
        <v>185200</v>
      </c>
      <c r="H196" s="361">
        <f t="shared" ca="1" si="48"/>
        <v>0</v>
      </c>
      <c r="I196" s="361">
        <f t="shared" ca="1" si="49"/>
        <v>370400</v>
      </c>
      <c r="J196" s="361">
        <f t="shared" ca="1" si="50"/>
        <v>0</v>
      </c>
      <c r="K196" s="362">
        <f t="shared" ca="1" si="51"/>
        <v>370400</v>
      </c>
    </row>
    <row r="197" spans="2:11">
      <c r="B197" s="505">
        <v>2</v>
      </c>
      <c r="C197" s="506" t="s">
        <v>30</v>
      </c>
      <c r="D197" s="358" t="str">
        <f ca="1">IF(ISERROR(OFFSET('HARGA SATUAN'!$D$6,MATCH(RAB!C197,'HARGA SATUAN'!$C$7:$C$1492,0),0)),"",OFFSET('HARGA SATUAN'!$D$6,MATCH(RAB!C197,'HARGA SATUAN'!$C$7:$C$1492,0),0))</f>
        <v>HDW</v>
      </c>
      <c r="E197" s="359" t="str">
        <f ca="1">IF(B197="+","Unit",IF(ISERROR(OFFSET('HARGA SATUAN'!$E$6,MATCH(RAB!C197,'HARGA SATUAN'!$C$7:$C$1492,0),0)),"",OFFSET('HARGA SATUAN'!$E$6,MATCH(RAB!C197,'HARGA SATUAN'!$C$7:$C$1492,0),0)))</f>
        <v>Bh</v>
      </c>
      <c r="F197" s="484">
        <f>F195*1</f>
        <v>2</v>
      </c>
      <c r="G197" s="360">
        <f ca="1">IF(ISERROR(OFFSET('HARGA SATUAN'!$I$6,MATCH(RAB!C197,'HARGA SATUAN'!$C$7:$C$1492,0),0)),0,OFFSET('HARGA SATUAN'!$I$6,MATCH(RAB!C197,'HARGA SATUAN'!$C$7:$C$1492,0),0))</f>
        <v>47459</v>
      </c>
      <c r="H197" s="361">
        <f t="shared" ca="1" si="48"/>
        <v>0</v>
      </c>
      <c r="I197" s="361">
        <f t="shared" ca="1" si="49"/>
        <v>94918</v>
      </c>
      <c r="J197" s="361">
        <f t="shared" ca="1" si="50"/>
        <v>0</v>
      </c>
      <c r="K197" s="362">
        <f t="shared" ca="1" si="51"/>
        <v>94918</v>
      </c>
    </row>
    <row r="198" spans="2:11">
      <c r="B198" s="505">
        <v>3</v>
      </c>
      <c r="C198" s="506" t="s">
        <v>31</v>
      </c>
      <c r="D198" s="358" t="str">
        <f ca="1">IF(ISERROR(OFFSET('HARGA SATUAN'!$D$6,MATCH(RAB!C198,'HARGA SATUAN'!$C$7:$C$1492,0),0)),"",OFFSET('HARGA SATUAN'!$D$6,MATCH(RAB!C198,'HARGA SATUAN'!$C$7:$C$1492,0),0))</f>
        <v>HDW</v>
      </c>
      <c r="E198" s="359" t="str">
        <f ca="1">IF(B198="+","Unit",IF(ISERROR(OFFSET('HARGA SATUAN'!$E$6,MATCH(RAB!C198,'HARGA SATUAN'!$C$7:$C$1492,0),0)),"",OFFSET('HARGA SATUAN'!$E$6,MATCH(RAB!C198,'HARGA SATUAN'!$C$7:$C$1492,0),0)))</f>
        <v>Bh</v>
      </c>
      <c r="F198" s="484">
        <f>F195*1</f>
        <v>2</v>
      </c>
      <c r="G198" s="360">
        <f ca="1">IF(ISERROR(OFFSET('HARGA SATUAN'!$I$6,MATCH(RAB!C198,'HARGA SATUAN'!$C$7:$C$1492,0),0)),0,OFFSET('HARGA SATUAN'!$I$6,MATCH(RAB!C198,'HARGA SATUAN'!$C$7:$C$1492,0),0))</f>
        <v>4880</v>
      </c>
      <c r="H198" s="361">
        <f t="shared" ca="1" si="48"/>
        <v>0</v>
      </c>
      <c r="I198" s="361">
        <f t="shared" ca="1" si="49"/>
        <v>9760</v>
      </c>
      <c r="J198" s="361">
        <f t="shared" ca="1" si="50"/>
        <v>0</v>
      </c>
      <c r="K198" s="362">
        <f t="shared" ca="1" si="51"/>
        <v>9760</v>
      </c>
    </row>
    <row r="199" spans="2:11">
      <c r="B199" s="505">
        <v>4</v>
      </c>
      <c r="C199" s="506" t="s">
        <v>32</v>
      </c>
      <c r="D199" s="358" t="str">
        <f ca="1">IF(ISERROR(OFFSET('HARGA SATUAN'!$D$6,MATCH(RAB!C199,'HARGA SATUAN'!$C$7:$C$1492,0),0)),"",OFFSET('HARGA SATUAN'!$D$6,MATCH(RAB!C199,'HARGA SATUAN'!$C$7:$C$1492,0),0))</f>
        <v>HDW</v>
      </c>
      <c r="E199" s="359" t="str">
        <f ca="1">IF(B199="+","Unit",IF(ISERROR(OFFSET('HARGA SATUAN'!$E$6,MATCH(RAB!C199,'HARGA SATUAN'!$C$7:$C$1492,0),0)),"",OFFSET('HARGA SATUAN'!$E$6,MATCH(RAB!C199,'HARGA SATUAN'!$C$7:$C$1492,0),0)))</f>
        <v>Mtr</v>
      </c>
      <c r="F199" s="484">
        <f>F195*10</f>
        <v>20</v>
      </c>
      <c r="G199" s="360">
        <f ca="1">IF(ISERROR(OFFSET('HARGA SATUAN'!$I$6,MATCH(RAB!C199,'HARGA SATUAN'!$C$7:$C$1492,0),0)),0,OFFSET('HARGA SATUAN'!$I$6,MATCH(RAB!C199,'HARGA SATUAN'!$C$7:$C$1492,0),0))</f>
        <v>30000</v>
      </c>
      <c r="H199" s="361">
        <f t="shared" ca="1" si="48"/>
        <v>0</v>
      </c>
      <c r="I199" s="361">
        <f t="shared" ca="1" si="49"/>
        <v>600000</v>
      </c>
      <c r="J199" s="361">
        <f t="shared" ca="1" si="50"/>
        <v>0</v>
      </c>
      <c r="K199" s="362">
        <f t="shared" ca="1" si="51"/>
        <v>600000</v>
      </c>
    </row>
    <row r="200" spans="2:11">
      <c r="B200" s="505">
        <v>5</v>
      </c>
      <c r="C200" s="506" t="s">
        <v>33</v>
      </c>
      <c r="D200" s="358" t="str">
        <f ca="1">IF(ISERROR(OFFSET('HARGA SATUAN'!$D$6,MATCH(RAB!C200,'HARGA SATUAN'!$C$7:$C$1492,0),0)),"",OFFSET('HARGA SATUAN'!$D$6,MATCH(RAB!C200,'HARGA SATUAN'!$C$7:$C$1492,0),0))</f>
        <v>HDW</v>
      </c>
      <c r="E200" s="359" t="str">
        <f ca="1">IF(B200="+","Unit",IF(ISERROR(OFFSET('HARGA SATUAN'!$E$6,MATCH(RAB!C200,'HARGA SATUAN'!$C$7:$C$1492,0),0)),"",OFFSET('HARGA SATUAN'!$E$6,MATCH(RAB!C200,'HARGA SATUAN'!$C$7:$C$1492,0),0)))</f>
        <v>Bh</v>
      </c>
      <c r="F200" s="484">
        <f>F195*2</f>
        <v>4</v>
      </c>
      <c r="G200" s="360">
        <f ca="1">IF(ISERROR(OFFSET('HARGA SATUAN'!$I$6,MATCH(RAB!C200,'HARGA SATUAN'!$C$7:$C$1492,0),0)),0,OFFSET('HARGA SATUAN'!$I$6,MATCH(RAB!C200,'HARGA SATUAN'!$C$7:$C$1492,0),0))</f>
        <v>9500</v>
      </c>
      <c r="H200" s="361">
        <f t="shared" ca="1" si="48"/>
        <v>0</v>
      </c>
      <c r="I200" s="361">
        <f t="shared" ca="1" si="49"/>
        <v>38000</v>
      </c>
      <c r="J200" s="361">
        <f t="shared" ca="1" si="50"/>
        <v>0</v>
      </c>
      <c r="K200" s="362">
        <f t="shared" ca="1" si="51"/>
        <v>38000</v>
      </c>
    </row>
    <row r="201" spans="2:11">
      <c r="B201" s="505">
        <v>6</v>
      </c>
      <c r="C201" s="506" t="s">
        <v>34</v>
      </c>
      <c r="D201" s="358" t="str">
        <f ca="1">IF(ISERROR(OFFSET('HARGA SATUAN'!$D$6,MATCH(RAB!C201,'HARGA SATUAN'!$C$7:$C$1492,0),0)),"",OFFSET('HARGA SATUAN'!$D$6,MATCH(RAB!C201,'HARGA SATUAN'!$C$7:$C$1492,0),0))</f>
        <v>HDW</v>
      </c>
      <c r="E201" s="359" t="str">
        <f ca="1">IF(B201="+","Unit",IF(ISERROR(OFFSET('HARGA SATUAN'!$E$6,MATCH(RAB!C201,'HARGA SATUAN'!$C$7:$C$1492,0),0)),"",OFFSET('HARGA SATUAN'!$E$6,MATCH(RAB!C201,'HARGA SATUAN'!$C$7:$C$1492,0),0)))</f>
        <v>Bh</v>
      </c>
      <c r="F201" s="484">
        <f>F195*5.5</f>
        <v>11</v>
      </c>
      <c r="G201" s="360">
        <f ca="1">IF(ISERROR(OFFSET('HARGA SATUAN'!$I$6,MATCH(RAB!C201,'HARGA SATUAN'!$C$7:$C$1492,0),0)),0,OFFSET('HARGA SATUAN'!$I$6,MATCH(RAB!C201,'HARGA SATUAN'!$C$7:$C$1492,0),0))</f>
        <v>6100</v>
      </c>
      <c r="H201" s="361">
        <f t="shared" ca="1" si="48"/>
        <v>0</v>
      </c>
      <c r="I201" s="361">
        <f t="shared" ca="1" si="49"/>
        <v>67100</v>
      </c>
      <c r="J201" s="361">
        <f t="shared" ca="1" si="50"/>
        <v>0</v>
      </c>
      <c r="K201" s="362">
        <f t="shared" ca="1" si="51"/>
        <v>67100</v>
      </c>
    </row>
    <row r="202" spans="2:11">
      <c r="B202" s="505">
        <v>7</v>
      </c>
      <c r="C202" s="506" t="s">
        <v>35</v>
      </c>
      <c r="D202" s="358" t="str">
        <f ca="1">IF(ISERROR(OFFSET('HARGA SATUAN'!$D$6,MATCH(RAB!C202,'HARGA SATUAN'!$C$7:$C$1492,0),0)),"",OFFSET('HARGA SATUAN'!$D$6,MATCH(RAB!C202,'HARGA SATUAN'!$C$7:$C$1492,0),0))</f>
        <v>HDW</v>
      </c>
      <c r="E202" s="359" t="str">
        <f ca="1">IF(B202="+","Unit",IF(ISERROR(OFFSET('HARGA SATUAN'!$E$6,MATCH(RAB!C202,'HARGA SATUAN'!$C$7:$C$1492,0),0)),"",OFFSET('HARGA SATUAN'!$E$6,MATCH(RAB!C202,'HARGA SATUAN'!$C$7:$C$1492,0),0)))</f>
        <v>Bh</v>
      </c>
      <c r="F202" s="484">
        <f>F195*6</f>
        <v>12</v>
      </c>
      <c r="G202" s="360">
        <f ca="1">IF(ISERROR(OFFSET('HARGA SATUAN'!$I$6,MATCH(RAB!C202,'HARGA SATUAN'!$C$7:$C$1492,0),0)),0,OFFSET('HARGA SATUAN'!$I$6,MATCH(RAB!C202,'HARGA SATUAN'!$C$7:$C$1492,0),0))</f>
        <v>2300</v>
      </c>
      <c r="H202" s="361">
        <f t="shared" ca="1" si="48"/>
        <v>0</v>
      </c>
      <c r="I202" s="361">
        <f t="shared" ca="1" si="49"/>
        <v>27600</v>
      </c>
      <c r="J202" s="361">
        <f t="shared" ca="1" si="50"/>
        <v>0</v>
      </c>
      <c r="K202" s="362">
        <f t="shared" ca="1" si="51"/>
        <v>27600</v>
      </c>
    </row>
    <row r="203" spans="2:11">
      <c r="B203" s="505">
        <v>8</v>
      </c>
      <c r="C203" s="506" t="s">
        <v>1621</v>
      </c>
      <c r="D203" s="358" t="str">
        <f ca="1">IF(ISERROR(OFFSET('HARGA SATUAN'!$D$6,MATCH(RAB!C203,'HARGA SATUAN'!$C$7:$C$1492,0),0)),"",OFFSET('HARGA SATUAN'!$D$6,MATCH(RAB!C203,'HARGA SATUAN'!$C$7:$C$1492,0),0))</f>
        <v>HDW</v>
      </c>
      <c r="E203" s="359" t="str">
        <f ca="1">IF(B203="+","Unit",IF(ISERROR(OFFSET('HARGA SATUAN'!$E$6,MATCH(RAB!C203,'HARGA SATUAN'!$C$7:$C$1492,0),0)),"",OFFSET('HARGA SATUAN'!$E$6,MATCH(RAB!C203,'HARGA SATUAN'!$C$7:$C$1492,0),0)))</f>
        <v>Mtr</v>
      </c>
      <c r="F203" s="484">
        <f>F195*4.8</f>
        <v>9.6</v>
      </c>
      <c r="G203" s="360">
        <f ca="1">IF(ISERROR(OFFSET('HARGA SATUAN'!$I$6,MATCH(RAB!C203,'HARGA SATUAN'!$C$7:$C$1492,0),0)),0,OFFSET('HARGA SATUAN'!$I$6,MATCH(RAB!C203,'HARGA SATUAN'!$C$7:$C$1492,0),0))</f>
        <v>23310</v>
      </c>
      <c r="H203" s="361">
        <f t="shared" ca="1" si="48"/>
        <v>0</v>
      </c>
      <c r="I203" s="361">
        <f t="shared" ca="1" si="49"/>
        <v>223776</v>
      </c>
      <c r="J203" s="361">
        <f t="shared" ca="1" si="50"/>
        <v>0</v>
      </c>
      <c r="K203" s="362">
        <f t="shared" ca="1" si="51"/>
        <v>223776</v>
      </c>
    </row>
    <row r="204" spans="2:11">
      <c r="B204" s="505">
        <v>9</v>
      </c>
      <c r="C204" s="506" t="s">
        <v>736</v>
      </c>
      <c r="D204" s="358" t="str">
        <f ca="1">IF(ISERROR(OFFSET('HARGA SATUAN'!$D$6,MATCH(RAB!C204,'HARGA SATUAN'!$C$7:$C$1492,0),0)),"",OFFSET('HARGA SATUAN'!$D$6,MATCH(RAB!C204,'HARGA SATUAN'!$C$7:$C$1492,0),0))</f>
        <v>JASA</v>
      </c>
      <c r="E204" s="359" t="str">
        <f ca="1">IF(B204="+","Unit",IF(ISERROR(OFFSET('HARGA SATUAN'!$E$6,MATCH(RAB!C204,'HARGA SATUAN'!$C$7:$C$1492,0),0)),"",OFFSET('HARGA SATUAN'!$E$6,MATCH(RAB!C204,'HARGA SATUAN'!$C$7:$C$1492,0),0)))</f>
        <v>Unit</v>
      </c>
      <c r="F204" s="484">
        <f>F195*1</f>
        <v>2</v>
      </c>
      <c r="G204" s="360">
        <f ca="1">IF(ISERROR(OFFSET('HARGA SATUAN'!$I$6,MATCH(RAB!C204,'HARGA SATUAN'!$C$7:$C$1492,0),0)),0,OFFSET('HARGA SATUAN'!$I$6,MATCH(RAB!C204,'HARGA SATUAN'!$C$7:$C$1492,0),0))</f>
        <v>65400</v>
      </c>
      <c r="H204" s="361">
        <f t="shared" ca="1" si="48"/>
        <v>0</v>
      </c>
      <c r="I204" s="361">
        <f t="shared" ca="1" si="49"/>
        <v>0</v>
      </c>
      <c r="J204" s="361">
        <f t="shared" ca="1" si="50"/>
        <v>130800</v>
      </c>
      <c r="K204" s="362">
        <f t="shared" ca="1" si="51"/>
        <v>130800</v>
      </c>
    </row>
    <row r="205" spans="2:11">
      <c r="B205" s="505"/>
      <c r="C205" s="506"/>
      <c r="D205" s="358" t="str">
        <f ca="1">IF(ISERROR(OFFSET('HARGA SATUAN'!$D$6,MATCH(RAB!C205,'HARGA SATUAN'!$C$7:$C$1492,0),0)),"",OFFSET('HARGA SATUAN'!$D$6,MATCH(RAB!C205,'HARGA SATUAN'!$C$7:$C$1492,0),0))</f>
        <v/>
      </c>
      <c r="E205" s="359" t="str">
        <f ca="1">IF(B205="+","Unit",IF(ISERROR(OFFSET('HARGA SATUAN'!$E$6,MATCH(RAB!C205,'HARGA SATUAN'!$C$7:$C$1492,0),0)),"",OFFSET('HARGA SATUAN'!$E$6,MATCH(RAB!C205,'HARGA SATUAN'!$C$7:$C$1492,0),0)))</f>
        <v/>
      </c>
      <c r="F205" s="484"/>
      <c r="G205" s="360">
        <f ca="1">IF(ISERROR(OFFSET('HARGA SATUAN'!$I$6,MATCH(RAB!C205,'HARGA SATUAN'!$C$7:$C$1492,0),0)),0,OFFSET('HARGA SATUAN'!$I$6,MATCH(RAB!C205,'HARGA SATUAN'!$C$7:$C$1492,0),0))</f>
        <v>0</v>
      </c>
      <c r="H205" s="361">
        <f t="shared" ref="H205:H228" ca="1" si="52">IF(OR(D205="MDU",D205="MDU-KD"),(IF($O$3="RAB NON MDU","PLN KD",G205*F205)),0)</f>
        <v>0</v>
      </c>
      <c r="I205" s="361">
        <f t="shared" ref="I205:I228" ca="1" si="53">IF(D205="HDW",G205*F205,0)</f>
        <v>0</v>
      </c>
      <c r="J205" s="361">
        <f t="shared" ref="J205:J228" ca="1" si="54">IF(D205="JASA",G205*F205,0)</f>
        <v>0</v>
      </c>
      <c r="K205" s="362">
        <f t="shared" ref="K205:K228" ca="1" si="55">SUM(H205:J205)</f>
        <v>0</v>
      </c>
    </row>
    <row r="206" spans="2:11">
      <c r="B206" s="373" t="s">
        <v>1549</v>
      </c>
      <c r="C206" s="374" t="s">
        <v>1456</v>
      </c>
      <c r="D206" s="358" t="str">
        <f ca="1">IF(ISERROR(OFFSET('HARGA SATUAN'!$D$6,MATCH(RAB!C206,'HARGA SATUAN'!$C$7:$C$1492,0),0)),"",OFFSET('HARGA SATUAN'!$D$6,MATCH(RAB!C206,'HARGA SATUAN'!$C$7:$C$1492,0),0))</f>
        <v/>
      </c>
      <c r="E206" s="359" t="str">
        <f ca="1">IF(B206="+","Unit",IF(ISERROR(OFFSET('HARGA SATUAN'!$E$6,MATCH(RAB!C206,'HARGA SATUAN'!$C$7:$C$1492,0),0)),"",OFFSET('HARGA SATUAN'!$E$6,MATCH(RAB!C206,'HARGA SATUAN'!$C$7:$C$1492,0),0)))</f>
        <v/>
      </c>
      <c r="F206" s="484"/>
      <c r="G206" s="360">
        <f ca="1">IF(ISERROR(OFFSET('HARGA SATUAN'!$I$6,MATCH(RAB!C206,'HARGA SATUAN'!$C$7:$C$1492,0),0)),0,OFFSET('HARGA SATUAN'!$I$6,MATCH(RAB!C206,'HARGA SATUAN'!$C$7:$C$1492,0),0))</f>
        <v>0</v>
      </c>
      <c r="H206" s="361">
        <f t="shared" ca="1" si="52"/>
        <v>0</v>
      </c>
      <c r="I206" s="361">
        <f t="shared" ca="1" si="53"/>
        <v>0</v>
      </c>
      <c r="J206" s="361">
        <f t="shared" ca="1" si="54"/>
        <v>0</v>
      </c>
      <c r="K206" s="362">
        <f t="shared" ca="1" si="55"/>
        <v>0</v>
      </c>
    </row>
    <row r="207" spans="2:11">
      <c r="B207" s="505"/>
      <c r="C207" s="506"/>
      <c r="D207" s="358" t="str">
        <f ca="1">IF(ISERROR(OFFSET('HARGA SATUAN'!$D$6,MATCH(RAB!C207,'HARGA SATUAN'!$C$7:$C$1492,0),0)),"",OFFSET('HARGA SATUAN'!$D$6,MATCH(RAB!C207,'HARGA SATUAN'!$C$7:$C$1492,0),0))</f>
        <v/>
      </c>
      <c r="E207" s="359" t="str">
        <f ca="1">IF(B207="+","Unit",IF(ISERROR(OFFSET('HARGA SATUAN'!$E$6,MATCH(RAB!C207,'HARGA SATUAN'!$C$7:$C$1492,0),0)),"",OFFSET('HARGA SATUAN'!$E$6,MATCH(RAB!C207,'HARGA SATUAN'!$C$7:$C$1492,0),0)))</f>
        <v/>
      </c>
      <c r="F207" s="484"/>
      <c r="G207" s="360">
        <f ca="1">IF(ISERROR(OFFSET('HARGA SATUAN'!$I$6,MATCH(RAB!C207,'HARGA SATUAN'!$C$7:$C$1492,0),0)),0,OFFSET('HARGA SATUAN'!$I$6,MATCH(RAB!C207,'HARGA SATUAN'!$C$7:$C$1492,0),0))</f>
        <v>0</v>
      </c>
      <c r="H207" s="361">
        <f t="shared" ca="1" si="52"/>
        <v>0</v>
      </c>
      <c r="I207" s="361">
        <f t="shared" ca="1" si="53"/>
        <v>0</v>
      </c>
      <c r="J207" s="361">
        <f t="shared" ca="1" si="54"/>
        <v>0</v>
      </c>
      <c r="K207" s="362">
        <f t="shared" ca="1" si="55"/>
        <v>0</v>
      </c>
    </row>
    <row r="208" spans="2:11">
      <c r="B208" s="499" t="s">
        <v>1034</v>
      </c>
      <c r="C208" s="500" t="s">
        <v>1650</v>
      </c>
      <c r="D208" s="358" t="str">
        <f ca="1">IF(ISERROR(OFFSET('HARGA SATUAN'!$D$6,MATCH(RAB!C208,'HARGA SATUAN'!$C$7:$C$1492,0),0)),"",OFFSET('HARGA SATUAN'!$D$6,MATCH(RAB!C208,'HARGA SATUAN'!$C$7:$C$1492,0),0))</f>
        <v/>
      </c>
      <c r="E208" s="359" t="str">
        <f ca="1">IF(B208="+","Unit",IF(ISERROR(OFFSET('HARGA SATUAN'!$E$6,MATCH(RAB!C208,'HARGA SATUAN'!$C$7:$C$1492,0),0)),"",OFFSET('HARGA SATUAN'!$E$6,MATCH(RAB!C208,'HARGA SATUAN'!$C$7:$C$1492,0),0)))</f>
        <v>Unit</v>
      </c>
      <c r="F208" s="504">
        <v>1</v>
      </c>
      <c r="G208" s="360">
        <f ca="1">IF(ISERROR(OFFSET('HARGA SATUAN'!$I$6,MATCH(RAB!C208,'HARGA SATUAN'!$C$7:$C$1492,0),0)),0,OFFSET('HARGA SATUAN'!$I$6,MATCH(RAB!C208,'HARGA SATUAN'!$C$7:$C$1492,0),0))</f>
        <v>0</v>
      </c>
      <c r="H208" s="361">
        <f t="shared" ca="1" si="52"/>
        <v>0</v>
      </c>
      <c r="I208" s="361">
        <f t="shared" ca="1" si="53"/>
        <v>0</v>
      </c>
      <c r="J208" s="361">
        <f t="shared" ca="1" si="54"/>
        <v>0</v>
      </c>
      <c r="K208" s="362">
        <f t="shared" ca="1" si="55"/>
        <v>0</v>
      </c>
    </row>
    <row r="209" spans="2:11" ht="30">
      <c r="B209" s="505">
        <v>1</v>
      </c>
      <c r="C209" s="109" t="s">
        <v>1196</v>
      </c>
      <c r="D209" s="358" t="str">
        <f ca="1">IF(ISERROR(OFFSET('HARGA SATUAN'!$D$6,MATCH(RAB!C209,'HARGA SATUAN'!$C$7:$C$1492,0),0)),"",OFFSET('HARGA SATUAN'!$D$6,MATCH(RAB!C209,'HARGA SATUAN'!$C$7:$C$1492,0),0))</f>
        <v>MDU-KD</v>
      </c>
      <c r="E209" s="359" t="str">
        <f ca="1">IF(B209="+","Unit",IF(ISERROR(OFFSET('HARGA SATUAN'!$E$6,MATCH(RAB!C209,'HARGA SATUAN'!$C$7:$C$1492,0),0)),"",OFFSET('HARGA SATUAN'!$E$6,MATCH(RAB!C209,'HARGA SATUAN'!$C$7:$C$1492,0),0)))</f>
        <v>Bh</v>
      </c>
      <c r="F209" s="504">
        <f>F208*1</f>
        <v>1</v>
      </c>
      <c r="G209" s="360">
        <f ca="1">IF(ISERROR(OFFSET('HARGA SATUAN'!$I$6,MATCH(RAB!C209,'HARGA SATUAN'!$C$7:$C$1492,0),0)),0,OFFSET('HARGA SATUAN'!$I$6,MATCH(RAB!C209,'HARGA SATUAN'!$C$7:$C$1492,0),0))</f>
        <v>1427400</v>
      </c>
      <c r="H209" s="361">
        <f t="shared" ca="1" si="52"/>
        <v>1427400</v>
      </c>
      <c r="I209" s="361">
        <f t="shared" ca="1" si="53"/>
        <v>0</v>
      </c>
      <c r="J209" s="361">
        <f t="shared" ca="1" si="54"/>
        <v>0</v>
      </c>
      <c r="K209" s="362">
        <f t="shared" ca="1" si="55"/>
        <v>1427400</v>
      </c>
    </row>
    <row r="210" spans="2:11">
      <c r="B210" s="505">
        <v>2</v>
      </c>
      <c r="C210" s="512" t="s">
        <v>513</v>
      </c>
      <c r="D210" s="358" t="str">
        <f ca="1">IF(ISERROR(OFFSET('HARGA SATUAN'!$D$6,MATCH(RAB!C210,'HARGA SATUAN'!$C$7:$C$1492,0),0)),"",OFFSET('HARGA SATUAN'!$D$6,MATCH(RAB!C210,'HARGA SATUAN'!$C$7:$C$1492,0),0))</f>
        <v>MDU-KD</v>
      </c>
      <c r="E210" s="359" t="str">
        <f ca="1">IF(B210="+","Unit",IF(ISERROR(OFFSET('HARGA SATUAN'!$E$6,MATCH(RAB!C210,'HARGA SATUAN'!$C$7:$C$1492,0),0)),"",OFFSET('HARGA SATUAN'!$E$6,MATCH(RAB!C210,'HARGA SATUAN'!$C$7:$C$1492,0),0)))</f>
        <v>Unit</v>
      </c>
      <c r="F210" s="504">
        <f>F208*1</f>
        <v>1</v>
      </c>
      <c r="G210" s="360">
        <f ca="1">IF(ISERROR(OFFSET('HARGA SATUAN'!$I$6,MATCH(RAB!C210,'HARGA SATUAN'!$C$7:$C$1492,0),0)),0,OFFSET('HARGA SATUAN'!$I$6,MATCH(RAB!C210,'HARGA SATUAN'!$C$7:$C$1492,0),0))</f>
        <v>3564900</v>
      </c>
      <c r="H210" s="361">
        <f t="shared" ca="1" si="52"/>
        <v>3564900</v>
      </c>
      <c r="I210" s="361">
        <f t="shared" ca="1" si="53"/>
        <v>0</v>
      </c>
      <c r="J210" s="361">
        <f t="shared" ca="1" si="54"/>
        <v>0</v>
      </c>
      <c r="K210" s="362">
        <f t="shared" ca="1" si="55"/>
        <v>3564900</v>
      </c>
    </row>
    <row r="211" spans="2:11">
      <c r="B211" s="505">
        <v>3</v>
      </c>
      <c r="C211" s="512" t="s">
        <v>1141</v>
      </c>
      <c r="D211" s="358" t="str">
        <f ca="1">IF(ISERROR(OFFSET('HARGA SATUAN'!$D$6,MATCH(RAB!C211,'HARGA SATUAN'!$C$7:$C$1492,0),0)),"",OFFSET('HARGA SATUAN'!$D$6,MATCH(RAB!C211,'HARGA SATUAN'!$C$7:$C$1492,0),0))</f>
        <v>HDW</v>
      </c>
      <c r="E211" s="359" t="str">
        <f ca="1">IF(B211="+","Unit",IF(ISERROR(OFFSET('HARGA SATUAN'!$E$6,MATCH(RAB!C211,'HARGA SATUAN'!$C$7:$C$1492,0),0)),"",OFFSET('HARGA SATUAN'!$E$6,MATCH(RAB!C211,'HARGA SATUAN'!$C$7:$C$1492,0),0)))</f>
        <v>Unit</v>
      </c>
      <c r="F211" s="504">
        <f>F208*1</f>
        <v>1</v>
      </c>
      <c r="G211" s="360">
        <f ca="1">IF(ISERROR(OFFSET('HARGA SATUAN'!$I$6,MATCH(RAB!C211,'HARGA SATUAN'!$C$7:$C$1492,0),0)),0,OFFSET('HARGA SATUAN'!$I$6,MATCH(RAB!C211,'HARGA SATUAN'!$C$7:$C$1492,0),0))</f>
        <v>1113900</v>
      </c>
      <c r="H211" s="361">
        <f t="shared" ca="1" si="52"/>
        <v>0</v>
      </c>
      <c r="I211" s="361">
        <f t="shared" ca="1" si="53"/>
        <v>1113900</v>
      </c>
      <c r="J211" s="361">
        <f t="shared" ca="1" si="54"/>
        <v>0</v>
      </c>
      <c r="K211" s="362">
        <f t="shared" ca="1" si="55"/>
        <v>1113900</v>
      </c>
    </row>
    <row r="212" spans="2:11">
      <c r="B212" s="505">
        <v>4</v>
      </c>
      <c r="C212" s="109" t="s">
        <v>573</v>
      </c>
      <c r="D212" s="358" t="str">
        <f ca="1">IF(ISERROR(OFFSET('HARGA SATUAN'!$D$6,MATCH(RAB!C212,'HARGA SATUAN'!$C$7:$C$1492,0),0)),"",OFFSET('HARGA SATUAN'!$D$6,MATCH(RAB!C212,'HARGA SATUAN'!$C$7:$C$1492,0),0))</f>
        <v>HDW</v>
      </c>
      <c r="E212" s="359" t="str">
        <f ca="1">IF(B212="+","Unit",IF(ISERROR(OFFSET('HARGA SATUAN'!$E$6,MATCH(RAB!C212,'HARGA SATUAN'!$C$7:$C$1492,0),0)),"",OFFSET('HARGA SATUAN'!$E$6,MATCH(RAB!C212,'HARGA SATUAN'!$C$7:$C$1492,0),0)))</f>
        <v>Mtr</v>
      </c>
      <c r="F212" s="504">
        <v>12</v>
      </c>
      <c r="G212" s="360">
        <f ca="1">IF(ISERROR(OFFSET('HARGA SATUAN'!$I$6,MATCH(RAB!C212,'HARGA SATUAN'!$C$7:$C$1492,0),0)),0,OFFSET('HARGA SATUAN'!$I$6,MATCH(RAB!C212,'HARGA SATUAN'!$C$7:$C$1492,0),0))</f>
        <v>164883</v>
      </c>
      <c r="H212" s="361">
        <f t="shared" ca="1" si="52"/>
        <v>0</v>
      </c>
      <c r="I212" s="361">
        <f t="shared" ca="1" si="53"/>
        <v>1978596</v>
      </c>
      <c r="J212" s="361">
        <f t="shared" ca="1" si="54"/>
        <v>0</v>
      </c>
      <c r="K212" s="362">
        <f t="shared" ca="1" si="55"/>
        <v>1978596</v>
      </c>
    </row>
    <row r="213" spans="2:11">
      <c r="B213" s="505">
        <v>5</v>
      </c>
      <c r="C213" s="512" t="s">
        <v>799</v>
      </c>
      <c r="D213" s="358" t="str">
        <f ca="1">IF(ISERROR(OFFSET('HARGA SATUAN'!$D$6,MATCH(RAB!C213,'HARGA SATUAN'!$C$7:$C$1492,0),0)),"",OFFSET('HARGA SATUAN'!$D$6,MATCH(RAB!C213,'HARGA SATUAN'!$C$7:$C$1492,0),0))</f>
        <v>JASA</v>
      </c>
      <c r="E213" s="359" t="str">
        <f ca="1">IF(B213="+","Unit",IF(ISERROR(OFFSET('HARGA SATUAN'!$E$6,MATCH(RAB!C213,'HARGA SATUAN'!$C$7:$C$1492,0),0)),"",OFFSET('HARGA SATUAN'!$E$6,MATCH(RAB!C213,'HARGA SATUAN'!$C$7:$C$1492,0),0)))</f>
        <v>Unit</v>
      </c>
      <c r="F213" s="504">
        <f>F208*1</f>
        <v>1</v>
      </c>
      <c r="G213" s="360">
        <f ca="1">IF(ISERROR(OFFSET('HARGA SATUAN'!$I$6,MATCH(RAB!C213,'HARGA SATUAN'!$C$7:$C$1492,0),0)),0,OFFSET('HARGA SATUAN'!$I$6,MATCH(RAB!C213,'HARGA SATUAN'!$C$7:$C$1492,0),0))</f>
        <v>106400</v>
      </c>
      <c r="H213" s="361">
        <f t="shared" ca="1" si="52"/>
        <v>0</v>
      </c>
      <c r="I213" s="361">
        <f t="shared" ca="1" si="53"/>
        <v>0</v>
      </c>
      <c r="J213" s="361">
        <f t="shared" ca="1" si="54"/>
        <v>106400</v>
      </c>
      <c r="K213" s="362">
        <f t="shared" ca="1" si="55"/>
        <v>106400</v>
      </c>
    </row>
    <row r="214" spans="2:11">
      <c r="B214" s="505"/>
      <c r="C214" s="506"/>
      <c r="D214" s="358" t="str">
        <f ca="1">IF(ISERROR(OFFSET('HARGA SATUAN'!$D$6,MATCH(RAB!C214,'HARGA SATUAN'!$C$7:$C$1492,0),0)),"",OFFSET('HARGA SATUAN'!$D$6,MATCH(RAB!C214,'HARGA SATUAN'!$C$7:$C$1492,0),0))</f>
        <v/>
      </c>
      <c r="E214" s="359" t="str">
        <f ca="1">IF(B214="+","Unit",IF(ISERROR(OFFSET('HARGA SATUAN'!$E$6,MATCH(RAB!C214,'HARGA SATUAN'!$C$7:$C$1492,0),0)),"",OFFSET('HARGA SATUAN'!$E$6,MATCH(RAB!C214,'HARGA SATUAN'!$C$7:$C$1492,0),0)))</f>
        <v/>
      </c>
      <c r="F214" s="484"/>
      <c r="G214" s="360">
        <f ca="1">IF(ISERROR(OFFSET('HARGA SATUAN'!$I$6,MATCH(RAB!C214,'HARGA SATUAN'!$C$7:$C$1492,0),0)),0,OFFSET('HARGA SATUAN'!$I$6,MATCH(RAB!C214,'HARGA SATUAN'!$C$7:$C$1492,0),0))</f>
        <v>0</v>
      </c>
      <c r="H214" s="361">
        <f t="shared" ca="1" si="52"/>
        <v>0</v>
      </c>
      <c r="I214" s="361">
        <f t="shared" ca="1" si="53"/>
        <v>0</v>
      </c>
      <c r="J214" s="361">
        <f t="shared" ca="1" si="54"/>
        <v>0</v>
      </c>
      <c r="K214" s="362">
        <f t="shared" ca="1" si="55"/>
        <v>0</v>
      </c>
    </row>
    <row r="215" spans="2:11">
      <c r="B215" s="505" t="s">
        <v>1034</v>
      </c>
      <c r="C215" s="506" t="s">
        <v>1622</v>
      </c>
      <c r="D215" s="358" t="str">
        <f ca="1">IF(ISERROR(OFFSET('HARGA SATUAN'!$D$6,MATCH(RAB!C215,'HARGA SATUAN'!$C$7:$C$1492,0),0)),"",OFFSET('HARGA SATUAN'!$D$6,MATCH(RAB!C215,'HARGA SATUAN'!$C$7:$C$1492,0),0))</f>
        <v/>
      </c>
      <c r="E215" s="359" t="str">
        <f ca="1">IF(B215="+","Unit",IF(ISERROR(OFFSET('HARGA SATUAN'!$E$6,MATCH(RAB!C215,'HARGA SATUAN'!$C$7:$C$1492,0),0)),"",OFFSET('HARGA SATUAN'!$E$6,MATCH(RAB!C215,'HARGA SATUAN'!$C$7:$C$1492,0),0)))</f>
        <v>Unit</v>
      </c>
      <c r="F215" s="484">
        <v>1</v>
      </c>
      <c r="G215" s="360">
        <f ca="1">IF(ISERROR(OFFSET('HARGA SATUAN'!$I$6,MATCH(RAB!C215,'HARGA SATUAN'!$C$7:$C$1492,0),0)),0,OFFSET('HARGA SATUAN'!$I$6,MATCH(RAB!C215,'HARGA SATUAN'!$C$7:$C$1492,0),0))</f>
        <v>0</v>
      </c>
      <c r="H215" s="361">
        <f t="shared" ca="1" si="52"/>
        <v>0</v>
      </c>
      <c r="I215" s="361">
        <f t="shared" ca="1" si="53"/>
        <v>0</v>
      </c>
      <c r="J215" s="361">
        <f t="shared" ca="1" si="54"/>
        <v>0</v>
      </c>
      <c r="K215" s="362">
        <f t="shared" ca="1" si="55"/>
        <v>0</v>
      </c>
    </row>
    <row r="216" spans="2:11">
      <c r="B216" s="505">
        <v>1</v>
      </c>
      <c r="C216" s="506" t="s">
        <v>29</v>
      </c>
      <c r="D216" s="358" t="str">
        <f ca="1">IF(ISERROR(OFFSET('HARGA SATUAN'!$D$6,MATCH(RAB!C216,'HARGA SATUAN'!$C$7:$C$1492,0),0)),"",OFFSET('HARGA SATUAN'!$D$6,MATCH(RAB!C216,'HARGA SATUAN'!$C$7:$C$1492,0),0))</f>
        <v>HDW</v>
      </c>
      <c r="E216" s="359" t="str">
        <f ca="1">IF(B216="+","Unit",IF(ISERROR(OFFSET('HARGA SATUAN'!$E$6,MATCH(RAB!C216,'HARGA SATUAN'!$C$7:$C$1492,0),0)),"",OFFSET('HARGA SATUAN'!$E$6,MATCH(RAB!C216,'HARGA SATUAN'!$C$7:$C$1492,0),0)))</f>
        <v>Bh</v>
      </c>
      <c r="F216" s="484">
        <f>F215*1</f>
        <v>1</v>
      </c>
      <c r="G216" s="360">
        <f ca="1">IF(ISERROR(OFFSET('HARGA SATUAN'!$I$6,MATCH(RAB!C216,'HARGA SATUAN'!$C$7:$C$1492,0),0)),0,OFFSET('HARGA SATUAN'!$I$6,MATCH(RAB!C216,'HARGA SATUAN'!$C$7:$C$1492,0),0))</f>
        <v>185200</v>
      </c>
      <c r="H216" s="361">
        <f t="shared" ca="1" si="52"/>
        <v>0</v>
      </c>
      <c r="I216" s="361">
        <f t="shared" ca="1" si="53"/>
        <v>185200</v>
      </c>
      <c r="J216" s="361">
        <f t="shared" ca="1" si="54"/>
        <v>0</v>
      </c>
      <c r="K216" s="362">
        <f t="shared" ca="1" si="55"/>
        <v>185200</v>
      </c>
    </row>
    <row r="217" spans="2:11">
      <c r="B217" s="505">
        <v>2</v>
      </c>
      <c r="C217" s="506" t="s">
        <v>30</v>
      </c>
      <c r="D217" s="358" t="str">
        <f ca="1">IF(ISERROR(OFFSET('HARGA SATUAN'!$D$6,MATCH(RAB!C217,'HARGA SATUAN'!$C$7:$C$1492,0),0)),"",OFFSET('HARGA SATUAN'!$D$6,MATCH(RAB!C217,'HARGA SATUAN'!$C$7:$C$1492,0),0))</f>
        <v>HDW</v>
      </c>
      <c r="E217" s="359" t="str">
        <f ca="1">IF(B217="+","Unit",IF(ISERROR(OFFSET('HARGA SATUAN'!$E$6,MATCH(RAB!C217,'HARGA SATUAN'!$C$7:$C$1492,0),0)),"",OFFSET('HARGA SATUAN'!$E$6,MATCH(RAB!C217,'HARGA SATUAN'!$C$7:$C$1492,0),0)))</f>
        <v>Bh</v>
      </c>
      <c r="F217" s="484">
        <f>F215*1</f>
        <v>1</v>
      </c>
      <c r="G217" s="360">
        <f ca="1">IF(ISERROR(OFFSET('HARGA SATUAN'!$I$6,MATCH(RAB!C217,'HARGA SATUAN'!$C$7:$C$1492,0),0)),0,OFFSET('HARGA SATUAN'!$I$6,MATCH(RAB!C217,'HARGA SATUAN'!$C$7:$C$1492,0),0))</f>
        <v>47459</v>
      </c>
      <c r="H217" s="361">
        <f t="shared" ca="1" si="52"/>
        <v>0</v>
      </c>
      <c r="I217" s="361">
        <f t="shared" ca="1" si="53"/>
        <v>47459</v>
      </c>
      <c r="J217" s="361">
        <f t="shared" ca="1" si="54"/>
        <v>0</v>
      </c>
      <c r="K217" s="362">
        <f t="shared" ca="1" si="55"/>
        <v>47459</v>
      </c>
    </row>
    <row r="218" spans="2:11">
      <c r="B218" s="505">
        <v>3</v>
      </c>
      <c r="C218" s="506" t="s">
        <v>32</v>
      </c>
      <c r="D218" s="358" t="str">
        <f ca="1">IF(ISERROR(OFFSET('HARGA SATUAN'!$D$6,MATCH(RAB!C218,'HARGA SATUAN'!$C$7:$C$1492,0),0)),"",OFFSET('HARGA SATUAN'!$D$6,MATCH(RAB!C218,'HARGA SATUAN'!$C$7:$C$1492,0),0))</f>
        <v>HDW</v>
      </c>
      <c r="E218" s="359" t="str">
        <f ca="1">IF(B218="+","Unit",IF(ISERROR(OFFSET('HARGA SATUAN'!$E$6,MATCH(RAB!C218,'HARGA SATUAN'!$C$7:$C$1492,0),0)),"",OFFSET('HARGA SATUAN'!$E$6,MATCH(RAB!C218,'HARGA SATUAN'!$C$7:$C$1492,0),0)))</f>
        <v>Mtr</v>
      </c>
      <c r="F218" s="484">
        <f>F215*1.5</f>
        <v>1.5</v>
      </c>
      <c r="G218" s="360">
        <f ca="1">IF(ISERROR(OFFSET('HARGA SATUAN'!$I$6,MATCH(RAB!C218,'HARGA SATUAN'!$C$7:$C$1492,0),0)),0,OFFSET('HARGA SATUAN'!$I$6,MATCH(RAB!C218,'HARGA SATUAN'!$C$7:$C$1492,0),0))</f>
        <v>30000</v>
      </c>
      <c r="H218" s="361">
        <f t="shared" ca="1" si="52"/>
        <v>0</v>
      </c>
      <c r="I218" s="361">
        <f t="shared" ca="1" si="53"/>
        <v>45000</v>
      </c>
      <c r="J218" s="361">
        <f t="shared" ca="1" si="54"/>
        <v>0</v>
      </c>
      <c r="K218" s="362">
        <f t="shared" ca="1" si="55"/>
        <v>45000</v>
      </c>
    </row>
    <row r="219" spans="2:11">
      <c r="B219" s="505">
        <v>4</v>
      </c>
      <c r="C219" s="506" t="s">
        <v>33</v>
      </c>
      <c r="D219" s="358" t="str">
        <f ca="1">IF(ISERROR(OFFSET('HARGA SATUAN'!$D$6,MATCH(RAB!C219,'HARGA SATUAN'!$C$7:$C$1492,0),0)),"",OFFSET('HARGA SATUAN'!$D$6,MATCH(RAB!C219,'HARGA SATUAN'!$C$7:$C$1492,0),0))</f>
        <v>HDW</v>
      </c>
      <c r="E219" s="359" t="str">
        <f ca="1">IF(B219="+","Unit",IF(ISERROR(OFFSET('HARGA SATUAN'!$E$6,MATCH(RAB!C219,'HARGA SATUAN'!$C$7:$C$1492,0),0)),"",OFFSET('HARGA SATUAN'!$E$6,MATCH(RAB!C219,'HARGA SATUAN'!$C$7:$C$1492,0),0)))</f>
        <v>Bh</v>
      </c>
      <c r="F219" s="484">
        <f>F215*2</f>
        <v>2</v>
      </c>
      <c r="G219" s="360">
        <f ca="1">IF(ISERROR(OFFSET('HARGA SATUAN'!$I$6,MATCH(RAB!C219,'HARGA SATUAN'!$C$7:$C$1492,0),0)),0,OFFSET('HARGA SATUAN'!$I$6,MATCH(RAB!C219,'HARGA SATUAN'!$C$7:$C$1492,0),0))</f>
        <v>9500</v>
      </c>
      <c r="H219" s="361">
        <f t="shared" ca="1" si="52"/>
        <v>0</v>
      </c>
      <c r="I219" s="361">
        <f t="shared" ca="1" si="53"/>
        <v>19000</v>
      </c>
      <c r="J219" s="361">
        <f t="shared" ca="1" si="54"/>
        <v>0</v>
      </c>
      <c r="K219" s="362">
        <f t="shared" ca="1" si="55"/>
        <v>19000</v>
      </c>
    </row>
    <row r="220" spans="2:11">
      <c r="B220" s="505">
        <v>5</v>
      </c>
      <c r="C220" s="506" t="s">
        <v>735</v>
      </c>
      <c r="D220" s="358" t="str">
        <f ca="1">IF(ISERROR(OFFSET('HARGA SATUAN'!$D$6,MATCH(RAB!C220,'HARGA SATUAN'!$C$7:$C$1492,0),0)),"",OFFSET('HARGA SATUAN'!$D$6,MATCH(RAB!C220,'HARGA SATUAN'!$C$7:$C$1492,0),0))</f>
        <v>JASA</v>
      </c>
      <c r="E220" s="359" t="str">
        <f ca="1">IF(B220="+","Unit",IF(ISERROR(OFFSET('HARGA SATUAN'!$E$6,MATCH(RAB!C220,'HARGA SATUAN'!$C$7:$C$1492,0),0)),"",OFFSET('HARGA SATUAN'!$E$6,MATCH(RAB!C220,'HARGA SATUAN'!$C$7:$C$1492,0),0)))</f>
        <v>Unit</v>
      </c>
      <c r="F220" s="484">
        <f>F215*1</f>
        <v>1</v>
      </c>
      <c r="G220" s="360">
        <f ca="1">IF(ISERROR(OFFSET('HARGA SATUAN'!$I$6,MATCH(RAB!C220,'HARGA SATUAN'!$C$7:$C$1492,0),0)),0,OFFSET('HARGA SATUAN'!$I$6,MATCH(RAB!C220,'HARGA SATUAN'!$C$7:$C$1492,0),0))</f>
        <v>56400</v>
      </c>
      <c r="H220" s="361">
        <f t="shared" ca="1" si="52"/>
        <v>0</v>
      </c>
      <c r="I220" s="361">
        <f t="shared" ca="1" si="53"/>
        <v>0</v>
      </c>
      <c r="J220" s="361">
        <f t="shared" ca="1" si="54"/>
        <v>56400</v>
      </c>
      <c r="K220" s="362">
        <f t="shared" ca="1" si="55"/>
        <v>56400</v>
      </c>
    </row>
    <row r="221" spans="2:11">
      <c r="B221" s="505"/>
      <c r="C221" s="506"/>
      <c r="D221" s="358" t="str">
        <f ca="1">IF(ISERROR(OFFSET('HARGA SATUAN'!$D$6,MATCH(RAB!C221,'HARGA SATUAN'!$C$7:$C$1492,0),0)),"",OFFSET('HARGA SATUAN'!$D$6,MATCH(RAB!C221,'HARGA SATUAN'!$C$7:$C$1492,0),0))</f>
        <v/>
      </c>
      <c r="E221" s="359" t="str">
        <f ca="1">IF(B221="+","Unit",IF(ISERROR(OFFSET('HARGA SATUAN'!$E$6,MATCH(RAB!C221,'HARGA SATUAN'!$C$7:$C$1492,0),0)),"",OFFSET('HARGA SATUAN'!$E$6,MATCH(RAB!C221,'HARGA SATUAN'!$C$7:$C$1492,0),0)))</f>
        <v/>
      </c>
      <c r="F221" s="484"/>
      <c r="G221" s="360">
        <f ca="1">IF(ISERROR(OFFSET('HARGA SATUAN'!$I$6,MATCH(RAB!C221,'HARGA SATUAN'!$C$7:$C$1492,0),0)),0,OFFSET('HARGA SATUAN'!$I$6,MATCH(RAB!C221,'HARGA SATUAN'!$C$7:$C$1492,0),0))</f>
        <v>0</v>
      </c>
      <c r="H221" s="361">
        <f t="shared" ca="1" si="52"/>
        <v>0</v>
      </c>
      <c r="I221" s="361">
        <f t="shared" ca="1" si="53"/>
        <v>0</v>
      </c>
      <c r="J221" s="361">
        <f t="shared" ca="1" si="54"/>
        <v>0</v>
      </c>
      <c r="K221" s="362">
        <f t="shared" ca="1" si="55"/>
        <v>0</v>
      </c>
    </row>
    <row r="222" spans="2:11">
      <c r="B222" s="373" t="s">
        <v>1549</v>
      </c>
      <c r="C222" s="374" t="s">
        <v>1651</v>
      </c>
      <c r="D222" s="358" t="str">
        <f ca="1">IF(ISERROR(OFFSET('HARGA SATUAN'!$D$6,MATCH(RAB!C222,'HARGA SATUAN'!$C$7:$C$1492,0),0)),"",OFFSET('HARGA SATUAN'!$D$6,MATCH(RAB!C222,'HARGA SATUAN'!$C$7:$C$1492,0),0))</f>
        <v/>
      </c>
      <c r="E222" s="359" t="str">
        <f ca="1">IF(B222="+","Unit",IF(ISERROR(OFFSET('HARGA SATUAN'!$E$6,MATCH(RAB!C222,'HARGA SATUAN'!$C$7:$C$1492,0),0)),"",OFFSET('HARGA SATUAN'!$E$6,MATCH(RAB!C222,'HARGA SATUAN'!$C$7:$C$1492,0),0)))</f>
        <v/>
      </c>
      <c r="F222" s="484"/>
      <c r="G222" s="360">
        <f ca="1">IF(ISERROR(OFFSET('HARGA SATUAN'!$I$6,MATCH(RAB!C222,'HARGA SATUAN'!$C$7:$C$1492,0),0)),0,OFFSET('HARGA SATUAN'!$I$6,MATCH(RAB!C222,'HARGA SATUAN'!$C$7:$C$1492,0),0))</f>
        <v>0</v>
      </c>
      <c r="H222" s="361">
        <f t="shared" ca="1" si="52"/>
        <v>0</v>
      </c>
      <c r="I222" s="361">
        <f t="shared" ca="1" si="53"/>
        <v>0</v>
      </c>
      <c r="J222" s="361">
        <f t="shared" ca="1" si="54"/>
        <v>0</v>
      </c>
      <c r="K222" s="362">
        <f t="shared" ca="1" si="55"/>
        <v>0</v>
      </c>
    </row>
    <row r="223" spans="2:11">
      <c r="B223" s="375"/>
      <c r="C223" s="109"/>
      <c r="D223" s="358" t="str">
        <f ca="1">IF(ISERROR(OFFSET('HARGA SATUAN'!$D$6,MATCH(RAB!C223,'HARGA SATUAN'!$C$7:$C$1492,0),0)),"",OFFSET('HARGA SATUAN'!$D$6,MATCH(RAB!C223,'HARGA SATUAN'!$C$7:$C$1492,0),0))</f>
        <v/>
      </c>
      <c r="E223" s="359" t="str">
        <f ca="1">IF(B223="+","Unit",IF(ISERROR(OFFSET('HARGA SATUAN'!$E$6,MATCH(RAB!C223,'HARGA SATUAN'!$C$7:$C$1492,0),0)),"",OFFSET('HARGA SATUAN'!$E$6,MATCH(RAB!C223,'HARGA SATUAN'!$C$7:$C$1492,0),0)))</f>
        <v/>
      </c>
      <c r="F223" s="484"/>
      <c r="G223" s="360">
        <f ca="1">IF(ISERROR(OFFSET('HARGA SATUAN'!$I$6,MATCH(RAB!C223,'HARGA SATUAN'!$C$7:$C$1492,0),0)),0,OFFSET('HARGA SATUAN'!$I$6,MATCH(RAB!C223,'HARGA SATUAN'!$C$7:$C$1492,0),0))</f>
        <v>0</v>
      </c>
      <c r="H223" s="361">
        <f t="shared" ref="H223:H226" ca="1" si="56">IF(OR(D223="MDU",D223="MDU-KD"),(IF($O$3="RAB NON MDU","PLN KD",G223*F223)),0)</f>
        <v>0</v>
      </c>
      <c r="I223" s="361">
        <f t="shared" ref="I223:I226" ca="1" si="57">IF(D223="HDW",G223*F223,0)</f>
        <v>0</v>
      </c>
      <c r="J223" s="361">
        <f t="shared" ref="J223:J226" ca="1" si="58">IF(D223="JASA",G223*F223,0)</f>
        <v>0</v>
      </c>
      <c r="K223" s="362">
        <f t="shared" ref="K223:K226" ca="1" si="59">SUM(H223:J223)</f>
        <v>0</v>
      </c>
    </row>
    <row r="224" spans="2:11">
      <c r="B224" s="375"/>
      <c r="C224" s="109" t="s">
        <v>840</v>
      </c>
      <c r="D224" s="358" t="str">
        <f ca="1">IF(ISERROR(OFFSET('HARGA SATUAN'!$D$6,MATCH(RAB!C224,'HARGA SATUAN'!$C$7:$C$1492,0),0)),"",OFFSET('HARGA SATUAN'!$D$6,MATCH(RAB!C224,'HARGA SATUAN'!$C$7:$C$1492,0),0))</f>
        <v>JASA</v>
      </c>
      <c r="E224" s="359" t="str">
        <f ca="1">IF(B224="+","Unit",IF(ISERROR(OFFSET('HARGA SATUAN'!$E$6,MATCH(RAB!C224,'HARGA SATUAN'!$C$7:$C$1492,0),0)),"",OFFSET('HARGA SATUAN'!$E$6,MATCH(RAB!C224,'HARGA SATUAN'!$C$7:$C$1492,0),0)))</f>
        <v>Unit</v>
      </c>
      <c r="F224" s="484">
        <v>1</v>
      </c>
      <c r="G224" s="360">
        <f ca="1">IF(ISERROR(OFFSET('HARGA SATUAN'!$I$6,MATCH(RAB!C224,'HARGA SATUAN'!$C$7:$C$1492,0),0)),0,OFFSET('HARGA SATUAN'!$I$6,MATCH(RAB!C224,'HARGA SATUAN'!$C$7:$C$1492,0),0))</f>
        <v>24420</v>
      </c>
      <c r="H224" s="361">
        <f t="shared" ca="1" si="56"/>
        <v>0</v>
      </c>
      <c r="I224" s="361">
        <f t="shared" ca="1" si="57"/>
        <v>0</v>
      </c>
      <c r="J224" s="361">
        <f t="shared" ca="1" si="58"/>
        <v>24420</v>
      </c>
      <c r="K224" s="362">
        <f t="shared" ca="1" si="59"/>
        <v>24420</v>
      </c>
    </row>
    <row r="225" spans="2:13">
      <c r="B225" s="375"/>
      <c r="C225" s="109" t="s">
        <v>824</v>
      </c>
      <c r="D225" s="358" t="str">
        <f ca="1">IF(ISERROR(OFFSET('HARGA SATUAN'!$D$6,MATCH(RAB!C225,'HARGA SATUAN'!$C$7:$C$1492,0),0)),"",OFFSET('HARGA SATUAN'!$D$6,MATCH(RAB!C225,'HARGA SATUAN'!$C$7:$C$1492,0),0))</f>
        <v>JASA</v>
      </c>
      <c r="E225" s="359" t="str">
        <f ca="1">IF(B225="+","Unit",IF(ISERROR(OFFSET('HARGA SATUAN'!$E$6,MATCH(RAB!C225,'HARGA SATUAN'!$C$7:$C$1492,0),0)),"",OFFSET('HARGA SATUAN'!$E$6,MATCH(RAB!C225,'HARGA SATUAN'!$C$7:$C$1492,0),0)))</f>
        <v>Unit</v>
      </c>
      <c r="F225" s="484">
        <v>10</v>
      </c>
      <c r="G225" s="360">
        <f ca="1">IF(ISERROR(OFFSET('HARGA SATUAN'!$I$6,MATCH(RAB!C225,'HARGA SATUAN'!$C$7:$C$1492,0),0)),0,OFFSET('HARGA SATUAN'!$I$6,MATCH(RAB!C225,'HARGA SATUAN'!$C$7:$C$1492,0),0))</f>
        <v>31920</v>
      </c>
      <c r="H225" s="361">
        <f t="shared" ca="1" si="56"/>
        <v>0</v>
      </c>
      <c r="I225" s="361">
        <f t="shared" ca="1" si="57"/>
        <v>0</v>
      </c>
      <c r="J225" s="361">
        <f t="shared" ca="1" si="58"/>
        <v>319200</v>
      </c>
      <c r="K225" s="362">
        <f t="shared" ca="1" si="59"/>
        <v>319200</v>
      </c>
    </row>
    <row r="226" spans="2:13">
      <c r="B226" s="375"/>
      <c r="C226" s="109" t="s">
        <v>829</v>
      </c>
      <c r="D226" s="358" t="str">
        <f ca="1">IF(ISERROR(OFFSET('HARGA SATUAN'!$D$6,MATCH(RAB!C226,'HARGA SATUAN'!$C$7:$C$1492,0),0)),"",OFFSET('HARGA SATUAN'!$D$6,MATCH(RAB!C226,'HARGA SATUAN'!$C$7:$C$1492,0),0))</f>
        <v>JASA</v>
      </c>
      <c r="E226" s="359" t="str">
        <f ca="1">IF(B226="+","Unit",IF(ISERROR(OFFSET('HARGA SATUAN'!$E$6,MATCH(RAB!C226,'HARGA SATUAN'!$C$7:$C$1492,0),0)),"",OFFSET('HARGA SATUAN'!$E$6,MATCH(RAB!C226,'HARGA SATUAN'!$C$7:$C$1492,0),0)))</f>
        <v>Unit</v>
      </c>
      <c r="F226" s="484">
        <v>1</v>
      </c>
      <c r="G226" s="360">
        <f ca="1">IF(ISERROR(OFFSET('HARGA SATUAN'!$I$6,MATCH(RAB!C226,'HARGA SATUAN'!$C$7:$C$1492,0),0)),0,OFFSET('HARGA SATUAN'!$I$6,MATCH(RAB!C226,'HARGA SATUAN'!$C$7:$C$1492,0),0))</f>
        <v>48060</v>
      </c>
      <c r="H226" s="361">
        <f t="shared" ca="1" si="56"/>
        <v>0</v>
      </c>
      <c r="I226" s="361">
        <f t="shared" ca="1" si="57"/>
        <v>0</v>
      </c>
      <c r="J226" s="361">
        <f t="shared" ca="1" si="58"/>
        <v>48060</v>
      </c>
      <c r="K226" s="362">
        <f t="shared" ca="1" si="59"/>
        <v>48060</v>
      </c>
    </row>
    <row r="227" spans="2:13">
      <c r="B227" s="375"/>
      <c r="C227" s="109"/>
      <c r="D227" s="358" t="str">
        <f ca="1">IF(ISERROR(OFFSET('HARGA SATUAN'!$D$6,MATCH(RAB!C227,'HARGA SATUAN'!$C$7:$C$1492,0),0)),"",OFFSET('HARGA SATUAN'!$D$6,MATCH(RAB!C227,'HARGA SATUAN'!$C$7:$C$1492,0),0))</f>
        <v/>
      </c>
      <c r="E227" s="359" t="str">
        <f ca="1">IF(B227="+","Unit",IF(ISERROR(OFFSET('HARGA SATUAN'!$E$6,MATCH(RAB!C227,'HARGA SATUAN'!$C$7:$C$1492,0),0)),"",OFFSET('HARGA SATUAN'!$E$6,MATCH(RAB!C227,'HARGA SATUAN'!$C$7:$C$1492,0),0)))</f>
        <v/>
      </c>
      <c r="F227" s="484"/>
      <c r="G227" s="360">
        <f ca="1">IF(ISERROR(OFFSET('HARGA SATUAN'!$I$6,MATCH(RAB!C227,'HARGA SATUAN'!$C$7:$C$1492,0),0)),0,OFFSET('HARGA SATUAN'!$I$6,MATCH(RAB!C227,'HARGA SATUAN'!$C$7:$C$1492,0),0))</f>
        <v>0</v>
      </c>
      <c r="H227" s="361">
        <f t="shared" ca="1" si="52"/>
        <v>0</v>
      </c>
      <c r="I227" s="361">
        <f t="shared" ca="1" si="53"/>
        <v>0</v>
      </c>
      <c r="J227" s="361">
        <f t="shared" ca="1" si="54"/>
        <v>0</v>
      </c>
      <c r="K227" s="362">
        <f t="shared" ca="1" si="55"/>
        <v>0</v>
      </c>
    </row>
    <row r="228" spans="2:13">
      <c r="B228" s="375"/>
      <c r="C228" s="109"/>
      <c r="D228" s="358" t="str">
        <f ca="1">IF(ISERROR(OFFSET('HARGA SATUAN'!$D$6,MATCH(RAB!C228,'HARGA SATUAN'!$C$7:$C$1492,0),0)),"",OFFSET('HARGA SATUAN'!$D$6,MATCH(RAB!C228,'HARGA SATUAN'!$C$7:$C$1492,0),0))</f>
        <v/>
      </c>
      <c r="E228" s="359" t="str">
        <f ca="1">IF(B228="+","Unit",IF(ISERROR(OFFSET('HARGA SATUAN'!$E$6,MATCH(RAB!C228,'HARGA SATUAN'!$C$7:$C$1492,0),0)),"",OFFSET('HARGA SATUAN'!$E$6,MATCH(RAB!C228,'HARGA SATUAN'!$C$7:$C$1492,0),0)))</f>
        <v/>
      </c>
      <c r="F228" s="484"/>
      <c r="G228" s="360">
        <f ca="1">IF(ISERROR(OFFSET('HARGA SATUAN'!$I$6,MATCH(RAB!C228,'HARGA SATUAN'!$C$7:$C$1492,0),0)),0,OFFSET('HARGA SATUAN'!$I$6,MATCH(RAB!C228,'HARGA SATUAN'!$C$7:$C$1492,0),0))</f>
        <v>0</v>
      </c>
      <c r="H228" s="361">
        <f t="shared" ca="1" si="52"/>
        <v>0</v>
      </c>
      <c r="I228" s="361">
        <f t="shared" ca="1" si="53"/>
        <v>0</v>
      </c>
      <c r="J228" s="361">
        <f t="shared" ca="1" si="54"/>
        <v>0</v>
      </c>
      <c r="K228" s="362">
        <f t="shared" ca="1" si="55"/>
        <v>0</v>
      </c>
    </row>
    <row r="229" spans="2:13">
      <c r="B229" s="376"/>
      <c r="C229" s="377" t="s">
        <v>475</v>
      </c>
      <c r="D229" s="358" t="str">
        <f ca="1">IF(ISERROR(OFFSET('HARGA SATUAN'!$D$6,MATCH(RAB!C229,'HARGA SATUAN'!$C$7:$C$1492,0),0)),"",OFFSET('HARGA SATUAN'!$D$6,MATCH(RAB!C229,'HARGA SATUAN'!$C$7:$C$1492,0),0))</f>
        <v/>
      </c>
      <c r="E229" s="359" t="str">
        <f ca="1">IF(B229="+","Unit",IF(ISERROR(OFFSET('HARGA SATUAN'!$E$6,MATCH(RAB!C229,'HARGA SATUAN'!$C$7:$C$1492,0),0)),"",OFFSET('HARGA SATUAN'!$E$6,MATCH(RAB!C229,'HARGA SATUAN'!$C$7:$C$1492,0),0)))</f>
        <v/>
      </c>
      <c r="F229" s="484"/>
      <c r="G229" s="360">
        <f ca="1">IF(ISERROR(OFFSET('HARGA SATUAN'!$I$6,MATCH(RAB!C229,'HARGA SATUAN'!$C$7:$C$1492,0),0)),0,OFFSET('HARGA SATUAN'!$I$6,MATCH(RAB!C229,'HARGA SATUAN'!$C$7:$C$1492,0),0))</f>
        <v>0</v>
      </c>
      <c r="H229" s="361">
        <f t="shared" ca="1" si="48"/>
        <v>0</v>
      </c>
      <c r="I229" s="361">
        <f t="shared" ca="1" si="49"/>
        <v>0</v>
      </c>
      <c r="J229" s="361">
        <f t="shared" ca="1" si="50"/>
        <v>0</v>
      </c>
      <c r="K229" s="362">
        <f t="shared" ca="1" si="51"/>
        <v>0</v>
      </c>
    </row>
    <row r="230" spans="2:13">
      <c r="B230" s="379">
        <v>1</v>
      </c>
      <c r="C230" s="380" t="s">
        <v>1090</v>
      </c>
      <c r="D230" s="381" t="str">
        <f ca="1">IF(ISERROR(OFFSET('HARGA SATUAN'!$D$6,MATCH(RAB!C230,'HARGA SATUAN'!$C$7:$C$1492,0),0)),"",OFFSET('HARGA SATUAN'!$D$6,MATCH(RAB!C230,'HARGA SATUAN'!$C$7:$C$1492,0),0))</f>
        <v>JASA</v>
      </c>
      <c r="E230" s="382" t="str">
        <f ca="1">IF(ISERROR(OFFSET('HARGA SATUAN'!$E$6,MATCH(RAB!C230,'HARGA SATUAN'!$C$7:$C$1492,0),0)),"",OFFSET('HARGA SATUAN'!$E$6,MATCH(RAB!C230,'HARGA SATUAN'!$C$7:$C$1492,0),0))</f>
        <v>Lot</v>
      </c>
      <c r="F230" s="383">
        <v>1</v>
      </c>
      <c r="G230" s="384">
        <f ca="1">IF(ISERROR(OFFSET('HARGA SATUAN'!$I$6,MATCH(RAB!C230,'HARGA SATUAN'!$C$7:$C$1492,0),0)),0,OFFSET('HARGA SATUAN'!$I$6,MATCH(RAB!C230,'HARGA SATUAN'!$C$7:$C$1492,0),0))</f>
        <v>2.5000000000000001E-2</v>
      </c>
      <c r="H230" s="385">
        <f ca="1">2.5%*(SUM(H14:H229))</f>
        <v>3739061.25</v>
      </c>
      <c r="I230" s="385">
        <f t="shared" ref="I230" ca="1" si="60">2.5%*(SUM(I14:I229))</f>
        <v>1228043.6900000002</v>
      </c>
      <c r="J230" s="385">
        <f ca="1">2.5%*(SUM(J14:J229))</f>
        <v>244544</v>
      </c>
      <c r="K230" s="386">
        <f ca="1">SUM(H230:J230)</f>
        <v>5211648.9400000004</v>
      </c>
    </row>
    <row r="231" spans="2:13">
      <c r="B231" s="387"/>
      <c r="C231" s="388"/>
      <c r="D231" s="358" t="str">
        <f ca="1">IF(ISERROR(OFFSET('HARGA SATUAN'!$D$6,MATCH(RAB!C231,'HARGA SATUAN'!$C$7:$C$1492,0),0)),"",OFFSET('HARGA SATUAN'!$D$6,MATCH(RAB!C231,'HARGA SATUAN'!$C$7:$C$1492,0),0))</f>
        <v/>
      </c>
      <c r="E231" s="359" t="str">
        <f ca="1">IF(ISERROR(OFFSET('HARGA SATUAN'!$E$6,MATCH(RAB!C231,'HARGA SATUAN'!$C$7:$C$1492,0),0)),"",OFFSET('HARGA SATUAN'!$E$6,MATCH(RAB!C231,'HARGA SATUAN'!$C$7:$C$1492,0),0))</f>
        <v/>
      </c>
      <c r="F231" s="378"/>
      <c r="G231" s="360" t="str">
        <f ca="1">IF(ISERROR(OFFSET('HARGA SATUAN'!$I$6,MATCH(RAB!C231,'HARGA SATUAN'!$C$7:$C$1492,0),0)),"",OFFSET('HARGA SATUAN'!$I$6,MATCH(RAB!C231,'HARGA SATUAN'!$C$7:$C$1492,0),0))</f>
        <v/>
      </c>
      <c r="H231" s="361">
        <f ca="1">IF(OR(D231="MDU",D231="MDU-KD"),IF(G231="PLN",0,G231*F231),0)</f>
        <v>0</v>
      </c>
      <c r="I231" s="361">
        <f ca="1">IF(D231="HDW",IF(G231="PLN",0,G231*F231),0)</f>
        <v>0</v>
      </c>
      <c r="J231" s="361">
        <f ca="1">IF(D231="JASA",IF(G231="PLN",0,G231*F231),0)</f>
        <v>0</v>
      </c>
      <c r="K231" s="362">
        <f ca="1">SUM(H231:J231)</f>
        <v>0</v>
      </c>
    </row>
    <row r="232" spans="2:13" ht="15.75" thickBot="1">
      <c r="B232" s="389"/>
      <c r="C232" s="390"/>
      <c r="D232" s="391"/>
      <c r="E232" s="392"/>
      <c r="F232" s="392"/>
      <c r="G232" s="392"/>
      <c r="H232" s="393"/>
      <c r="I232" s="393"/>
      <c r="J232" s="393"/>
      <c r="K232" s="394"/>
    </row>
    <row r="233" spans="2:13">
      <c r="B233" s="395"/>
      <c r="C233" s="615" t="s">
        <v>1007</v>
      </c>
      <c r="D233" s="615"/>
      <c r="E233" s="615"/>
      <c r="F233" s="615"/>
      <c r="G233" s="396" t="s">
        <v>9</v>
      </c>
      <c r="H233" s="397">
        <f ca="1">SUM(H14:H231)</f>
        <v>153301511.25</v>
      </c>
      <c r="I233" s="397">
        <f ca="1">SUM(I14:I231)</f>
        <v>50349791.289999999</v>
      </c>
      <c r="J233" s="397">
        <f ca="1">SUM(J14:J231)</f>
        <v>10026304</v>
      </c>
      <c r="K233" s="397">
        <f ca="1">SUM(K14:K231)</f>
        <v>213677606.53999999</v>
      </c>
    </row>
    <row r="234" spans="2:13">
      <c r="B234" s="400"/>
      <c r="C234" s="631" t="s">
        <v>1459</v>
      </c>
      <c r="D234" s="631"/>
      <c r="E234" s="631"/>
      <c r="F234" s="631"/>
      <c r="G234" s="401" t="s">
        <v>9</v>
      </c>
      <c r="H234" s="402">
        <f ca="1">H233*0.11</f>
        <v>16863166.237500001</v>
      </c>
      <c r="I234" s="402">
        <f ca="1">I233*0.11</f>
        <v>5538477.0418999996</v>
      </c>
      <c r="J234" s="402">
        <f ca="1">J233*0.11</f>
        <v>1102893.44</v>
      </c>
      <c r="K234" s="402">
        <f ca="1">K233*0.11</f>
        <v>23504536.7194</v>
      </c>
    </row>
    <row r="235" spans="2:13" ht="15.75" thickBot="1">
      <c r="B235" s="400"/>
      <c r="C235" s="629" t="s">
        <v>463</v>
      </c>
      <c r="D235" s="629"/>
      <c r="E235" s="629"/>
      <c r="F235" s="629"/>
      <c r="G235" s="404" t="s">
        <v>9</v>
      </c>
      <c r="H235" s="405">
        <f ca="1">SUM(H233:H234)</f>
        <v>170164677.48750001</v>
      </c>
      <c r="I235" s="405">
        <f ca="1">SUM(I233:I234)</f>
        <v>55888268.331900001</v>
      </c>
      <c r="J235" s="404">
        <f ca="1">SUM(J233:J234)</f>
        <v>11129197.439999999</v>
      </c>
      <c r="K235" s="404">
        <f ca="1">SUM(K233:K234)</f>
        <v>237182143.25939998</v>
      </c>
      <c r="M235" s="489"/>
    </row>
    <row r="236" spans="2:13">
      <c r="B236" s="632" t="str">
        <f ca="1">"Terbilang : "&amp;PROPER(IF(K235=0,"nol",IF(K235&lt;0,"minus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IF(--MID(TEXT(ABS(K235),"000000000000000"),1,3)=0,"",MID(TEXT(ABS(K235),"000000000000000"),1,1)&amp;" ratus "&amp;MID(TEXT(ABS(K235),"000000000000000"),2,1)&amp;" puluh "&amp;MID(TEXT(ABS(K235),"000000000000000"),3,1)&amp;" trilyun ")&amp; IF(--MID(TEXT(ABS(K235),"000000000000000"),4,3)=0,"",MID(TEXT(ABS(K235),"000000000000000"),4,1)&amp;" ratus "&amp;MID(TEXT(ABS(K235),"000000000000000"),5,1)&amp;" puluh "&amp;MID(TEXT(ABS(K235),"000000000000000"),6,1)&amp;" milyar ")&amp; IF(--MID(TEXT(ABS(K235),"000000000000000"),7,3)=0,"",MID(TEXT(ABS(K235),"000000000000000"),7,1)&amp;" ratus "&amp;MID(TEXT(ABS(K235),"000000000000000"),8,1)&amp;" puluh "&amp;MID(TEXT(ABS(K235),"000000000000000"),9,1)&amp;" juta ")&amp; IF(--MID(TEXT(ABS(K235),"000000000000000"),10,3)=0,"",IF(--MID(TEXT(ABS(K235),"000000000000000"),10,3)=1,"*",MID(TEXT(ABS(K235),"000000000000000"),10,1)&amp;" ratus "&amp;MID(TEXT(ABS(K235),"000000000000000"),11,1)&amp;" puluh ")&amp;MID(TEXT(ABS(K235),"000000000000000"),12,1)&amp;" ribu ")&amp; IF(--MID(TEXT(ABS(K235),"000000000000000"),13,3)=0,"",MID(TEXT(ABS(K235),"000000000000000"),13,1)&amp;" ratus "&amp;MID(TEXT(ABS(K235),"000000000000000"),14,1)&amp;" puluh "&amp;MID(TEXT(ABS(K235),"000000000000000"),15,1)),1,"satu"),2,"dua"),3,"tiga"),4,"empat"),5,"lima"),6,"enam"),7,"tujuh"),8,"delapan"),9,"sembilan"),"0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Tiga Puluh Tujuh Juta Seratus Delapan Puluh Dua Ribu Seratus Empat Puluh Tiga Rupiah</v>
      </c>
      <c r="C236" s="633"/>
      <c r="D236" s="633"/>
      <c r="E236" s="633"/>
      <c r="F236" s="633"/>
      <c r="G236" s="633"/>
      <c r="H236" s="633"/>
      <c r="I236" s="633"/>
      <c r="J236" s="633"/>
      <c r="K236" s="634"/>
    </row>
    <row r="237" spans="2:13">
      <c r="B237" s="635"/>
      <c r="C237" s="636"/>
      <c r="D237" s="636"/>
      <c r="E237" s="636"/>
      <c r="F237" s="636"/>
      <c r="G237" s="636"/>
      <c r="H237" s="636"/>
      <c r="I237" s="636"/>
      <c r="J237" s="636"/>
      <c r="K237" s="637"/>
    </row>
    <row r="238" spans="2:13" ht="15.75" thickBot="1">
      <c r="B238" s="407" t="str">
        <f>"Harga yang dipakai adalah "&amp;'HARGA SATUAN'!I5&amp;""</f>
        <v>Harga yang dipakai adalah RAB HSS 2023</v>
      </c>
      <c r="C238" s="408"/>
      <c r="D238" s="409"/>
      <c r="E238" s="409"/>
      <c r="F238" s="409"/>
      <c r="G238" s="410"/>
      <c r="H238" s="410"/>
      <c r="I238" s="410"/>
      <c r="J238" s="410"/>
      <c r="K238" s="411"/>
    </row>
    <row r="239" spans="2:13">
      <c r="C239" s="412"/>
      <c r="E239" s="414"/>
      <c r="F239" s="414"/>
      <c r="G239" s="414"/>
    </row>
    <row r="240" spans="2:13">
      <c r="C240" s="337"/>
      <c r="E240" s="414"/>
      <c r="F240" s="414"/>
      <c r="G240" s="414"/>
      <c r="H240" s="638"/>
      <c r="I240" s="638"/>
      <c r="J240" s="639"/>
      <c r="K240" s="639"/>
    </row>
    <row r="241" spans="3:11">
      <c r="C241" s="337"/>
      <c r="E241" s="414"/>
      <c r="F241" s="414"/>
      <c r="G241" s="414"/>
      <c r="H241" s="415"/>
      <c r="I241" s="628" t="s">
        <v>1612</v>
      </c>
      <c r="J241" s="628"/>
      <c r="K241" s="628"/>
    </row>
    <row r="242" spans="3:11">
      <c r="C242" s="337"/>
      <c r="E242" s="414"/>
      <c r="F242" s="414"/>
      <c r="G242" s="414"/>
      <c r="H242" s="415"/>
      <c r="I242" s="628" t="s">
        <v>1550</v>
      </c>
      <c r="J242" s="628"/>
      <c r="K242" s="628"/>
    </row>
    <row r="243" spans="3:11">
      <c r="C243" s="337"/>
      <c r="E243" s="414"/>
      <c r="F243" s="414"/>
      <c r="G243" s="414"/>
      <c r="H243" s="416"/>
      <c r="I243" s="417"/>
      <c r="J243" s="417"/>
      <c r="K243" s="417"/>
    </row>
    <row r="244" spans="3:11">
      <c r="C244" s="337"/>
      <c r="E244" s="414"/>
      <c r="F244" s="414"/>
      <c r="G244" s="414"/>
      <c r="H244" s="416"/>
      <c r="I244" s="416"/>
      <c r="J244" s="416"/>
      <c r="K244" s="416"/>
    </row>
    <row r="245" spans="3:11">
      <c r="C245" s="337"/>
      <c r="E245" s="414"/>
      <c r="F245" s="414"/>
      <c r="G245" s="414"/>
      <c r="H245" s="416"/>
      <c r="I245" s="416"/>
      <c r="J245" s="416"/>
      <c r="K245" s="416"/>
    </row>
    <row r="246" spans="3:11">
      <c r="C246" s="337"/>
      <c r="E246" s="414"/>
      <c r="F246" s="414"/>
      <c r="G246" s="414"/>
      <c r="H246" s="416"/>
      <c r="I246" s="416"/>
      <c r="J246" s="416"/>
      <c r="K246" s="416"/>
    </row>
    <row r="247" spans="3:11">
      <c r="C247" s="337"/>
      <c r="E247" s="414"/>
      <c r="F247" s="414"/>
      <c r="G247" s="414"/>
      <c r="H247" s="418"/>
      <c r="I247" s="628" t="s">
        <v>1551</v>
      </c>
      <c r="J247" s="628"/>
      <c r="K247" s="628"/>
    </row>
    <row r="248" spans="3:11">
      <c r="C248" s="412"/>
      <c r="E248" s="414"/>
      <c r="F248" s="414"/>
      <c r="G248" s="414"/>
      <c r="H248" s="416"/>
      <c r="I248" s="416"/>
      <c r="J248" s="416"/>
      <c r="K248" s="416"/>
    </row>
    <row r="249" spans="3:11">
      <c r="C249" s="412"/>
      <c r="E249" s="414"/>
      <c r="F249" s="414"/>
      <c r="G249" s="414"/>
      <c r="H249" s="416"/>
      <c r="I249" s="416"/>
      <c r="J249" s="416"/>
      <c r="K249" s="416"/>
    </row>
    <row r="250" spans="3:11">
      <c r="C250" s="412"/>
      <c r="E250" s="414"/>
      <c r="F250" s="414"/>
      <c r="G250" s="414"/>
      <c r="H250" s="416"/>
      <c r="I250" s="416"/>
      <c r="J250" s="416"/>
      <c r="K250" s="416"/>
    </row>
  </sheetData>
  <sheetProtection sort="0" autoFilter="0"/>
  <protectedRanges>
    <protectedRange sqref="B187:B194 B223:B228" name="Range1_1"/>
    <protectedRange sqref="F14:F15 F19 F21:F171" name="Range1_1_2_2"/>
    <protectedRange sqref="B222:C222 B206:C206 C187:C194 B172:C174" name="Range1_1_1"/>
    <protectedRange sqref="C223 C227:C228" name="Range1_1_3_12"/>
    <protectedRange sqref="F20 F16:F18" name="Range1_1_2_2_1_1"/>
    <protectedRange sqref="C212" name="Range1_1_3_18"/>
    <protectedRange sqref="C176" name="Range1_1_3_11"/>
    <protectedRange sqref="C179" name="Range1_1_3_16"/>
    <protectedRange sqref="C183" name="Range1_1_3_17"/>
    <protectedRange sqref="C178" name="Range1_1_3"/>
    <protectedRange sqref="C182" name="Range1_1_3_1"/>
    <protectedRange sqref="C16" name="Range1_1_3_2"/>
    <protectedRange sqref="C17" name="Range1_1_3_3"/>
    <protectedRange sqref="C18" name="Range1_1_3_4"/>
    <protectedRange sqref="C19" name="Range1_1_3_5"/>
    <protectedRange sqref="C25 C72" name="Range1_1_3_6"/>
    <protectedRange sqref="C45 C61" name="Range1_1_3_7"/>
    <protectedRange sqref="C46" name="Range1_1_3_8"/>
    <protectedRange sqref="C165" name="Range1_1_3_9"/>
    <protectedRange sqref="C166" name="Range1_1_3_10"/>
    <protectedRange sqref="C169" name="Range1_1_3_13"/>
    <protectedRange sqref="C170" name="Range1_1_3_14"/>
    <protectedRange sqref="C224" name="Range1_1_3_15"/>
    <protectedRange sqref="C225" name="Range1_1_3_19"/>
    <protectedRange sqref="C226" name="Range1_1_3_20"/>
  </protectedRanges>
  <mergeCells count="22">
    <mergeCell ref="I242:K242"/>
    <mergeCell ref="I247:K247"/>
    <mergeCell ref="C235:F235"/>
    <mergeCell ref="G6:K6"/>
    <mergeCell ref="I241:K241"/>
    <mergeCell ref="C234:F234"/>
    <mergeCell ref="B236:K237"/>
    <mergeCell ref="H240:K240"/>
    <mergeCell ref="H11:K11"/>
    <mergeCell ref="H12:H13"/>
    <mergeCell ref="J12:J13"/>
    <mergeCell ref="K12:K13"/>
    <mergeCell ref="O3:P4"/>
    <mergeCell ref="B4:K4"/>
    <mergeCell ref="C233:F233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C20 C15 C227:C228">
    <cfRule type="cellIs" dxfId="26" priority="479" operator="equal">
      <formula>0</formula>
    </cfRule>
  </conditionalFormatting>
  <conditionalFormatting sqref="C175">
    <cfRule type="cellIs" dxfId="25" priority="23" operator="equal">
      <formula>0</formula>
    </cfRule>
  </conditionalFormatting>
  <conditionalFormatting sqref="C178:C179">
    <cfRule type="cellIs" dxfId="24" priority="18" operator="equal">
      <formula>0</formula>
    </cfRule>
  </conditionalFormatting>
  <conditionalFormatting sqref="C182">
    <cfRule type="cellIs" dxfId="23" priority="17" operator="equal">
      <formula>0</formula>
    </cfRule>
  </conditionalFormatting>
  <conditionalFormatting sqref="C194">
    <cfRule type="cellIs" dxfId="22" priority="70" operator="equal">
      <formula>0</formula>
    </cfRule>
  </conditionalFormatting>
  <conditionalFormatting sqref="C209">
    <cfRule type="cellIs" dxfId="21" priority="41" operator="equal">
      <formula>0</formula>
    </cfRule>
  </conditionalFormatting>
  <conditionalFormatting sqref="C212">
    <cfRule type="cellIs" dxfId="20" priority="31" operator="equal">
      <formula>0</formula>
    </cfRule>
  </conditionalFormatting>
  <conditionalFormatting sqref="C223">
    <cfRule type="cellIs" dxfId="19" priority="77" operator="equal">
      <formula>0</formula>
    </cfRule>
  </conditionalFormatting>
  <conditionalFormatting sqref="E1:E3 G1:G13 E5:E13 H12:I12 O13 E230:G230 H230:K232 E231:H231 E232:F232 E14:K229">
    <cfRule type="cellIs" dxfId="18" priority="1059" stopIfTrue="1" operator="equal">
      <formula>0</formula>
    </cfRule>
  </conditionalFormatting>
  <conditionalFormatting sqref="G231:G65697 E236:E65697">
    <cfRule type="cellIs" dxfId="17" priority="193" stopIfTrue="1" operator="equal">
      <formula>0</formula>
    </cfRule>
  </conditionalFormatting>
  <conditionalFormatting sqref="S14:V171">
    <cfRule type="cellIs" dxfId="16" priority="58" stopIfTrue="1" operator="equal">
      <formula>0</formula>
    </cfRule>
  </conditionalFormatting>
  <conditionalFormatting sqref="C16">
    <cfRule type="cellIs" dxfId="15" priority="16" operator="equal">
      <formula>0</formula>
    </cfRule>
  </conditionalFormatting>
  <conditionalFormatting sqref="C17">
    <cfRule type="cellIs" dxfId="14" priority="15" operator="equal">
      <formula>0</formula>
    </cfRule>
  </conditionalFormatting>
  <conditionalFormatting sqref="C18">
    <cfRule type="cellIs" dxfId="13" priority="14" operator="equal">
      <formula>0</formula>
    </cfRule>
  </conditionalFormatting>
  <conditionalFormatting sqref="C19">
    <cfRule type="cellIs" dxfId="12" priority="13" operator="equal">
      <formula>0</formula>
    </cfRule>
  </conditionalFormatting>
  <conditionalFormatting sqref="C25">
    <cfRule type="cellIs" dxfId="11" priority="12" operator="equal">
      <formula>0</formula>
    </cfRule>
  </conditionalFormatting>
  <conditionalFormatting sqref="C45">
    <cfRule type="cellIs" dxfId="10" priority="11" operator="equal">
      <formula>0</formula>
    </cfRule>
  </conditionalFormatting>
  <conditionalFormatting sqref="C46">
    <cfRule type="cellIs" dxfId="9" priority="10" operator="equal">
      <formula>0</formula>
    </cfRule>
  </conditionalFormatting>
  <conditionalFormatting sqref="C61">
    <cfRule type="cellIs" dxfId="8" priority="9" operator="equal">
      <formula>0</formula>
    </cfRule>
  </conditionalFormatting>
  <conditionalFormatting sqref="C72">
    <cfRule type="cellIs" dxfId="7" priority="8" operator="equal">
      <formula>0</formula>
    </cfRule>
  </conditionalFormatting>
  <conditionalFormatting sqref="C165">
    <cfRule type="cellIs" dxfId="6" priority="7" operator="equal">
      <formula>0</formula>
    </cfRule>
  </conditionalFormatting>
  <conditionalFormatting sqref="C166">
    <cfRule type="cellIs" dxfId="5" priority="6" operator="equal">
      <formula>0</formula>
    </cfRule>
  </conditionalFormatting>
  <conditionalFormatting sqref="C169">
    <cfRule type="cellIs" dxfId="4" priority="5" operator="equal">
      <formula>0</formula>
    </cfRule>
  </conditionalFormatting>
  <conditionalFormatting sqref="C170">
    <cfRule type="cellIs" dxfId="3" priority="4" operator="equal">
      <formula>0</formula>
    </cfRule>
  </conditionalFormatting>
  <conditionalFormatting sqref="C224">
    <cfRule type="cellIs" dxfId="2" priority="3" operator="equal">
      <formula>0</formula>
    </cfRule>
  </conditionalFormatting>
  <conditionalFormatting sqref="C225">
    <cfRule type="cellIs" dxfId="1" priority="2" operator="equal">
      <formula>0</formula>
    </cfRule>
  </conditionalFormatting>
  <conditionalFormatting sqref="C22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176:C177 F172:F207 H14:K232 F214:F22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ignoredErrors>
    <ignoredError sqref="L179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110"/>
  <sheetViews>
    <sheetView showGridLines="0" view="pageBreakPreview" topLeftCell="A63" zoomScale="154" zoomScaleNormal="115" zoomScaleSheetLayoutView="154" workbookViewId="0">
      <selection activeCell="N67" sqref="N67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2" t="s">
        <v>1438</v>
      </c>
      <c r="X2" s="643"/>
      <c r="Y2" s="643"/>
      <c r="Z2" s="643"/>
      <c r="AA2" s="643"/>
      <c r="AB2" s="643"/>
      <c r="AC2" s="643"/>
      <c r="AD2" s="644"/>
    </row>
    <row r="3" spans="3:30">
      <c r="C3" s="238"/>
      <c r="W3" s="645"/>
      <c r="X3" s="646"/>
      <c r="Y3" s="646"/>
      <c r="Z3" s="646"/>
      <c r="AA3" s="646"/>
      <c r="AB3" s="646"/>
      <c r="AC3" s="646"/>
      <c r="AD3" s="647"/>
    </row>
    <row r="4" spans="3:30">
      <c r="C4" s="238"/>
      <c r="W4" s="239" t="s">
        <v>986</v>
      </c>
      <c r="AD4" s="240"/>
    </row>
    <row r="5" spans="3:30">
      <c r="C5" s="238"/>
      <c r="W5" s="241" t="s">
        <v>990</v>
      </c>
      <c r="X5" s="648" t="s">
        <v>989</v>
      </c>
      <c r="Y5" s="648"/>
      <c r="Z5" s="648"/>
      <c r="AA5" s="648" t="s">
        <v>987</v>
      </c>
      <c r="AB5" s="648"/>
      <c r="AC5" s="648" t="s">
        <v>988</v>
      </c>
      <c r="AD5" s="649"/>
    </row>
    <row r="6" spans="3:30">
      <c r="C6" s="238"/>
      <c r="W6" s="241">
        <v>1</v>
      </c>
      <c r="X6" s="648" t="s">
        <v>992</v>
      </c>
      <c r="Y6" s="648"/>
      <c r="Z6" s="648"/>
      <c r="AA6" s="648"/>
      <c r="AB6" s="648"/>
      <c r="AC6" s="648"/>
      <c r="AD6" s="649"/>
    </row>
    <row r="7" spans="3:30">
      <c r="C7" s="238"/>
      <c r="E7" s="495" t="s">
        <v>1652</v>
      </c>
      <c r="W7" s="241">
        <v>2</v>
      </c>
      <c r="X7" s="648" t="s">
        <v>993</v>
      </c>
      <c r="Y7" s="648"/>
      <c r="Z7" s="648"/>
      <c r="AA7" s="648"/>
      <c r="AB7" s="648"/>
      <c r="AC7" s="648"/>
      <c r="AD7" s="649"/>
    </row>
    <row r="8" spans="3:30">
      <c r="C8" s="238"/>
      <c r="W8" s="241">
        <v>3</v>
      </c>
      <c r="X8" s="648" t="s">
        <v>994</v>
      </c>
      <c r="Y8" s="648"/>
      <c r="Z8" s="648"/>
      <c r="AA8" s="648"/>
      <c r="AB8" s="648"/>
      <c r="AC8" s="648"/>
      <c r="AD8" s="649"/>
    </row>
    <row r="9" spans="3:30">
      <c r="C9" s="238"/>
      <c r="W9" s="241">
        <v>4</v>
      </c>
      <c r="X9" s="648" t="s">
        <v>995</v>
      </c>
      <c r="Y9" s="648"/>
      <c r="Z9" s="648"/>
      <c r="AA9" s="648"/>
      <c r="AB9" s="648"/>
      <c r="AC9" s="648"/>
      <c r="AD9" s="649"/>
    </row>
    <row r="10" spans="3:30">
      <c r="C10" s="238"/>
      <c r="W10" s="241">
        <v>5</v>
      </c>
      <c r="X10" s="648" t="s">
        <v>996</v>
      </c>
      <c r="Y10" s="648"/>
      <c r="Z10" s="648"/>
      <c r="AA10" s="648"/>
      <c r="AB10" s="648"/>
      <c r="AC10" s="648"/>
      <c r="AD10" s="649"/>
    </row>
    <row r="11" spans="3:30">
      <c r="C11" s="238"/>
      <c r="W11" s="241">
        <v>6</v>
      </c>
      <c r="X11" s="648" t="s">
        <v>997</v>
      </c>
      <c r="Y11" s="648"/>
      <c r="Z11" s="648"/>
      <c r="AA11" s="648"/>
      <c r="AB11" s="648"/>
      <c r="AC11" s="648"/>
      <c r="AD11" s="649"/>
    </row>
    <row r="12" spans="3:30">
      <c r="C12" s="238"/>
      <c r="W12" s="241">
        <v>7</v>
      </c>
      <c r="X12" s="648" t="s">
        <v>998</v>
      </c>
      <c r="Y12" s="648"/>
      <c r="Z12" s="648"/>
      <c r="AA12" s="648"/>
      <c r="AB12" s="648"/>
      <c r="AC12" s="648"/>
      <c r="AD12" s="649"/>
    </row>
    <row r="13" spans="3:30" ht="12.75" customHeight="1">
      <c r="C13" s="238"/>
      <c r="W13" s="241">
        <v>8</v>
      </c>
      <c r="X13" s="648" t="s">
        <v>999</v>
      </c>
      <c r="Y13" s="648"/>
      <c r="Z13" s="648"/>
      <c r="AA13" s="648"/>
      <c r="AB13" s="648"/>
      <c r="AC13" s="648"/>
      <c r="AD13" s="649"/>
    </row>
    <row r="14" spans="3:30">
      <c r="C14" s="238"/>
      <c r="W14" s="241">
        <v>9</v>
      </c>
      <c r="X14" s="648" t="s">
        <v>1000</v>
      </c>
      <c r="Y14" s="648"/>
      <c r="Z14" s="648"/>
      <c r="AA14" s="648"/>
      <c r="AB14" s="648"/>
      <c r="AC14" s="648"/>
      <c r="AD14" s="649"/>
    </row>
    <row r="15" spans="3:30">
      <c r="C15" s="238"/>
      <c r="W15" s="241">
        <v>10</v>
      </c>
      <c r="X15" s="648" t="s">
        <v>1009</v>
      </c>
      <c r="Y15" s="648"/>
      <c r="Z15" s="648"/>
      <c r="AA15" s="648"/>
      <c r="AB15" s="648"/>
      <c r="AC15" s="648"/>
      <c r="AD15" s="649"/>
    </row>
    <row r="16" spans="3:30">
      <c r="C16" s="238"/>
      <c r="W16" s="241">
        <v>11</v>
      </c>
      <c r="X16" s="648" t="s">
        <v>1457</v>
      </c>
      <c r="Y16" s="648"/>
      <c r="Z16" s="648"/>
      <c r="AA16" s="648"/>
      <c r="AB16" s="648"/>
      <c r="AC16" s="648"/>
      <c r="AD16" s="649"/>
    </row>
    <row r="17" spans="3:30">
      <c r="C17" s="238"/>
      <c r="S17" s="242"/>
      <c r="W17" s="241">
        <v>12</v>
      </c>
      <c r="X17" s="648" t="s">
        <v>1010</v>
      </c>
      <c r="Y17" s="648"/>
      <c r="Z17" s="648"/>
      <c r="AA17" s="648"/>
      <c r="AB17" s="648"/>
      <c r="AC17" s="648"/>
      <c r="AD17" s="649"/>
    </row>
    <row r="18" spans="3:30">
      <c r="C18" s="243"/>
      <c r="D18" s="244"/>
      <c r="E18" s="244"/>
      <c r="W18" s="241">
        <v>13</v>
      </c>
      <c r="X18" s="648"/>
      <c r="Y18" s="648"/>
      <c r="Z18" s="648"/>
      <c r="AA18" s="648"/>
      <c r="AB18" s="648"/>
      <c r="AC18" s="648"/>
      <c r="AD18" s="649"/>
    </row>
    <row r="19" spans="3:30">
      <c r="C19" s="238"/>
      <c r="W19" s="245"/>
      <c r="X19" s="665"/>
      <c r="Y19" s="665"/>
      <c r="Z19" s="665"/>
      <c r="AA19" s="665"/>
      <c r="AB19" s="665"/>
      <c r="AC19" s="665"/>
      <c r="AD19" s="666"/>
    </row>
    <row r="20" spans="3:30">
      <c r="C20" s="238"/>
      <c r="W20" s="650" t="s">
        <v>991</v>
      </c>
      <c r="X20" s="651"/>
      <c r="Y20" s="651"/>
      <c r="Z20" s="651"/>
      <c r="AA20" s="651"/>
      <c r="AB20" s="651"/>
      <c r="AC20" s="651"/>
      <c r="AD20" s="652"/>
    </row>
    <row r="21" spans="3:30">
      <c r="C21" s="238"/>
      <c r="W21" s="653"/>
      <c r="X21" s="654"/>
      <c r="Y21" s="654"/>
      <c r="Z21" s="655"/>
      <c r="AA21" s="656" t="s">
        <v>985</v>
      </c>
      <c r="AB21" s="657"/>
      <c r="AC21" s="657"/>
      <c r="AD21" s="658"/>
    </row>
    <row r="22" spans="3:30">
      <c r="C22" s="238"/>
      <c r="W22" s="659" t="s">
        <v>1627</v>
      </c>
      <c r="X22" s="660"/>
      <c r="Y22" s="713" t="s">
        <v>1057</v>
      </c>
      <c r="Z22" s="501">
        <v>1</v>
      </c>
      <c r="AA22" s="661" t="s">
        <v>1631</v>
      </c>
      <c r="AB22" s="662"/>
      <c r="AC22" s="248" t="s">
        <v>1057</v>
      </c>
      <c r="AD22" s="249">
        <v>1</v>
      </c>
    </row>
    <row r="23" spans="3:30">
      <c r="C23" s="238"/>
      <c r="W23" s="659" t="s">
        <v>1630</v>
      </c>
      <c r="X23" s="660"/>
      <c r="Y23" s="713" t="s">
        <v>1057</v>
      </c>
      <c r="Z23" s="501">
        <v>7</v>
      </c>
      <c r="AA23" s="663" t="s">
        <v>1628</v>
      </c>
      <c r="AB23" s="664"/>
      <c r="AC23" s="248" t="s">
        <v>1057</v>
      </c>
      <c r="AD23" s="249">
        <v>7</v>
      </c>
    </row>
    <row r="24" spans="3:30">
      <c r="C24" s="238"/>
      <c r="W24" s="669"/>
      <c r="X24" s="670"/>
      <c r="Y24" s="246"/>
      <c r="Z24" s="247"/>
      <c r="AA24" s="671"/>
      <c r="AB24" s="672"/>
      <c r="AC24" s="248"/>
      <c r="AD24" s="249"/>
    </row>
    <row r="25" spans="3:30">
      <c r="C25" s="238"/>
      <c r="W25" s="669"/>
      <c r="X25" s="670"/>
      <c r="Y25" s="246"/>
      <c r="Z25" s="247"/>
      <c r="AA25" s="663"/>
      <c r="AB25" s="664"/>
      <c r="AC25" s="248"/>
      <c r="AD25" s="249"/>
    </row>
    <row r="26" spans="3:30">
      <c r="C26" s="238"/>
      <c r="W26" s="485"/>
      <c r="X26" s="486"/>
      <c r="Y26" s="246"/>
      <c r="Z26" s="247"/>
      <c r="AA26" s="663"/>
      <c r="AB26" s="664"/>
      <c r="AC26" s="248"/>
      <c r="AD26" s="249"/>
    </row>
    <row r="27" spans="3:30">
      <c r="C27" s="238"/>
      <c r="W27" s="485"/>
      <c r="X27" s="486"/>
      <c r="Y27" s="246"/>
      <c r="Z27" s="247"/>
      <c r="AA27" s="667"/>
      <c r="AB27" s="668"/>
      <c r="AC27" s="248"/>
      <c r="AD27" s="249"/>
    </row>
    <row r="28" spans="3:30">
      <c r="C28" s="238"/>
      <c r="W28" s="485"/>
      <c r="X28" s="486"/>
      <c r="Y28" s="246"/>
      <c r="Z28" s="247"/>
      <c r="AA28" s="667"/>
      <c r="AB28" s="668"/>
      <c r="AC28" s="248"/>
      <c r="AD28" s="249"/>
    </row>
    <row r="29" spans="3:30">
      <c r="C29" s="238"/>
      <c r="W29" s="485"/>
      <c r="X29" s="486"/>
      <c r="Y29" s="246"/>
      <c r="Z29" s="247"/>
      <c r="AA29" s="667"/>
      <c r="AB29" s="668"/>
      <c r="AC29" s="248"/>
      <c r="AD29" s="249"/>
    </row>
    <row r="30" spans="3:30" ht="11.25" customHeight="1">
      <c r="C30" s="238"/>
      <c r="W30" s="487"/>
      <c r="X30" s="488"/>
      <c r="Y30" s="246"/>
      <c r="Z30" s="247"/>
      <c r="AA30" s="667"/>
      <c r="AB30" s="668"/>
      <c r="AC30" s="248"/>
      <c r="AD30" s="249"/>
    </row>
    <row r="31" spans="3:30">
      <c r="C31" s="238"/>
      <c r="U31" s="250"/>
      <c r="W31" s="485"/>
      <c r="X31" s="486"/>
      <c r="Y31" s="246"/>
      <c r="Z31" s="247"/>
      <c r="AA31" s="667"/>
      <c r="AB31" s="668"/>
      <c r="AC31" s="248"/>
      <c r="AD31" s="249"/>
    </row>
    <row r="32" spans="3:30">
      <c r="C32" s="238"/>
      <c r="U32" s="250"/>
      <c r="W32" s="485"/>
      <c r="X32" s="486"/>
      <c r="Y32" s="246"/>
      <c r="Z32" s="247"/>
      <c r="AA32" s="667"/>
      <c r="AB32" s="668"/>
      <c r="AC32" s="248"/>
      <c r="AD32" s="249"/>
    </row>
    <row r="33" spans="3:30">
      <c r="C33" s="238"/>
      <c r="W33" s="485"/>
      <c r="X33" s="486"/>
      <c r="Y33" s="246"/>
      <c r="Z33" s="247"/>
      <c r="AA33" s="667"/>
      <c r="AB33" s="668"/>
      <c r="AC33" s="248"/>
      <c r="AD33" s="249"/>
    </row>
    <row r="34" spans="3:30">
      <c r="C34" s="238"/>
      <c r="W34" s="485"/>
      <c r="X34" s="486"/>
      <c r="Y34" s="246"/>
      <c r="Z34" s="247"/>
      <c r="AA34" s="667"/>
      <c r="AB34" s="668"/>
      <c r="AC34" s="248"/>
      <c r="AD34" s="249"/>
    </row>
    <row r="35" spans="3:30">
      <c r="C35" s="238"/>
      <c r="W35" s="669"/>
      <c r="X35" s="682"/>
      <c r="Y35" s="246"/>
      <c r="Z35" s="247"/>
      <c r="AA35" s="667"/>
      <c r="AB35" s="668"/>
      <c r="AC35" s="248"/>
      <c r="AD35" s="249"/>
    </row>
    <row r="36" spans="3:30">
      <c r="C36" s="238"/>
      <c r="W36" s="673"/>
      <c r="X36" s="674"/>
      <c r="Y36" s="246"/>
      <c r="Z36" s="251"/>
      <c r="AA36" s="675"/>
      <c r="AB36" s="668"/>
      <c r="AC36" s="248"/>
      <c r="AD36" s="249"/>
    </row>
    <row r="37" spans="3:30" ht="12.75" customHeight="1">
      <c r="C37" s="238"/>
      <c r="W37" s="676"/>
      <c r="X37" s="677"/>
      <c r="Y37" s="246"/>
      <c r="Z37" s="251"/>
      <c r="AA37" s="678"/>
      <c r="AB37" s="679"/>
      <c r="AC37" s="252"/>
      <c r="AD37" s="253"/>
    </row>
    <row r="38" spans="3:30" ht="12.75" customHeight="1">
      <c r="C38" s="238"/>
      <c r="W38" s="676"/>
      <c r="X38" s="677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6"/>
      <c r="X39" s="677"/>
      <c r="Y39" s="254"/>
      <c r="Z39" s="257"/>
      <c r="AA39" s="680"/>
      <c r="AB39" s="681"/>
      <c r="AC39" s="252"/>
      <c r="AD39" s="253"/>
    </row>
    <row r="40" spans="3:30" ht="12" customHeight="1">
      <c r="C40" s="238"/>
      <c r="W40" s="686"/>
      <c r="X40" s="68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8"/>
      <c r="X41" s="689"/>
      <c r="Y41" s="260"/>
      <c r="Z41" s="261"/>
      <c r="AA41" s="680"/>
      <c r="AB41" s="681"/>
      <c r="AC41" s="252"/>
      <c r="AD41" s="253"/>
    </row>
    <row r="42" spans="3:30" ht="12" customHeight="1">
      <c r="C42" s="238"/>
      <c r="W42" s="690" t="s">
        <v>1458</v>
      </c>
      <c r="X42" s="691"/>
      <c r="Y42" s="691"/>
      <c r="Z42" s="69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3" t="s">
        <v>11</v>
      </c>
      <c r="X44" s="684"/>
      <c r="Y44" s="648"/>
      <c r="Z44" s="648"/>
      <c r="AA44" s="648"/>
      <c r="AB44" s="648"/>
      <c r="AC44" s="648"/>
      <c r="AD44" s="649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3" t="s">
        <v>984</v>
      </c>
      <c r="X45" s="684"/>
      <c r="Y45" s="648">
        <v>1</v>
      </c>
      <c r="Z45" s="648"/>
      <c r="AA45" s="648"/>
      <c r="AB45" s="648" t="s">
        <v>12</v>
      </c>
      <c r="AC45" s="64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3" t="s">
        <v>15</v>
      </c>
      <c r="X46" s="684"/>
      <c r="Y46" s="685"/>
      <c r="Z46" s="685"/>
      <c r="AA46" s="685"/>
      <c r="AB46" s="648" t="s">
        <v>16</v>
      </c>
      <c r="AC46" s="64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6" t="s">
        <v>17</v>
      </c>
      <c r="X47" s="696"/>
      <c r="Y47" s="696"/>
      <c r="Z47" s="696"/>
      <c r="AA47" s="696"/>
      <c r="AB47" s="696"/>
      <c r="AC47" s="696"/>
      <c r="AD47" s="697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8" t="str">
        <f>RAB!G6</f>
        <v>ES KRISTAL ABDUL MUIZ</v>
      </c>
      <c r="X48" s="698"/>
      <c r="Y48" s="698"/>
      <c r="Z48" s="698"/>
      <c r="AA48" s="698"/>
      <c r="AB48" s="698"/>
      <c r="AC48" s="698"/>
      <c r="AD48" s="699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8"/>
      <c r="X49" s="698"/>
      <c r="Y49" s="698"/>
      <c r="Z49" s="698"/>
      <c r="AA49" s="698"/>
      <c r="AB49" s="698"/>
      <c r="AC49" s="698"/>
      <c r="AD49" s="699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8"/>
      <c r="X50" s="698"/>
      <c r="Y50" s="698"/>
      <c r="Z50" s="698"/>
      <c r="AA50" s="698"/>
      <c r="AB50" s="698"/>
      <c r="AC50" s="698"/>
      <c r="AD50" s="699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0"/>
      <c r="X51" s="700"/>
      <c r="Y51" s="700"/>
      <c r="Z51" s="700"/>
      <c r="AA51" s="700"/>
      <c r="AB51" s="700"/>
      <c r="AC51" s="700"/>
      <c r="AD51" s="701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3" t="s">
        <v>18</v>
      </c>
      <c r="X52" s="684"/>
      <c r="Y52" s="648" t="s">
        <v>1614</v>
      </c>
      <c r="Z52" s="648"/>
      <c r="AA52" s="648"/>
      <c r="AB52" s="648"/>
      <c r="AC52" s="648"/>
      <c r="AD52" s="64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3" t="s">
        <v>19</v>
      </c>
      <c r="X53" s="684"/>
      <c r="Y53" s="648" t="s">
        <v>1615</v>
      </c>
      <c r="Z53" s="648"/>
      <c r="AA53" s="648"/>
      <c r="AB53" s="648"/>
      <c r="AC53" s="648"/>
      <c r="AD53" s="64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3" t="s">
        <v>20</v>
      </c>
      <c r="X54" s="684"/>
      <c r="Y54" s="692" t="s">
        <v>1616</v>
      </c>
      <c r="Z54" s="692"/>
      <c r="AA54" s="692"/>
      <c r="AB54" s="648"/>
      <c r="AC54" s="648"/>
      <c r="AD54" s="64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3" t="s">
        <v>21</v>
      </c>
      <c r="X55" s="694"/>
      <c r="Y55" s="692" t="s">
        <v>1553</v>
      </c>
      <c r="Z55" s="692"/>
      <c r="AA55" s="692"/>
      <c r="AB55" s="692"/>
      <c r="AC55" s="692"/>
      <c r="AD55" s="695"/>
    </row>
    <row r="56" spans="3:30" ht="12.75" thickBot="1"/>
    <row r="57" spans="3:30" ht="12.75" customHeight="1">
      <c r="C57" s="236"/>
      <c r="D57" s="237"/>
      <c r="E57" s="237"/>
      <c r="F57" s="237"/>
      <c r="G57" s="237"/>
      <c r="H57" s="237"/>
      <c r="I57" s="237"/>
      <c r="J57" s="237"/>
      <c r="K57" s="237"/>
      <c r="L57" s="237"/>
      <c r="M57" s="237"/>
      <c r="N57" s="237"/>
      <c r="O57" s="237"/>
      <c r="P57" s="237"/>
      <c r="Q57" s="237"/>
      <c r="R57" s="237"/>
      <c r="S57" s="237"/>
      <c r="T57" s="237"/>
      <c r="U57" s="237"/>
      <c r="V57" s="237"/>
      <c r="W57" s="642" t="s">
        <v>1438</v>
      </c>
      <c r="X57" s="643"/>
      <c r="Y57" s="643"/>
      <c r="Z57" s="643"/>
      <c r="AA57" s="643"/>
      <c r="AB57" s="643"/>
      <c r="AC57" s="643"/>
      <c r="AD57" s="644"/>
    </row>
    <row r="58" spans="3:30">
      <c r="C58" s="238"/>
      <c r="W58" s="645"/>
      <c r="X58" s="646"/>
      <c r="Y58" s="646"/>
      <c r="Z58" s="646"/>
      <c r="AA58" s="646"/>
      <c r="AB58" s="646"/>
      <c r="AC58" s="646"/>
      <c r="AD58" s="647"/>
    </row>
    <row r="59" spans="3:30">
      <c r="C59" s="238"/>
      <c r="W59" s="239" t="s">
        <v>986</v>
      </c>
      <c r="AD59" s="240"/>
    </row>
    <row r="60" spans="3:30">
      <c r="C60" s="238"/>
      <c r="W60" s="241" t="s">
        <v>990</v>
      </c>
      <c r="X60" s="648" t="s">
        <v>989</v>
      </c>
      <c r="Y60" s="648"/>
      <c r="Z60" s="648"/>
      <c r="AA60" s="648" t="s">
        <v>987</v>
      </c>
      <c r="AB60" s="648"/>
      <c r="AC60" s="648" t="s">
        <v>988</v>
      </c>
      <c r="AD60" s="649"/>
    </row>
    <row r="61" spans="3:30">
      <c r="C61" s="238"/>
      <c r="W61" s="241">
        <v>1</v>
      </c>
      <c r="X61" s="648" t="s">
        <v>992</v>
      </c>
      <c r="Y61" s="648"/>
      <c r="Z61" s="648"/>
      <c r="AA61" s="648"/>
      <c r="AB61" s="648"/>
      <c r="AC61" s="648"/>
      <c r="AD61" s="649"/>
    </row>
    <row r="62" spans="3:30">
      <c r="C62" s="238"/>
      <c r="E62" s="495" t="s">
        <v>1652</v>
      </c>
      <c r="W62" s="241">
        <v>2</v>
      </c>
      <c r="X62" s="648" t="s">
        <v>993</v>
      </c>
      <c r="Y62" s="648"/>
      <c r="Z62" s="648"/>
      <c r="AA62" s="648"/>
      <c r="AB62" s="648"/>
      <c r="AC62" s="648"/>
      <c r="AD62" s="649"/>
    </row>
    <row r="63" spans="3:30">
      <c r="C63" s="238"/>
      <c r="W63" s="241">
        <v>3</v>
      </c>
      <c r="X63" s="648" t="s">
        <v>994</v>
      </c>
      <c r="Y63" s="648"/>
      <c r="Z63" s="648"/>
      <c r="AA63" s="648"/>
      <c r="AB63" s="648"/>
      <c r="AC63" s="648"/>
      <c r="AD63" s="649"/>
    </row>
    <row r="64" spans="3:30">
      <c r="C64" s="238"/>
      <c r="W64" s="241">
        <v>4</v>
      </c>
      <c r="X64" s="648" t="s">
        <v>995</v>
      </c>
      <c r="Y64" s="648"/>
      <c r="Z64" s="648"/>
      <c r="AA64" s="648"/>
      <c r="AB64" s="648"/>
      <c r="AC64" s="648"/>
      <c r="AD64" s="649"/>
    </row>
    <row r="65" spans="3:30">
      <c r="C65" s="238"/>
      <c r="W65" s="241">
        <v>5</v>
      </c>
      <c r="X65" s="648" t="s">
        <v>996</v>
      </c>
      <c r="Y65" s="648"/>
      <c r="Z65" s="648"/>
      <c r="AA65" s="648"/>
      <c r="AB65" s="648"/>
      <c r="AC65" s="648"/>
      <c r="AD65" s="649"/>
    </row>
    <row r="66" spans="3:30">
      <c r="C66" s="238"/>
      <c r="W66" s="241">
        <v>6</v>
      </c>
      <c r="X66" s="648" t="s">
        <v>997</v>
      </c>
      <c r="Y66" s="648"/>
      <c r="Z66" s="648"/>
      <c r="AA66" s="648"/>
      <c r="AB66" s="648"/>
      <c r="AC66" s="648"/>
      <c r="AD66" s="649"/>
    </row>
    <row r="67" spans="3:30">
      <c r="C67" s="238"/>
      <c r="W67" s="241">
        <v>7</v>
      </c>
      <c r="X67" s="648" t="s">
        <v>998</v>
      </c>
      <c r="Y67" s="648"/>
      <c r="Z67" s="648"/>
      <c r="AA67" s="648"/>
      <c r="AB67" s="648"/>
      <c r="AC67" s="648"/>
      <c r="AD67" s="649"/>
    </row>
    <row r="68" spans="3:30" ht="12.75" customHeight="1">
      <c r="C68" s="238"/>
      <c r="R68" s="712"/>
      <c r="S68" s="712"/>
      <c r="W68" s="241">
        <v>8</v>
      </c>
      <c r="X68" s="648" t="s">
        <v>999</v>
      </c>
      <c r="Y68" s="648"/>
      <c r="Z68" s="648"/>
      <c r="AA68" s="648"/>
      <c r="AB68" s="648"/>
      <c r="AC68" s="648"/>
      <c r="AD68" s="649"/>
    </row>
    <row r="69" spans="3:30">
      <c r="C69" s="238"/>
      <c r="W69" s="241">
        <v>9</v>
      </c>
      <c r="X69" s="648" t="s">
        <v>1000</v>
      </c>
      <c r="Y69" s="648"/>
      <c r="Z69" s="648"/>
      <c r="AA69" s="648"/>
      <c r="AB69" s="648"/>
      <c r="AC69" s="648"/>
      <c r="AD69" s="649"/>
    </row>
    <row r="70" spans="3:30">
      <c r="C70" s="238"/>
      <c r="W70" s="241">
        <v>10</v>
      </c>
      <c r="X70" s="648" t="s">
        <v>1009</v>
      </c>
      <c r="Y70" s="648"/>
      <c r="Z70" s="648"/>
      <c r="AA70" s="648"/>
      <c r="AB70" s="648"/>
      <c r="AC70" s="648"/>
      <c r="AD70" s="649"/>
    </row>
    <row r="71" spans="3:30">
      <c r="C71" s="238"/>
      <c r="W71" s="241">
        <v>11</v>
      </c>
      <c r="X71" s="648" t="s">
        <v>1457</v>
      </c>
      <c r="Y71" s="648"/>
      <c r="Z71" s="648"/>
      <c r="AA71" s="648"/>
      <c r="AB71" s="648"/>
      <c r="AC71" s="648"/>
      <c r="AD71" s="649"/>
    </row>
    <row r="72" spans="3:30">
      <c r="C72" s="238"/>
      <c r="S72" s="242"/>
      <c r="W72" s="241">
        <v>12</v>
      </c>
      <c r="X72" s="648" t="s">
        <v>1010</v>
      </c>
      <c r="Y72" s="648"/>
      <c r="Z72" s="648"/>
      <c r="AA72" s="648"/>
      <c r="AB72" s="648"/>
      <c r="AC72" s="648"/>
      <c r="AD72" s="649"/>
    </row>
    <row r="73" spans="3:30">
      <c r="C73" s="243"/>
      <c r="D73" s="244"/>
      <c r="E73" s="244"/>
      <c r="W73" s="241">
        <v>13</v>
      </c>
      <c r="X73" s="648"/>
      <c r="Y73" s="648"/>
      <c r="Z73" s="648"/>
      <c r="AA73" s="648"/>
      <c r="AB73" s="648"/>
      <c r="AC73" s="648"/>
      <c r="AD73" s="649"/>
    </row>
    <row r="74" spans="3:30">
      <c r="C74" s="238"/>
      <c r="W74" s="245"/>
      <c r="X74" s="665"/>
      <c r="Y74" s="665"/>
      <c r="Z74" s="665"/>
      <c r="AA74" s="665"/>
      <c r="AB74" s="665"/>
      <c r="AC74" s="665"/>
      <c r="AD74" s="666"/>
    </row>
    <row r="75" spans="3:30">
      <c r="C75" s="238"/>
      <c r="W75" s="650" t="s">
        <v>991</v>
      </c>
      <c r="X75" s="651"/>
      <c r="Y75" s="651"/>
      <c r="Z75" s="651"/>
      <c r="AA75" s="651"/>
      <c r="AB75" s="651"/>
      <c r="AC75" s="651"/>
      <c r="AD75" s="652"/>
    </row>
    <row r="76" spans="3:30">
      <c r="C76" s="238"/>
      <c r="W76" s="653"/>
      <c r="X76" s="654"/>
      <c r="Y76" s="654"/>
      <c r="Z76" s="655"/>
      <c r="AA76" s="656" t="s">
        <v>985</v>
      </c>
      <c r="AB76" s="657"/>
      <c r="AC76" s="657"/>
      <c r="AD76" s="658"/>
    </row>
    <row r="77" spans="3:30">
      <c r="C77" s="238"/>
      <c r="W77" s="659" t="s">
        <v>1623</v>
      </c>
      <c r="X77" s="660"/>
      <c r="Y77" s="713" t="s">
        <v>1626</v>
      </c>
      <c r="Z77" s="501">
        <v>1</v>
      </c>
      <c r="AA77" s="661"/>
      <c r="AB77" s="662"/>
      <c r="AC77" s="248"/>
      <c r="AD77" s="249"/>
    </row>
    <row r="78" spans="3:30">
      <c r="C78" s="238"/>
      <c r="W78" s="659" t="s">
        <v>1624</v>
      </c>
      <c r="X78" s="660"/>
      <c r="Y78" s="713" t="s">
        <v>1626</v>
      </c>
      <c r="Z78" s="501">
        <v>1</v>
      </c>
      <c r="AA78" s="663"/>
      <c r="AB78" s="664"/>
      <c r="AC78" s="248"/>
      <c r="AD78" s="249"/>
    </row>
    <row r="79" spans="3:30">
      <c r="C79" s="238"/>
      <c r="W79" s="669" t="s">
        <v>1625</v>
      </c>
      <c r="X79" s="670"/>
      <c r="Y79" s="246" t="s">
        <v>1626</v>
      </c>
      <c r="Z79" s="247">
        <v>1</v>
      </c>
      <c r="AA79" s="671"/>
      <c r="AB79" s="672"/>
      <c r="AC79" s="248"/>
      <c r="AD79" s="249"/>
    </row>
    <row r="80" spans="3:30">
      <c r="C80" s="238"/>
      <c r="W80" s="669" t="s">
        <v>1627</v>
      </c>
      <c r="X80" s="670"/>
      <c r="Y80" s="246" t="s">
        <v>1057</v>
      </c>
      <c r="Z80" s="247">
        <v>1</v>
      </c>
      <c r="AA80" s="663"/>
      <c r="AB80" s="664"/>
      <c r="AC80" s="248"/>
      <c r="AD80" s="249"/>
    </row>
    <row r="81" spans="3:30">
      <c r="C81" s="238"/>
      <c r="W81" s="485" t="s">
        <v>1630</v>
      </c>
      <c r="X81" s="486"/>
      <c r="Y81" s="246" t="s">
        <v>1057</v>
      </c>
      <c r="Z81" s="247">
        <v>4</v>
      </c>
      <c r="AA81" s="663"/>
      <c r="AB81" s="664"/>
      <c r="AC81" s="248"/>
      <c r="AD81" s="249"/>
    </row>
    <row r="82" spans="3:30">
      <c r="C82" s="238"/>
      <c r="W82" s="485" t="s">
        <v>1628</v>
      </c>
      <c r="X82" s="486"/>
      <c r="Y82" s="246" t="s">
        <v>1057</v>
      </c>
      <c r="Z82" s="247">
        <v>1</v>
      </c>
      <c r="AA82" s="667"/>
      <c r="AB82" s="668"/>
      <c r="AC82" s="248"/>
      <c r="AD82" s="249"/>
    </row>
    <row r="83" spans="3:30">
      <c r="C83" s="238"/>
      <c r="W83" s="485" t="s">
        <v>1631</v>
      </c>
      <c r="X83" s="486"/>
      <c r="Y83" s="246" t="s">
        <v>1057</v>
      </c>
      <c r="Z83" s="247">
        <v>1</v>
      </c>
      <c r="AA83" s="667"/>
      <c r="AB83" s="668"/>
      <c r="AC83" s="248"/>
      <c r="AD83" s="249"/>
    </row>
    <row r="84" spans="3:30">
      <c r="C84" s="238"/>
      <c r="W84" s="485" t="s">
        <v>1632</v>
      </c>
      <c r="X84" s="486"/>
      <c r="Y84" s="246" t="s">
        <v>1057</v>
      </c>
      <c r="Z84" s="247">
        <v>1</v>
      </c>
      <c r="AA84" s="667"/>
      <c r="AB84" s="668"/>
      <c r="AC84" s="248"/>
      <c r="AD84" s="249"/>
    </row>
    <row r="85" spans="3:30" ht="11.25" customHeight="1">
      <c r="C85" s="238"/>
      <c r="W85" s="485" t="s">
        <v>1629</v>
      </c>
      <c r="X85" s="486"/>
      <c r="Y85" s="246" t="s">
        <v>1057</v>
      </c>
      <c r="Z85" s="247">
        <v>1</v>
      </c>
      <c r="AA85" s="667"/>
      <c r="AB85" s="668"/>
      <c r="AC85" s="248"/>
      <c r="AD85" s="249"/>
    </row>
    <row r="86" spans="3:30">
      <c r="C86" s="238"/>
      <c r="U86" s="250"/>
      <c r="W86" s="485" t="s">
        <v>1620</v>
      </c>
      <c r="X86" s="486"/>
      <c r="Y86" s="246" t="s">
        <v>1057</v>
      </c>
      <c r="Z86" s="247">
        <v>2</v>
      </c>
      <c r="AA86" s="667"/>
      <c r="AB86" s="668"/>
      <c r="AC86" s="248"/>
      <c r="AD86" s="249"/>
    </row>
    <row r="87" spans="3:30">
      <c r="C87" s="238"/>
      <c r="U87" s="250"/>
      <c r="W87" s="485" t="s">
        <v>1633</v>
      </c>
      <c r="X87" s="486"/>
      <c r="Y87" s="246" t="s">
        <v>1057</v>
      </c>
      <c r="Z87" s="247">
        <v>1</v>
      </c>
      <c r="AA87" s="667"/>
      <c r="AB87" s="668"/>
      <c r="AC87" s="248"/>
      <c r="AD87" s="249"/>
    </row>
    <row r="88" spans="3:30">
      <c r="C88" s="238"/>
      <c r="W88" s="485" t="s">
        <v>1634</v>
      </c>
      <c r="X88" s="486"/>
      <c r="Y88" s="246" t="s">
        <v>1057</v>
      </c>
      <c r="Z88" s="247">
        <v>2</v>
      </c>
      <c r="AA88" s="667"/>
      <c r="AB88" s="668"/>
      <c r="AC88" s="248"/>
      <c r="AD88" s="249"/>
    </row>
    <row r="89" spans="3:30">
      <c r="C89" s="238"/>
      <c r="W89" s="485" t="s">
        <v>1635</v>
      </c>
      <c r="X89" s="486"/>
      <c r="Y89" s="246" t="s">
        <v>1057</v>
      </c>
      <c r="Z89" s="247">
        <v>3</v>
      </c>
      <c r="AA89" s="667"/>
      <c r="AB89" s="668"/>
      <c r="AC89" s="248"/>
      <c r="AD89" s="249"/>
    </row>
    <row r="90" spans="3:30">
      <c r="C90" s="238"/>
      <c r="W90" s="669" t="s">
        <v>1636</v>
      </c>
      <c r="X90" s="682"/>
      <c r="Y90" s="246" t="s">
        <v>1057</v>
      </c>
      <c r="Z90" s="247">
        <v>6</v>
      </c>
      <c r="AA90" s="667"/>
      <c r="AB90" s="668"/>
      <c r="AC90" s="248"/>
      <c r="AD90" s="249"/>
    </row>
    <row r="91" spans="3:30">
      <c r="C91" s="238"/>
      <c r="W91" s="714" t="s">
        <v>1640</v>
      </c>
      <c r="X91" s="715"/>
      <c r="Y91" s="246" t="s">
        <v>1057</v>
      </c>
      <c r="Z91" s="251">
        <v>1</v>
      </c>
      <c r="AA91" s="675"/>
      <c r="AB91" s="668"/>
      <c r="AC91" s="248"/>
      <c r="AD91" s="249"/>
    </row>
    <row r="92" spans="3:30" ht="12.75" customHeight="1">
      <c r="C92" s="238"/>
      <c r="W92" s="716" t="s">
        <v>1641</v>
      </c>
      <c r="X92" s="717"/>
      <c r="Y92" s="246" t="s">
        <v>1057</v>
      </c>
      <c r="Z92" s="246">
        <v>1</v>
      </c>
      <c r="AA92" s="678"/>
      <c r="AB92" s="679"/>
      <c r="AC92" s="252"/>
      <c r="AD92" s="253"/>
    </row>
    <row r="93" spans="3:30" ht="12.75" customHeight="1">
      <c r="C93" s="238"/>
      <c r="W93" s="718" t="s">
        <v>1637</v>
      </c>
      <c r="X93" s="719"/>
      <c r="Y93" s="246" t="s">
        <v>1057</v>
      </c>
      <c r="Z93" s="251">
        <v>1</v>
      </c>
      <c r="AA93" s="255"/>
      <c r="AB93" s="256"/>
      <c r="AC93" s="252"/>
      <c r="AD93" s="253"/>
    </row>
    <row r="94" spans="3:30" ht="12" customHeight="1">
      <c r="C94" s="238"/>
      <c r="W94" s="720" t="s">
        <v>1638</v>
      </c>
      <c r="X94" s="721"/>
      <c r="Y94" s="246" t="s">
        <v>1057</v>
      </c>
      <c r="Z94" s="246">
        <f>640*3</f>
        <v>1920</v>
      </c>
      <c r="AA94" s="680"/>
      <c r="AB94" s="681"/>
      <c r="AC94" s="252"/>
      <c r="AD94" s="253"/>
    </row>
    <row r="95" spans="3:30" ht="12" customHeight="1">
      <c r="C95" s="238"/>
      <c r="W95" s="716" t="s">
        <v>1639</v>
      </c>
      <c r="X95" s="717"/>
      <c r="Y95" s="246" t="s">
        <v>1057</v>
      </c>
      <c r="Z95" s="254">
        <v>250</v>
      </c>
      <c r="AA95" s="258"/>
      <c r="AB95" s="259"/>
      <c r="AC95" s="252"/>
      <c r="AD95" s="253"/>
    </row>
    <row r="96" spans="3:30" ht="12" customHeight="1">
      <c r="C96" s="238"/>
      <c r="W96" s="676"/>
      <c r="X96" s="677"/>
      <c r="Y96" s="246"/>
      <c r="Z96" s="254"/>
      <c r="AA96" s="680"/>
      <c r="AB96" s="681"/>
      <c r="AC96" s="252"/>
      <c r="AD96" s="253"/>
    </row>
    <row r="97" spans="3:30" ht="12" customHeight="1">
      <c r="C97" s="238"/>
      <c r="W97" s="690" t="s">
        <v>1458</v>
      </c>
      <c r="X97" s="691"/>
      <c r="Y97" s="691"/>
      <c r="Z97" s="691"/>
      <c r="AA97" s="262"/>
      <c r="AB97" s="262"/>
      <c r="AC97" s="262"/>
      <c r="AD97" s="263"/>
    </row>
    <row r="98" spans="3:30" ht="12" customHeight="1">
      <c r="C98" s="238"/>
      <c r="V98" s="264"/>
      <c r="W98" s="265"/>
      <c r="X98" s="266"/>
      <c r="Y98" s="266"/>
      <c r="Z98" s="266"/>
      <c r="AA98" s="266"/>
      <c r="AB98" s="266"/>
      <c r="AC98" s="266"/>
      <c r="AD98" s="267"/>
    </row>
    <row r="99" spans="3:30">
      <c r="C99" s="268"/>
      <c r="D99" s="269"/>
      <c r="E99" s="269"/>
      <c r="F99" s="269"/>
      <c r="G99" s="269"/>
      <c r="H99" s="269"/>
      <c r="I99" s="269"/>
      <c r="J99" s="269"/>
      <c r="K99" s="269"/>
      <c r="L99" s="269"/>
      <c r="M99" s="269"/>
      <c r="N99" s="269"/>
      <c r="O99" s="269"/>
      <c r="P99" s="269"/>
      <c r="Q99" s="269"/>
      <c r="R99" s="269"/>
      <c r="S99" s="269"/>
      <c r="T99" s="269"/>
      <c r="U99" s="269"/>
      <c r="V99" s="264"/>
      <c r="W99" s="683" t="s">
        <v>11</v>
      </c>
      <c r="X99" s="684"/>
      <c r="Y99" s="648"/>
      <c r="Z99" s="648"/>
      <c r="AA99" s="648"/>
      <c r="AB99" s="648"/>
      <c r="AC99" s="648"/>
      <c r="AD99" s="649"/>
    </row>
    <row r="100" spans="3:30">
      <c r="C100" s="268"/>
      <c r="D100" s="269"/>
      <c r="E100" s="269"/>
      <c r="F100" s="269"/>
      <c r="G100" s="269"/>
      <c r="H100" s="269"/>
      <c r="I100" s="269"/>
      <c r="J100" s="269"/>
      <c r="K100" s="269"/>
      <c r="L100" s="269"/>
      <c r="M100" s="269"/>
      <c r="N100" s="269"/>
      <c r="O100" s="269"/>
      <c r="P100" s="269"/>
      <c r="Q100" s="269"/>
      <c r="R100" s="269"/>
      <c r="S100" s="269"/>
      <c r="T100" s="269"/>
      <c r="U100" s="269"/>
      <c r="V100" s="264"/>
      <c r="W100" s="683" t="s">
        <v>984</v>
      </c>
      <c r="X100" s="684"/>
      <c r="Y100" s="648">
        <v>1</v>
      </c>
      <c r="Z100" s="648"/>
      <c r="AA100" s="648"/>
      <c r="AB100" s="648" t="s">
        <v>12</v>
      </c>
      <c r="AC100" s="648"/>
      <c r="AD100" s="270" t="s">
        <v>13</v>
      </c>
    </row>
    <row r="101" spans="3:30">
      <c r="C101" s="268"/>
      <c r="D101" s="269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4"/>
      <c r="W101" s="683" t="s">
        <v>15</v>
      </c>
      <c r="X101" s="684"/>
      <c r="Y101" s="685"/>
      <c r="Z101" s="685"/>
      <c r="AA101" s="685"/>
      <c r="AB101" s="648" t="s">
        <v>16</v>
      </c>
      <c r="AC101" s="648"/>
      <c r="AD101" s="271"/>
    </row>
    <row r="102" spans="3:30">
      <c r="C102" s="268"/>
      <c r="D102" s="269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4"/>
      <c r="W102" s="696" t="s">
        <v>17</v>
      </c>
      <c r="X102" s="696"/>
      <c r="Y102" s="696"/>
      <c r="Z102" s="696"/>
      <c r="AA102" s="696"/>
      <c r="AB102" s="696"/>
      <c r="AC102" s="696"/>
      <c r="AD102" s="697"/>
    </row>
    <row r="103" spans="3:30" ht="12.75" customHeight="1">
      <c r="C103" s="268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4"/>
      <c r="W103" s="698">
        <f ca="1">RAB!G211</f>
        <v>1113900</v>
      </c>
      <c r="X103" s="698"/>
      <c r="Y103" s="698"/>
      <c r="Z103" s="698"/>
      <c r="AA103" s="698"/>
      <c r="AB103" s="698"/>
      <c r="AC103" s="698"/>
      <c r="AD103" s="699"/>
    </row>
    <row r="104" spans="3:30">
      <c r="C104" s="268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72"/>
      <c r="W104" s="698"/>
      <c r="X104" s="698"/>
      <c r="Y104" s="698"/>
      <c r="Z104" s="698"/>
      <c r="AA104" s="698"/>
      <c r="AB104" s="698"/>
      <c r="AC104" s="698"/>
      <c r="AD104" s="699"/>
    </row>
    <row r="105" spans="3:30">
      <c r="C105" s="268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72"/>
      <c r="W105" s="698"/>
      <c r="X105" s="698"/>
      <c r="Y105" s="698"/>
      <c r="Z105" s="698"/>
      <c r="AA105" s="698"/>
      <c r="AB105" s="698"/>
      <c r="AC105" s="698"/>
      <c r="AD105" s="699"/>
    </row>
    <row r="106" spans="3:30" ht="19.5" customHeight="1">
      <c r="C106" s="268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72"/>
      <c r="W106" s="700"/>
      <c r="X106" s="700"/>
      <c r="Y106" s="700"/>
      <c r="Z106" s="700"/>
      <c r="AA106" s="700"/>
      <c r="AB106" s="700"/>
      <c r="AC106" s="700"/>
      <c r="AD106" s="701"/>
    </row>
    <row r="107" spans="3:30">
      <c r="C107" s="268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64"/>
      <c r="W107" s="683" t="s">
        <v>18</v>
      </c>
      <c r="X107" s="684"/>
      <c r="Y107" s="648" t="s">
        <v>1614</v>
      </c>
      <c r="Z107" s="648"/>
      <c r="AA107" s="648"/>
      <c r="AB107" s="648"/>
      <c r="AC107" s="648"/>
      <c r="AD107" s="649"/>
    </row>
    <row r="108" spans="3:30">
      <c r="C108" s="268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V108" s="264"/>
      <c r="W108" s="683" t="s">
        <v>19</v>
      </c>
      <c r="X108" s="684"/>
      <c r="Y108" s="648" t="s">
        <v>1615</v>
      </c>
      <c r="Z108" s="648"/>
      <c r="AA108" s="648"/>
      <c r="AB108" s="648"/>
      <c r="AC108" s="648"/>
      <c r="AD108" s="649"/>
    </row>
    <row r="109" spans="3:30" ht="12.75" thickBot="1">
      <c r="C109" s="268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V109" s="264"/>
      <c r="W109" s="683" t="s">
        <v>20</v>
      </c>
      <c r="X109" s="684"/>
      <c r="Y109" s="692" t="s">
        <v>1616</v>
      </c>
      <c r="Z109" s="692"/>
      <c r="AA109" s="692"/>
      <c r="AB109" s="648"/>
      <c r="AC109" s="648"/>
      <c r="AD109" s="649"/>
    </row>
    <row r="110" spans="3:30" ht="12.75" thickBot="1">
      <c r="C110" s="273"/>
      <c r="D110" s="274"/>
      <c r="E110" s="274"/>
      <c r="F110" s="274"/>
      <c r="G110" s="274"/>
      <c r="H110" s="274"/>
      <c r="I110" s="274"/>
      <c r="J110" s="274"/>
      <c r="K110" s="274"/>
      <c r="L110" s="274"/>
      <c r="M110" s="274"/>
      <c r="N110" s="274"/>
      <c r="O110" s="274"/>
      <c r="P110" s="274"/>
      <c r="Q110" s="274"/>
      <c r="R110" s="274"/>
      <c r="S110" s="274"/>
      <c r="T110" s="274"/>
      <c r="U110" s="275"/>
      <c r="V110" s="276"/>
      <c r="W110" s="693" t="s">
        <v>21</v>
      </c>
      <c r="X110" s="694"/>
      <c r="Y110" s="692" t="s">
        <v>1553</v>
      </c>
      <c r="Z110" s="692"/>
      <c r="AA110" s="692"/>
      <c r="AB110" s="692"/>
      <c r="AC110" s="692"/>
      <c r="AD110" s="695"/>
    </row>
  </sheetData>
  <mergeCells count="201">
    <mergeCell ref="W109:X109"/>
    <mergeCell ref="Y109:AA109"/>
    <mergeCell ref="AB109:AD109"/>
    <mergeCell ref="W110:X110"/>
    <mergeCell ref="Y110:AA110"/>
    <mergeCell ref="AB110:AD110"/>
    <mergeCell ref="R68:S68"/>
    <mergeCell ref="W101:X101"/>
    <mergeCell ref="Y101:AA101"/>
    <mergeCell ref="AB101:AC101"/>
    <mergeCell ref="W102:AD102"/>
    <mergeCell ref="W103:AD106"/>
    <mergeCell ref="W107:X107"/>
    <mergeCell ref="Y107:AA107"/>
    <mergeCell ref="AB107:AD107"/>
    <mergeCell ref="W108:X108"/>
    <mergeCell ref="Y108:AA108"/>
    <mergeCell ref="AB108:AD108"/>
    <mergeCell ref="AA94:AB94"/>
    <mergeCell ref="W95:X95"/>
    <mergeCell ref="W96:X96"/>
    <mergeCell ref="AA96:AB96"/>
    <mergeCell ref="W97:Z97"/>
    <mergeCell ref="W99:X99"/>
    <mergeCell ref="Y99:AD99"/>
    <mergeCell ref="W100:X100"/>
    <mergeCell ref="Y100:AA100"/>
    <mergeCell ref="AB100:AC100"/>
    <mergeCell ref="AA88:AB88"/>
    <mergeCell ref="AA89:AB89"/>
    <mergeCell ref="W90:X90"/>
    <mergeCell ref="AA90:AB90"/>
    <mergeCell ref="W91:X91"/>
    <mergeCell ref="AA91:AB91"/>
    <mergeCell ref="W92:X92"/>
    <mergeCell ref="AA92:AB92"/>
    <mergeCell ref="W80:X80"/>
    <mergeCell ref="AA80:AB80"/>
    <mergeCell ref="AA81:AB81"/>
    <mergeCell ref="AA82:AB82"/>
    <mergeCell ref="AA83:AB83"/>
    <mergeCell ref="AA84:AB84"/>
    <mergeCell ref="AA85:AB85"/>
    <mergeCell ref="AA86:AB86"/>
    <mergeCell ref="AA87:AB87"/>
    <mergeCell ref="W75:AD75"/>
    <mergeCell ref="W76:Z76"/>
    <mergeCell ref="AA76:AD76"/>
    <mergeCell ref="W77:X77"/>
    <mergeCell ref="AA77:AB77"/>
    <mergeCell ref="W78:X78"/>
    <mergeCell ref="AA78:AB78"/>
    <mergeCell ref="W79:X79"/>
    <mergeCell ref="AA79:AB79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66:Z66"/>
    <mergeCell ref="AA66:AB66"/>
    <mergeCell ref="AC66:AD66"/>
    <mergeCell ref="X67:Z67"/>
    <mergeCell ref="AA67:AB67"/>
    <mergeCell ref="AC67:AD67"/>
    <mergeCell ref="X68:Z68"/>
    <mergeCell ref="AA68:AB68"/>
    <mergeCell ref="AC68:AD68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W57:AD58"/>
    <mergeCell ref="X60:Z60"/>
    <mergeCell ref="AA60:AB60"/>
    <mergeCell ref="AC60:AD60"/>
    <mergeCell ref="X61:Z61"/>
    <mergeCell ref="AA61:AB61"/>
    <mergeCell ref="AC61:AD61"/>
    <mergeCell ref="X62:Z62"/>
    <mergeCell ref="AA62:AB62"/>
    <mergeCell ref="AC62:AD62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Y44" sqref="Y44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2" t="s">
        <v>1530</v>
      </c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703"/>
      <c r="X4" s="703"/>
      <c r="Y4" s="703"/>
      <c r="Z4" s="703"/>
      <c r="AA4" s="703"/>
      <c r="AB4" s="703"/>
      <c r="AC4" s="704"/>
      <c r="AD4" s="217"/>
      <c r="AE4" s="216"/>
      <c r="AF4" s="216"/>
    </row>
    <row r="5" spans="2:32" ht="13.5" customHeight="1">
      <c r="B5" s="215"/>
      <c r="C5" s="215"/>
      <c r="D5" s="705"/>
      <c r="E5" s="706"/>
      <c r="F5" s="706"/>
      <c r="G5" s="706"/>
      <c r="H5" s="706"/>
      <c r="I5" s="706"/>
      <c r="J5" s="706"/>
      <c r="K5" s="706"/>
      <c r="L5" s="706"/>
      <c r="M5" s="706"/>
      <c r="N5" s="706"/>
      <c r="O5" s="706"/>
      <c r="P5" s="706"/>
      <c r="Q5" s="706"/>
      <c r="R5" s="706"/>
      <c r="S5" s="706"/>
      <c r="T5" s="706"/>
      <c r="U5" s="706"/>
      <c r="V5" s="706"/>
      <c r="W5" s="706"/>
      <c r="X5" s="706"/>
      <c r="Y5" s="706"/>
      <c r="Z5" s="706"/>
      <c r="AA5" s="706"/>
      <c r="AB5" s="706"/>
      <c r="AC5" s="707"/>
      <c r="AD5" s="217"/>
      <c r="AE5" s="216"/>
      <c r="AF5" s="216"/>
    </row>
    <row r="6" spans="2:32" ht="12.75" customHeight="1">
      <c r="B6" s="215"/>
      <c r="C6" s="215"/>
      <c r="D6" s="705"/>
      <c r="E6" s="706"/>
      <c r="F6" s="706"/>
      <c r="G6" s="706"/>
      <c r="H6" s="706"/>
      <c r="I6" s="706"/>
      <c r="J6" s="706"/>
      <c r="K6" s="706"/>
      <c r="L6" s="706"/>
      <c r="M6" s="706"/>
      <c r="N6" s="706"/>
      <c r="O6" s="706"/>
      <c r="P6" s="706"/>
      <c r="Q6" s="706"/>
      <c r="R6" s="706"/>
      <c r="S6" s="706"/>
      <c r="T6" s="706"/>
      <c r="U6" s="706"/>
      <c r="V6" s="706"/>
      <c r="W6" s="706"/>
      <c r="X6" s="706"/>
      <c r="Y6" s="706"/>
      <c r="Z6" s="706"/>
      <c r="AA6" s="706"/>
      <c r="AB6" s="706"/>
      <c r="AC6" s="707"/>
      <c r="AE6" s="216"/>
      <c r="AF6" s="216"/>
    </row>
    <row r="7" spans="2:32" ht="12.75" customHeight="1" thickBot="1">
      <c r="B7" s="215"/>
      <c r="C7" s="215"/>
      <c r="D7" s="708"/>
      <c r="E7" s="709"/>
      <c r="F7" s="709"/>
      <c r="G7" s="709"/>
      <c r="H7" s="709"/>
      <c r="I7" s="709"/>
      <c r="J7" s="709"/>
      <c r="K7" s="709"/>
      <c r="L7" s="709"/>
      <c r="M7" s="709"/>
      <c r="N7" s="709"/>
      <c r="O7" s="709"/>
      <c r="P7" s="709"/>
      <c r="Q7" s="709"/>
      <c r="R7" s="709"/>
      <c r="S7" s="709"/>
      <c r="T7" s="709"/>
      <c r="U7" s="709"/>
      <c r="V7" s="709"/>
      <c r="W7" s="709"/>
      <c r="X7" s="709"/>
      <c r="Y7" s="709"/>
      <c r="Z7" s="709"/>
      <c r="AA7" s="709"/>
      <c r="AB7" s="709"/>
      <c r="AC7" s="710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3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tabSelected="1" view="pageBreakPreview" zoomScale="40" zoomScaleNormal="40" zoomScaleSheetLayoutView="40" workbookViewId="0">
      <selection activeCell="U10" sqref="U10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6" t="s">
        <v>1529</v>
      </c>
      <c r="D3" s="706"/>
      <c r="E3" s="706"/>
      <c r="F3" s="706"/>
      <c r="G3" s="706"/>
      <c r="H3" s="706"/>
      <c r="I3" s="706"/>
      <c r="J3" s="706"/>
      <c r="K3" s="706"/>
      <c r="L3" s="706"/>
      <c r="M3" s="706"/>
      <c r="N3" s="706"/>
      <c r="O3" s="706"/>
      <c r="P3" s="706"/>
      <c r="Q3" s="706"/>
      <c r="R3" s="706"/>
      <c r="S3" s="706"/>
      <c r="T3" s="706"/>
      <c r="U3" s="706"/>
      <c r="V3" s="706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06"/>
      <c r="D4" s="706"/>
      <c r="E4" s="706"/>
      <c r="F4" s="706"/>
      <c r="G4" s="706"/>
      <c r="H4" s="706"/>
      <c r="I4" s="706"/>
      <c r="J4" s="706"/>
      <c r="K4" s="706"/>
      <c r="L4" s="706"/>
      <c r="M4" s="706"/>
      <c r="N4" s="706"/>
      <c r="O4" s="706"/>
      <c r="P4" s="706"/>
      <c r="Q4" s="706"/>
      <c r="R4" s="706"/>
      <c r="S4" s="706"/>
      <c r="T4" s="706"/>
      <c r="U4" s="706"/>
      <c r="V4" s="706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11"/>
      <c r="D6" s="711"/>
      <c r="E6" s="711"/>
      <c r="F6" s="711"/>
      <c r="G6" s="711"/>
      <c r="H6" s="711"/>
      <c r="I6" s="711"/>
      <c r="J6" s="711"/>
      <c r="K6" s="711"/>
      <c r="L6" s="711"/>
      <c r="M6" s="711"/>
      <c r="W6" s="182"/>
      <c r="Y6" s="432"/>
      <c r="Z6" s="432"/>
      <c r="AA6" s="432"/>
      <c r="AB6" s="433"/>
      <c r="AC6" s="433"/>
    </row>
    <row r="7" spans="1:29" ht="18" customHeight="1">
      <c r="A7" s="181"/>
      <c r="C7" s="711"/>
      <c r="D7" s="711"/>
      <c r="E7" s="711"/>
      <c r="F7" s="711"/>
      <c r="G7" s="711"/>
      <c r="H7" s="711"/>
      <c r="I7" s="711"/>
      <c r="J7" s="711"/>
      <c r="K7" s="711"/>
      <c r="L7" s="711"/>
      <c r="M7" s="711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E9" s="429" t="s">
        <v>1653</v>
      </c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2023-02-27T08:00:50Z</cp:lastPrinted>
  <dcterms:created xsi:type="dcterms:W3CDTF">2011-02-06T11:57:38Z</dcterms:created>
  <dcterms:modified xsi:type="dcterms:W3CDTF">2024-06-13T06:36:48Z</dcterms:modified>
</cp:coreProperties>
</file>