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20F09CE9-AF94-47B2-AF04-CB2A1E36BADB}" xr6:coauthVersionLast="47" xr6:coauthVersionMax="47" xr10:uidLastSave="{00000000-0000-0000-0000-000000000000}"/>
  <bookViews>
    <workbookView xWindow="-120" yWindow="-120" windowWidth="29040" windowHeight="1572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7" i="11" l="1"/>
  <c r="J127" i="11" s="1"/>
  <c r="E127" i="11"/>
  <c r="G127" i="11"/>
  <c r="H127" i="11"/>
  <c r="I127" i="11"/>
  <c r="D128" i="11"/>
  <c r="J128" i="11" s="1"/>
  <c r="E128" i="11"/>
  <c r="G128" i="11"/>
  <c r="D129" i="11"/>
  <c r="H129" i="11" s="1"/>
  <c r="E129" i="11"/>
  <c r="G129" i="11"/>
  <c r="D130" i="11"/>
  <c r="H130" i="11" s="1"/>
  <c r="E130" i="11"/>
  <c r="G130" i="11"/>
  <c r="D131" i="11"/>
  <c r="E131" i="11"/>
  <c r="G131" i="11"/>
  <c r="D132" i="11"/>
  <c r="E132" i="11"/>
  <c r="G132" i="11"/>
  <c r="D133" i="11"/>
  <c r="H133" i="11" s="1"/>
  <c r="E133" i="11"/>
  <c r="G133" i="11"/>
  <c r="D134" i="11"/>
  <c r="J134" i="11" s="1"/>
  <c r="E134" i="11"/>
  <c r="G134" i="11"/>
  <c r="D135" i="11"/>
  <c r="H135" i="11" s="1"/>
  <c r="E135" i="11"/>
  <c r="G135" i="11"/>
  <c r="F97" i="11"/>
  <c r="F63" i="11"/>
  <c r="F62" i="11"/>
  <c r="F61" i="11"/>
  <c r="F60" i="11"/>
  <c r="F59" i="11"/>
  <c r="F56" i="11"/>
  <c r="F55" i="11"/>
  <c r="F54" i="11"/>
  <c r="F53" i="11"/>
  <c r="F52" i="11"/>
  <c r="F48" i="11"/>
  <c r="D47" i="11"/>
  <c r="J47" i="11" s="1"/>
  <c r="E47" i="11"/>
  <c r="G47" i="11"/>
  <c r="D48" i="1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J52" i="11" s="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E56" i="11"/>
  <c r="G56" i="11"/>
  <c r="D57" i="11"/>
  <c r="H57" i="11" s="1"/>
  <c r="E57" i="11"/>
  <c r="G57" i="11"/>
  <c r="D58" i="11"/>
  <c r="J58" i="11" s="1"/>
  <c r="E58" i="11"/>
  <c r="G58" i="11"/>
  <c r="D59" i="11"/>
  <c r="J59" i="11" s="1"/>
  <c r="E59" i="11"/>
  <c r="G59" i="11"/>
  <c r="D60" i="11"/>
  <c r="J60" i="11" s="1"/>
  <c r="E60" i="11"/>
  <c r="G60" i="11"/>
  <c r="D61" i="11"/>
  <c r="H61" i="11" s="1"/>
  <c r="E61" i="11"/>
  <c r="G61" i="11"/>
  <c r="D62" i="11"/>
  <c r="H62" i="11" s="1"/>
  <c r="E62" i="11"/>
  <c r="G62" i="11"/>
  <c r="D63" i="11"/>
  <c r="E63" i="11"/>
  <c r="G63" i="11"/>
  <c r="D64" i="11"/>
  <c r="J64" i="11" s="1"/>
  <c r="E64" i="11"/>
  <c r="G64" i="11"/>
  <c r="F45" i="11"/>
  <c r="F44" i="11"/>
  <c r="F43" i="11"/>
  <c r="F42" i="11"/>
  <c r="F41" i="11"/>
  <c r="F40" i="11"/>
  <c r="F39" i="11"/>
  <c r="F38" i="11"/>
  <c r="F37" i="11"/>
  <c r="F36" i="11"/>
  <c r="F20" i="11"/>
  <c r="G18" i="11"/>
  <c r="G19" i="11"/>
  <c r="G20" i="11"/>
  <c r="G21" i="11"/>
  <c r="G22" i="11"/>
  <c r="G23" i="11"/>
  <c r="D18" i="11"/>
  <c r="H18" i="11" s="1"/>
  <c r="E18" i="11"/>
  <c r="D19" i="11"/>
  <c r="J19" i="11" s="1"/>
  <c r="E19" i="11"/>
  <c r="D20" i="11"/>
  <c r="I20" i="11" s="1"/>
  <c r="E20" i="11"/>
  <c r="D21" i="11"/>
  <c r="H21" i="11" s="1"/>
  <c r="E21" i="11"/>
  <c r="D22" i="11"/>
  <c r="J22" i="11" s="1"/>
  <c r="E22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J46" i="11" s="1"/>
  <c r="E46" i="11"/>
  <c r="G46" i="11"/>
  <c r="F33" i="11"/>
  <c r="F32" i="11"/>
  <c r="F31" i="11"/>
  <c r="F30" i="11"/>
  <c r="F29" i="11"/>
  <c r="F28" i="11"/>
  <c r="F27" i="11"/>
  <c r="F26" i="11"/>
  <c r="F25" i="11"/>
  <c r="D23" i="11"/>
  <c r="I23" i="11" s="1"/>
  <c r="E23" i="11"/>
  <c r="D24" i="11"/>
  <c r="J24" i="11" s="1"/>
  <c r="E24" i="11"/>
  <c r="G24" i="11"/>
  <c r="D25" i="11"/>
  <c r="E25" i="11"/>
  <c r="G25" i="11"/>
  <c r="D26" i="11"/>
  <c r="H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J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J129" i="11" l="1"/>
  <c r="J131" i="11"/>
  <c r="J132" i="11"/>
  <c r="K127" i="11"/>
  <c r="J133" i="11"/>
  <c r="I133" i="11"/>
  <c r="J135" i="11"/>
  <c r="I131" i="11"/>
  <c r="I129" i="11"/>
  <c r="K129" i="11" s="1"/>
  <c r="I135" i="11"/>
  <c r="K135" i="11" s="1"/>
  <c r="H131" i="11"/>
  <c r="I130" i="11"/>
  <c r="I134" i="11"/>
  <c r="I132" i="11"/>
  <c r="H134" i="11"/>
  <c r="H132" i="11"/>
  <c r="J130" i="11"/>
  <c r="H128" i="11"/>
  <c r="I128" i="11"/>
  <c r="J63" i="11"/>
  <c r="J56" i="11"/>
  <c r="J62" i="11"/>
  <c r="J49" i="11"/>
  <c r="J48" i="11"/>
  <c r="H47" i="11"/>
  <c r="I62" i="11"/>
  <c r="I47" i="11"/>
  <c r="I58" i="11"/>
  <c r="J61" i="11"/>
  <c r="I55" i="11"/>
  <c r="J54" i="11"/>
  <c r="H58" i="11"/>
  <c r="J57" i="11"/>
  <c r="I54" i="11"/>
  <c r="I53" i="11"/>
  <c r="I50" i="11"/>
  <c r="I61" i="11"/>
  <c r="I60" i="11"/>
  <c r="I59" i="11"/>
  <c r="H53" i="11"/>
  <c r="I52" i="11"/>
  <c r="I51" i="11"/>
  <c r="H50" i="11"/>
  <c r="I57" i="11"/>
  <c r="H55" i="11"/>
  <c r="I49" i="11"/>
  <c r="H59" i="11"/>
  <c r="K59" i="11" s="1"/>
  <c r="H51" i="11"/>
  <c r="I63" i="11"/>
  <c r="H63" i="11"/>
  <c r="I56" i="11"/>
  <c r="I48" i="11"/>
  <c r="H64" i="11"/>
  <c r="H60" i="11"/>
  <c r="H56" i="11"/>
  <c r="H52" i="11"/>
  <c r="H48" i="11"/>
  <c r="I64" i="11"/>
  <c r="I22" i="11"/>
  <c r="I19" i="11"/>
  <c r="I41" i="11"/>
  <c r="H23" i="11"/>
  <c r="H22" i="11"/>
  <c r="K22" i="11" s="1"/>
  <c r="I21" i="11"/>
  <c r="H19" i="11"/>
  <c r="I18" i="11"/>
  <c r="J21" i="11"/>
  <c r="H20" i="11"/>
  <c r="J18" i="11"/>
  <c r="J23" i="11"/>
  <c r="J20" i="11"/>
  <c r="J41" i="11"/>
  <c r="I39" i="11"/>
  <c r="H25" i="11"/>
  <c r="I43" i="11"/>
  <c r="I42" i="11"/>
  <c r="J45" i="11"/>
  <c r="H39" i="11"/>
  <c r="I45" i="11"/>
  <c r="H42" i="11"/>
  <c r="H43" i="11"/>
  <c r="I31" i="11"/>
  <c r="H46" i="11"/>
  <c r="H44" i="11"/>
  <c r="H40" i="11"/>
  <c r="I40" i="11"/>
  <c r="I46" i="11"/>
  <c r="I44" i="11"/>
  <c r="J37" i="11"/>
  <c r="I37" i="11"/>
  <c r="J33" i="11"/>
  <c r="J25" i="11"/>
  <c r="I27" i="11"/>
  <c r="I35" i="11"/>
  <c r="I33" i="11"/>
  <c r="H31" i="11"/>
  <c r="I30" i="11"/>
  <c r="J29" i="11"/>
  <c r="H27" i="11"/>
  <c r="I26" i="11"/>
  <c r="I29" i="11"/>
  <c r="I25" i="11"/>
  <c r="I38" i="11"/>
  <c r="H35" i="11"/>
  <c r="I34" i="11"/>
  <c r="I36" i="11"/>
  <c r="I32" i="11"/>
  <c r="I28" i="11"/>
  <c r="I24" i="11"/>
  <c r="J38" i="11"/>
  <c r="H36" i="11"/>
  <c r="J34" i="11"/>
  <c r="H32" i="11"/>
  <c r="J30" i="11"/>
  <c r="H28" i="11"/>
  <c r="J26" i="11"/>
  <c r="H24" i="11"/>
  <c r="K133" i="11" l="1"/>
  <c r="K131" i="11"/>
  <c r="K128" i="11"/>
  <c r="K134" i="11"/>
  <c r="K130" i="11"/>
  <c r="K132" i="11"/>
  <c r="K58" i="11"/>
  <c r="K62" i="11"/>
  <c r="K49" i="11"/>
  <c r="K61" i="11"/>
  <c r="K50" i="11"/>
  <c r="K57" i="11"/>
  <c r="K54" i="11"/>
  <c r="K47" i="11"/>
  <c r="K56" i="11"/>
  <c r="K55" i="11"/>
  <c r="K48" i="11"/>
  <c r="K60" i="11"/>
  <c r="K53" i="11"/>
  <c r="K51" i="11"/>
  <c r="K63" i="11"/>
  <c r="K52" i="11"/>
  <c r="K64" i="11"/>
  <c r="K41" i="11"/>
  <c r="K19" i="11"/>
  <c r="K21" i="11"/>
  <c r="K23" i="11"/>
  <c r="K18" i="11"/>
  <c r="K20" i="11"/>
  <c r="K45" i="11"/>
  <c r="K43" i="11"/>
  <c r="K39" i="11"/>
  <c r="K42" i="11"/>
  <c r="K29" i="11"/>
  <c r="K31" i="11"/>
  <c r="K37" i="11"/>
  <c r="K33" i="11"/>
  <c r="K40" i="11"/>
  <c r="K25" i="11"/>
  <c r="K36" i="11"/>
  <c r="K30" i="11"/>
  <c r="K32" i="11"/>
  <c r="K46" i="11"/>
  <c r="K35" i="11"/>
  <c r="K44" i="11"/>
  <c r="K27" i="11"/>
  <c r="K34" i="11"/>
  <c r="K24" i="11"/>
  <c r="K26" i="11"/>
  <c r="K28" i="11"/>
  <c r="K38" i="11"/>
  <c r="F70" i="11" l="1"/>
  <c r="F69" i="11"/>
  <c r="F68" i="11"/>
  <c r="F67" i="11"/>
  <c r="F66" i="11"/>
  <c r="D65" i="11"/>
  <c r="J65" i="11" s="1"/>
  <c r="E65" i="11"/>
  <c r="G65" i="11"/>
  <c r="D66" i="11"/>
  <c r="J66" i="11" s="1"/>
  <c r="E66" i="11"/>
  <c r="G66" i="11"/>
  <c r="D67" i="11"/>
  <c r="H67" i="11" s="1"/>
  <c r="E67" i="11"/>
  <c r="G67" i="11"/>
  <c r="D68" i="11"/>
  <c r="H68" i="11" s="1"/>
  <c r="E68" i="11"/>
  <c r="G68" i="11"/>
  <c r="D69" i="11"/>
  <c r="J69" i="11" s="1"/>
  <c r="E69" i="11"/>
  <c r="G69" i="11"/>
  <c r="D70" i="11"/>
  <c r="E70" i="11"/>
  <c r="G70" i="11"/>
  <c r="D71" i="11"/>
  <c r="H71" i="11" s="1"/>
  <c r="E71" i="11"/>
  <c r="G71" i="11"/>
  <c r="I65" i="11" l="1"/>
  <c r="I69" i="11"/>
  <c r="J71" i="11"/>
  <c r="I71" i="11"/>
  <c r="H69" i="11"/>
  <c r="I68" i="11"/>
  <c r="J67" i="11"/>
  <c r="H65" i="11"/>
  <c r="I67" i="11"/>
  <c r="J70" i="11"/>
  <c r="I70" i="11"/>
  <c r="I66" i="11"/>
  <c r="H70" i="11"/>
  <c r="J68" i="11"/>
  <c r="H66" i="11"/>
  <c r="F83" i="11"/>
  <c r="F82" i="11"/>
  <c r="F81" i="11"/>
  <c r="F80" i="11"/>
  <c r="F79" i="11"/>
  <c r="D78" i="11"/>
  <c r="J78" i="11" s="1"/>
  <c r="E78" i="11"/>
  <c r="G78" i="11"/>
  <c r="D79" i="11"/>
  <c r="J79" i="11" s="1"/>
  <c r="E79" i="11"/>
  <c r="G79" i="11"/>
  <c r="D80" i="11"/>
  <c r="H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E83" i="11"/>
  <c r="G83" i="11"/>
  <c r="D84" i="11"/>
  <c r="H84" i="11" s="1"/>
  <c r="E84" i="11"/>
  <c r="G84" i="11"/>
  <c r="D72" i="11"/>
  <c r="H72" i="11" s="1"/>
  <c r="E72" i="11"/>
  <c r="G72" i="11"/>
  <c r="F116" i="11"/>
  <c r="F115" i="11"/>
  <c r="F114" i="11"/>
  <c r="F113" i="11"/>
  <c r="F125" i="11"/>
  <c r="F124" i="11"/>
  <c r="F123" i="11"/>
  <c r="F122" i="11"/>
  <c r="F121" i="11"/>
  <c r="F120" i="11"/>
  <c r="F119" i="11"/>
  <c r="F96" i="11"/>
  <c r="F95" i="11"/>
  <c r="F94" i="11"/>
  <c r="F93" i="11"/>
  <c r="F92" i="11"/>
  <c r="F91" i="11"/>
  <c r="F90" i="11"/>
  <c r="F89" i="11"/>
  <c r="F88" i="11"/>
  <c r="F86" i="11"/>
  <c r="K65" i="11" l="1"/>
  <c r="K68" i="11"/>
  <c r="K69" i="11"/>
  <c r="K67" i="11"/>
  <c r="K71" i="11"/>
  <c r="K70" i="11"/>
  <c r="K66" i="11"/>
  <c r="H82" i="11"/>
  <c r="I81" i="11"/>
  <c r="J80" i="11"/>
  <c r="J83" i="11"/>
  <c r="I78" i="11"/>
  <c r="I84" i="11"/>
  <c r="I82" i="11"/>
  <c r="I80" i="11"/>
  <c r="H78" i="11"/>
  <c r="I83" i="11"/>
  <c r="I79" i="11"/>
  <c r="J84" i="11"/>
  <c r="H83" i="11"/>
  <c r="J81" i="11"/>
  <c r="H79" i="11"/>
  <c r="K79" i="11" s="1"/>
  <c r="J72" i="11"/>
  <c r="I72" i="11"/>
  <c r="K80" i="11" l="1"/>
  <c r="K78" i="11"/>
  <c r="K82" i="11"/>
  <c r="K81" i="11"/>
  <c r="K83" i="11"/>
  <c r="K84" i="11"/>
  <c r="K72" i="11"/>
  <c r="G117" i="11" l="1"/>
  <c r="G118" i="11"/>
  <c r="G119" i="11"/>
  <c r="G120" i="11"/>
  <c r="G121" i="11"/>
  <c r="G122" i="11"/>
  <c r="G123" i="11"/>
  <c r="G124" i="11"/>
  <c r="G125" i="11"/>
  <c r="G126" i="11"/>
  <c r="D117" i="11"/>
  <c r="H117" i="11" s="1"/>
  <c r="E117" i="11"/>
  <c r="D118" i="11"/>
  <c r="J118" i="11" s="1"/>
  <c r="E118" i="11"/>
  <c r="D119" i="11"/>
  <c r="E119" i="11"/>
  <c r="D120" i="11"/>
  <c r="H120" i="11" s="1"/>
  <c r="E120" i="11"/>
  <c r="D121" i="11"/>
  <c r="H121" i="11" s="1"/>
  <c r="E121" i="11"/>
  <c r="D122" i="11"/>
  <c r="J122" i="11" s="1"/>
  <c r="E122" i="11"/>
  <c r="D123" i="11"/>
  <c r="E123" i="11"/>
  <c r="D124" i="11"/>
  <c r="H124" i="11" s="1"/>
  <c r="E124" i="11"/>
  <c r="D125" i="11"/>
  <c r="H125" i="11" s="1"/>
  <c r="E125" i="11"/>
  <c r="D126" i="11"/>
  <c r="J126" i="11" s="1"/>
  <c r="E126" i="11"/>
  <c r="D75" i="11"/>
  <c r="H75" i="11" s="1"/>
  <c r="E75" i="11"/>
  <c r="G75" i="11"/>
  <c r="D76" i="11"/>
  <c r="J76" i="11" s="1"/>
  <c r="E76" i="11"/>
  <c r="G76" i="11"/>
  <c r="D77" i="11"/>
  <c r="J77" i="11" s="1"/>
  <c r="E77" i="11"/>
  <c r="G77" i="11"/>
  <c r="F74" i="11"/>
  <c r="I123" i="11" l="1"/>
  <c r="I119" i="11"/>
  <c r="I125" i="11"/>
  <c r="J117" i="11"/>
  <c r="J121" i="11"/>
  <c r="H119" i="11"/>
  <c r="I117" i="11"/>
  <c r="J125" i="11"/>
  <c r="H123" i="11"/>
  <c r="I121" i="11"/>
  <c r="I126" i="11"/>
  <c r="I122" i="11"/>
  <c r="I118" i="11"/>
  <c r="H126" i="11"/>
  <c r="J124" i="11"/>
  <c r="H122" i="11"/>
  <c r="J120" i="11"/>
  <c r="H118" i="11"/>
  <c r="I124" i="11"/>
  <c r="J123" i="11"/>
  <c r="I120" i="11"/>
  <c r="J119" i="11"/>
  <c r="I76" i="11"/>
  <c r="H76" i="11"/>
  <c r="I77" i="11"/>
  <c r="H77" i="11"/>
  <c r="J75" i="11"/>
  <c r="I75" i="11"/>
  <c r="K126" i="11" l="1"/>
  <c r="K121" i="11"/>
  <c r="K123" i="11"/>
  <c r="K120" i="11"/>
  <c r="K118" i="11"/>
  <c r="K125" i="11"/>
  <c r="K124" i="11"/>
  <c r="K119" i="11"/>
  <c r="K117" i="11"/>
  <c r="K122" i="11"/>
  <c r="K77" i="11"/>
  <c r="K75" i="11"/>
  <c r="K76" i="11"/>
  <c r="D73" i="11" l="1"/>
  <c r="E73" i="11"/>
  <c r="G73" i="11"/>
  <c r="J74" i="11"/>
  <c r="D111" i="11"/>
  <c r="D112" i="11"/>
  <c r="D113" i="11"/>
  <c r="D114" i="11"/>
  <c r="D115" i="11"/>
  <c r="D116" i="11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G98" i="11"/>
  <c r="D98" i="11"/>
  <c r="J98" i="11" s="1"/>
  <c r="E98" i="11"/>
  <c r="H73" i="11" l="1"/>
  <c r="I74" i="11"/>
  <c r="J73" i="11"/>
  <c r="I73" i="11"/>
  <c r="H74" i="11"/>
  <c r="I17" i="11"/>
  <c r="H17" i="11"/>
  <c r="I15" i="11"/>
  <c r="H15" i="11"/>
  <c r="I16" i="11"/>
  <c r="H16" i="11"/>
  <c r="I98" i="11"/>
  <c r="H98" i="11"/>
  <c r="K74" i="11" l="1"/>
  <c r="K73" i="11"/>
  <c r="K17" i="11"/>
  <c r="K15" i="11"/>
  <c r="K98" i="11"/>
  <c r="K16" i="11"/>
  <c r="F108" i="11" l="1"/>
  <c r="F107" i="11"/>
  <c r="F106" i="11"/>
  <c r="F105" i="11"/>
  <c r="F104" i="11"/>
  <c r="F103" i="11"/>
  <c r="F102" i="11"/>
  <c r="F101" i="11"/>
  <c r="F100" i="11"/>
  <c r="D99" i="11"/>
  <c r="H99" i="11" s="1"/>
  <c r="E99" i="11"/>
  <c r="G99" i="11"/>
  <c r="D100" i="11"/>
  <c r="J100" i="11" s="1"/>
  <c r="E100" i="11"/>
  <c r="G100" i="11"/>
  <c r="D101" i="11"/>
  <c r="J101" i="11" s="1"/>
  <c r="E101" i="11"/>
  <c r="G101" i="11"/>
  <c r="D102" i="11"/>
  <c r="H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J105" i="11" s="1"/>
  <c r="E105" i="11"/>
  <c r="G105" i="11"/>
  <c r="D106" i="11"/>
  <c r="H106" i="11" s="1"/>
  <c r="E106" i="11"/>
  <c r="G106" i="11"/>
  <c r="D107" i="11"/>
  <c r="H107" i="11" s="1"/>
  <c r="E107" i="11"/>
  <c r="G107" i="11"/>
  <c r="D108" i="11"/>
  <c r="E108" i="11"/>
  <c r="G108" i="11"/>
  <c r="D109" i="11"/>
  <c r="J109" i="11" s="1"/>
  <c r="E109" i="11"/>
  <c r="G109" i="11"/>
  <c r="D85" i="11"/>
  <c r="J85" i="11" s="1"/>
  <c r="E85" i="11"/>
  <c r="G85" i="11"/>
  <c r="D86" i="11"/>
  <c r="I86" i="11" s="1"/>
  <c r="E86" i="11"/>
  <c r="G86" i="11"/>
  <c r="D87" i="11"/>
  <c r="J87" i="11" s="1"/>
  <c r="E87" i="11"/>
  <c r="G87" i="11"/>
  <c r="D88" i="11"/>
  <c r="J88" i="11" s="1"/>
  <c r="E88" i="11"/>
  <c r="G88" i="11"/>
  <c r="D89" i="11"/>
  <c r="J89" i="11" s="1"/>
  <c r="E89" i="11"/>
  <c r="G89" i="11"/>
  <c r="D90" i="11"/>
  <c r="E90" i="11"/>
  <c r="G90" i="11"/>
  <c r="D91" i="11"/>
  <c r="J91" i="11" s="1"/>
  <c r="E91" i="11"/>
  <c r="G91" i="11"/>
  <c r="D92" i="11"/>
  <c r="J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H95" i="11" s="1"/>
  <c r="E95" i="11"/>
  <c r="G95" i="11"/>
  <c r="D96" i="11"/>
  <c r="J96" i="11" s="1"/>
  <c r="E96" i="11"/>
  <c r="G96" i="11"/>
  <c r="D97" i="11"/>
  <c r="E97" i="11"/>
  <c r="G97" i="11"/>
  <c r="G6" i="11"/>
  <c r="D110" i="11"/>
  <c r="J110" i="11" s="1"/>
  <c r="E110" i="11"/>
  <c r="G110" i="11"/>
  <c r="H111" i="11"/>
  <c r="E111" i="11"/>
  <c r="G111" i="11"/>
  <c r="E112" i="11"/>
  <c r="G112" i="11"/>
  <c r="J113" i="11"/>
  <c r="E113" i="11"/>
  <c r="G113" i="11"/>
  <c r="J114" i="11"/>
  <c r="E114" i="11"/>
  <c r="G114" i="11"/>
  <c r="E115" i="11"/>
  <c r="G115" i="11"/>
  <c r="H116" i="11"/>
  <c r="E116" i="11"/>
  <c r="G116" i="11"/>
  <c r="D20" i="60"/>
  <c r="I90" i="11" l="1"/>
  <c r="J97" i="11"/>
  <c r="J108" i="11"/>
  <c r="J107" i="11"/>
  <c r="J99" i="11"/>
  <c r="I103" i="11"/>
  <c r="I99" i="11"/>
  <c r="I105" i="11"/>
  <c r="H105" i="11"/>
  <c r="H101" i="11"/>
  <c r="I101" i="11"/>
  <c r="I109" i="11"/>
  <c r="I107" i="11"/>
  <c r="I106" i="11"/>
  <c r="J86" i="11"/>
  <c r="H109" i="11"/>
  <c r="H103" i="11"/>
  <c r="I102" i="11"/>
  <c r="I108" i="11"/>
  <c r="H108" i="11"/>
  <c r="J106" i="11"/>
  <c r="H104" i="11"/>
  <c r="J102" i="11"/>
  <c r="H100" i="11"/>
  <c r="I104" i="11"/>
  <c r="I100" i="11"/>
  <c r="I94" i="11"/>
  <c r="J90" i="11"/>
  <c r="H90" i="11"/>
  <c r="H94" i="11"/>
  <c r="J95" i="11"/>
  <c r="H91" i="11"/>
  <c r="I88" i="11"/>
  <c r="I87" i="11"/>
  <c r="I95" i="11"/>
  <c r="I91" i="11"/>
  <c r="H86" i="11"/>
  <c r="H96" i="11"/>
  <c r="H92" i="11"/>
  <c r="H87" i="11"/>
  <c r="I92" i="11"/>
  <c r="H88" i="11"/>
  <c r="I96" i="11"/>
  <c r="I93" i="11"/>
  <c r="I85" i="11"/>
  <c r="H97" i="11"/>
  <c r="H93" i="11"/>
  <c r="H89" i="11"/>
  <c r="H85" i="11"/>
  <c r="I97" i="11"/>
  <c r="I89" i="11"/>
  <c r="H112" i="11"/>
  <c r="H115" i="11"/>
  <c r="J116" i="11"/>
  <c r="J115" i="11"/>
  <c r="I113" i="11"/>
  <c r="H113" i="11"/>
  <c r="J112" i="11"/>
  <c r="J111" i="11"/>
  <c r="I111" i="11"/>
  <c r="I115" i="11"/>
  <c r="H114" i="11"/>
  <c r="H110" i="11"/>
  <c r="I114" i="11"/>
  <c r="I110" i="11"/>
  <c r="I116" i="11"/>
  <c r="I112" i="11"/>
  <c r="D14" i="11"/>
  <c r="J14" i="11" s="1"/>
  <c r="E14" i="11"/>
  <c r="G14" i="11"/>
  <c r="K19" i="60"/>
  <c r="D19" i="60"/>
  <c r="K88" i="11" l="1"/>
  <c r="K105" i="11"/>
  <c r="K93" i="11"/>
  <c r="K99" i="11"/>
  <c r="K103" i="11"/>
  <c r="K90" i="11"/>
  <c r="K107" i="11"/>
  <c r="K95" i="11"/>
  <c r="K106" i="11"/>
  <c r="K94" i="11"/>
  <c r="K101" i="11"/>
  <c r="K91" i="11"/>
  <c r="K87" i="11"/>
  <c r="K86" i="11"/>
  <c r="K109" i="11"/>
  <c r="K102" i="11"/>
  <c r="K100" i="11"/>
  <c r="K108" i="11"/>
  <c r="K104" i="11"/>
  <c r="K92" i="11"/>
  <c r="K96" i="11"/>
  <c r="K97" i="11"/>
  <c r="K85" i="11"/>
  <c r="K89" i="11"/>
  <c r="K111" i="11"/>
  <c r="K113" i="11"/>
  <c r="K115" i="11"/>
  <c r="K116" i="11"/>
  <c r="K112" i="11"/>
  <c r="K110" i="11"/>
  <c r="K114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36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6" i="11"/>
  <c r="D137" i="11"/>
  <c r="H137" i="11" s="1"/>
  <c r="E137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3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4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7" i="11"/>
  <c r="I137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37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39" i="11"/>
  <c r="H140" i="11" s="1"/>
  <c r="I139" i="11"/>
  <c r="I140" i="11" s="1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9" i="29" l="1"/>
  <c r="F33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41" i="11"/>
  <c r="I141" i="11"/>
  <c r="F364" i="29"/>
  <c r="F69" i="39"/>
  <c r="F72" i="39"/>
  <c r="F367" i="29"/>
  <c r="J136" i="11"/>
  <c r="K13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39" i="11" l="1"/>
  <c r="K140" i="11" s="1"/>
  <c r="K141" i="11" s="1"/>
  <c r="B142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39" i="11"/>
  <c r="J140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41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9" i="41" l="1"/>
  <c r="F82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<sst xmlns="http://schemas.openxmlformats.org/spreadsheetml/2006/main" count="4815" uniqueCount="1649">
  <si>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</si>
  <si>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</si>
  <si>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</si>
  <si>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</si>
  <si>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</si>
  <si>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</si>
  <si>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</si>
  <si>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</si>
  <si>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</si>
  <si>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</si>
  <si>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</si>
  <si>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</si>
  <si>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</si>
  <si>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</si>
  <si>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</si>
  <si>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</si>
  <si>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</si>
  <si>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</si>
  <si>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</si>
  <si>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</si>
  <si>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</si>
  <si>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</si>
  <si>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</si>
  <si>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</si>
  <si>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</si>
  <si>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</si>
  <si>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</si>
  <si>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</si>
  <si>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</si>
  <si>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</si>
  <si>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</si>
  <si>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</si>
  <si>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</si>
  <si>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</si>
  <si>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</si>
  <si>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</si>
  <si>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</si>
  <si>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</si>
  <si>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</si>
  <si>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</si>
  <si>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</si>
  <si>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</si>
  <si>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</si>
  <si>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</si>
  <si>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</si>
  <si>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</si>
  <si>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</si>
  <si>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</si>
  <si>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</si>
  <si>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</si>
  <si>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</si>
  <si>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</si>
  <si>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</si>
  <si>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</si>
  <si>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</si>
  <si>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</si>
  <si>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</si>
  <si>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</si>
  <si>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</si>
  <si>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</si>
  <si>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</si>
  <si>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</si>
  <si>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</si>
  <si>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</si>
  <si>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</si>
  <si>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</si>
  <si>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</si>
  <si>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</si>
  <si>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</si>
  <si>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</si>
  <si>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</si>
  <si>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</si>
  <si>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</si>
  <si>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</si>
  <si>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</si>
  <si>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</si>
  <si>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</si>
  <si>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</si>
  <si>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</si>
  <si>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</si>
  <si>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</si>
  <si>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</si>
  <si>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</si>
  <si>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</si>
  <si>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</si>
  <si>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</si>
  <si>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</si>
  <si>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</si>
  <si>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</si>
  <si>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</si>
  <si>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</si>
  <si>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</si>
  <si>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</si>
  <si>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</si>
  <si>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</si>
  <si>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</si>
  <si>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</si>
  <si>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</si>
  <si>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</si>
  <si>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</si>
  <si>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</si>
  <si>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</si>
  <si>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</si>
  <si>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</si>
  <si>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</si>
  <si>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</si>
  <si>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</si>
  <si>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</si>
  <si>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</si>
  <si>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</si>
  <si>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</si>
  <si>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</si>
  <si>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</si>
  <si>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</si>
  <si>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</si>
  <si>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</si>
  <si>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</si>
  <si>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</si>
  <si>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</si>
  <si>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</si>
  <si>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</si>
  <si>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</si>
  <si>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</si>
  <si>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</si>
  <si>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</si>
  <si>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</si>
  <si>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</si>
  <si>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</si>
  <si>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</si>
  <si>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</si>
  <si>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</si>
  <si>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</si>
  <si>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</si>
  <si>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</si>
  <si>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</si>
  <si>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</si>
  <si>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</si>
  <si>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</si>
  <si>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</si>
  <si>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</si>
  <si>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</si>
  <si>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</si>
  <si>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</si>
  <si>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</si>
  <si>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</si>
  <si>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</si>
  <si>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</si>
  <si>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</si>
  <si>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</si>
  <si>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</si>
  <si>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</si>
  <si>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</si>
  <si>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</si>
  <si>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</si>
  <si>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</si>
  <si>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</si>
  <si>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</si>
  <si>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</si>
  <si>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</si>
  <si>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</si>
  <si>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</si>
  <si>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</si>
  <si>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</si>
  <si>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</si>
  <si>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</si>
  <si>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</si>
  <si>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</si>
  <si>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</si>
  <si>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</si>
  <si>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</si>
  <si>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</si>
  <si>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</si>
  <si>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</si>
  <si>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</si>
  <si>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</si>
  <si>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</si>
  <si>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</si>
  <si>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</si>
  <si>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</si>
  <si>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</si>
  <si>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</si>
  <si>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</si>
  <si>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</si>
  <si>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</si>
  <si>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</si>
  <si>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</si>
  <si>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</si>
  <si>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</si>
  <si>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</si>
  <si>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</si>
  <si>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</si>
  <si>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</si>
  <si>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</si>
  <si>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</si>
  <si>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</si>
  <si>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</si>
  <si>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</si>
  <si>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</si>
  <si>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</si>
  <si>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</si>
  <si>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</si>
  <si>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</si>
  <si>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</si>
  <si>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</si>
  <si>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</si>
  <si>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</si>
  <si>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</si>
  <si>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</si>
  <si>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</si>
  <si>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</si>
  <si>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</si>
  <si>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</si>
  <si>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</si>
  <si>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</si>
  <si>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</si>
  <si>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</si>
  <si>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</si>
  <si>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</si>
  <si>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</si>
  <si>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</si>
  <si>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</si>
  <si>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</si>
  <si>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</si>
  <si>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</si>
  <si>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</si>
  <si>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</si>
  <si>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</si>
  <si>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</si>
  <si>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</si>
  <si>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</si>
  <si>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</si>
  <si>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</si>
  <si>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</si>
  <si>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</si>
  <si>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</si>
  <si>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</si>
  <si>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</si>
  <si>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</si>
  <si>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</si>
  <si>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</si>
  <si>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</si>
  <si>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</si>
  <si>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</si>
  <si>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</si>
  <si>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</si>
  <si>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</si>
  <si>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</si>
  <si>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</si>
  <si>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</si>
  <si>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</si>
  <si>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</si>
  <si>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</si>
  <si>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</si>
  <si>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</si>
  <si>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</si>
  <si>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</si>
  <si>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</si>
  <si>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</si>
  <si>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</si>
  <si>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</si>
  <si>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</si>
  <si>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</si>
  <si>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</si>
  <si>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</si>
  <si>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</si>
  <si>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</si>
  <si>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</si>
  <si>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</si>
  <si>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</si>
  <si>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</si>
  <si>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</si>
  <si>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</si>
  <si>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</si>
  <si>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</si>
  <si>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</si>
  <si>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</si>
  <si>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</si>
  <si>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</si>
  <si>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</si>
  <si>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</si>
  <si>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</si>
  <si>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</si>
  <si>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</si>
  <si>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</si>
  <si>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</si>
  <si>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</si>
  <si>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</si>
  <si>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</si>
  <si>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</si>
  <si>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</si>
  <si>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</si>
  <si>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</si>
  <si>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</si>
  <si>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</si>
  <si>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</si>
  <si>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</si>
  <si>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</si>
  <si>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</si>
  <si>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</si>
  <si>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</si>
  <si>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</si>
  <si>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</si>
  <si>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</si>
  <si>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</si>
  <si>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</si>
  <si>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</si>
  <si>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</si>
  <si>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</si>
  <si>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</si>
  <si>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</si>
  <si>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</si>
  <si>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</si>
  <si>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</si>
  <si>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</si>
  <si>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</si>
  <si>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</si>
  <si>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</si>
  <si>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</si>
  <si>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</si>
  <si>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</si>
  <si>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</si>
  <si>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</si>
  <si>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</si>
  <si>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</si>
  <si>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</si>
  <si>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</si>
  <si>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</si>
  <si>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</si>
  <si>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</si>
  <si>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</si>
  <si>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</si>
  <si>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</si>
  <si>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</si>
  <si>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</si>
  <si>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</si>
  <si>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</si>
  <si>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</si>
  <si>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</si>
  <si>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</si>
  <si>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</si>
  <si>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</si>
  <si>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</si>
  <si>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</si>
  <si>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</si>
  <si>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</si>
  <si>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</si>
  <si>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</si>
  <si>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</si>
  <si>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</si>
  <si>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</si>
  <si>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</si>
  <si>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</si>
  <si>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</si>
  <si>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</si>
  <si>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</si>
  <si>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</si>
  <si>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</si>
  <si>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</si>
  <si>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</si>
  <si>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</si>
  <si>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</si>
  <si>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</si>
  <si>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</si>
  <si>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</si>
  <si>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</si>
  <si>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</si>
  <si>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</si>
  <si>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</si>
  <si>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</si>
  <si>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</si>
  <si>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</si>
  <si>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</si>
  <si>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</si>
  <si>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</si>
  <si>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</si>
  <si>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</si>
  <si>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</si>
  <si>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</si>
  <si>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</si>
  <si>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</si>
  <si>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</si>
  <si>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</si>
  <si>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</si>
  <si>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</si>
  <si>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</si>
  <si>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</si>
  <si>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</si>
  <si>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</si>
  <si>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</si>
  <si>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</si>
  <si>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</si>
  <si>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</si>
  <si>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</si>
  <si>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</si>
  <si>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</si>
  <si>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</si>
  <si>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</si>
  <si>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</si>
  <si>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</si>
  <si>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</si>
  <si>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</si>
  <si>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</si>
  <si>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</si>
  <si>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</si>
  <si>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</si>
  <si>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</si>
  <si>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</si>
  <si>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</si>
  <si>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</si>
  <si>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</si>
  <si>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</si>
  <si>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</si>
  <si>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</si>
  <si>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</si>
  <si>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</si>
  <si>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</si>
  <si>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</si>
  <si>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</si>
  <si>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</si>
  <si>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</si>
  <si>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</si>
  <si>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</si>
  <si>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</si>
  <si>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</si>
  <si>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</si>
  <si>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</si>
  <si>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</si>
  <si>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</si>
  <si>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</si>
  <si>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</si>
  <si>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</si>
  <si>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</si>
  <si>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</si>
  <si>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</si>
  <si>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</si>
  <si>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</si>
  <si>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</si>
  <si>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</si>
  <si>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</si>
  <si>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</si>
  <si>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</si>
  <si>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</si>
  <si>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</si>
  <si>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</si>
  <si>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</si>
  <si>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</si>
  <si>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</si>
  <si>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</si>
  <si>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</si>
  <si>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</si>
  <si>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</si>
  <si>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</si>
  <si>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</si>
  <si>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</si>
  <si>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</si>
  <si>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</si>
  <si>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</si>
  <si>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</si>
  <si>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</si>
  <si>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</si>
  <si>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</si>
  <si>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</si>
  <si>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</si>
  <si>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</si>
  <si>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</si>
  <si>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</si>
  <si>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</si>
  <si>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</si>
  <si>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</si>
  <si>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</si>
  <si>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</si>
  <si>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</si>
  <si>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</si>
  <si>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</si>
  <si>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</si>
  <si>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</si>
  <si>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</si>
  <si>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</si>
  <si>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</si>
  <si>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</si>
  <si>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</si>
  <si>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</si>
  <si>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</si>
  <si>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</si>
  <si>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</si>
  <si>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</si>
  <si>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</si>
  <si>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</si>
  <si>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</si>
  <si>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</si>
  <si>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</si>
  <si>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</si>
  <si>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</si>
  <si>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</si>
  <si>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</si>
  <si>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</si>
  <si>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</si>
  <si>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</si>
  <si>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</si>
  <si>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</si>
  <si>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</si>
  <si>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</si>
  <si>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</si>
  <si>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</si>
  <si>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</si>
  <si>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</si>
  <si>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</si>
  <si>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</si>
  <si>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</si>
  <si>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</si>
  <si>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</si>
  <si>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</si>
  <si>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</si>
  <si>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</si>
  <si>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</si>
  <si>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</si>
  <si>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</si>
  <si>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</si>
  <si>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</si>
  <si>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</si>
  <si>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</si>
  <si>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</si>
  <si>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</si>
  <si>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</si>
  <si>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</si>
  <si>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</si>
  <si>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</si>
  <si>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</si>
  <si>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</si>
  <si>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</si>
  <si>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</si>
  <si>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</si>
  <si>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</si>
  <si>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</si>
  <si>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</si>
  <si>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</si>
  <si>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</si>
  <si>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</si>
  <si>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</si>
  <si>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</si>
  <si>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</si>
  <si>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</si>
  <si>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</si>
  <si>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</si>
  <si>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</si>
  <si>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</si>
  <si>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</si>
  <si>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</si>
  <si>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</si>
  <si>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</si>
  <si>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</si>
  <si>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</si>
  <si>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</si>
  <si>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</si>
  <si>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</si>
  <si>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</si>
  <si>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</si>
  <si>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</si>
  <si>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</si>
  <si>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</si>
  <si>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</si>
  <si>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</si>
  <si>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</si>
  <si>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</si>
  <si>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</si>
  <si>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</si>
  <si>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</si>
  <si>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</si>
  <si>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</si>
  <si>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</si>
  <si>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</si>
  <si>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</si>
  <si>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</si>
  <si>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</si>
  <si>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</si>
  <si>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</si>
  <si>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</si>
  <si>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</si>
  <si>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</si>
  <si>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</si>
  <si>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</si>
  <si>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</si>
  <si>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</si>
  <si>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</si>
  <si>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</si>
  <si>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</si>
  <si>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</si>
  <si>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</si>
  <si>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</si>
  <si>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</si>
  <si>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</si>
  <si>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</si>
  <si>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</si>
  <si>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</si>
  <si>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</si>
  <si>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</si>
  <si>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</si>
  <si>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</si>
  <si>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</si>
  <si>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</si>
  <si>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</si>
  <si>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</si>
  <si>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</si>
  <si>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</si>
  <si>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</si>
  <si>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</si>
  <si>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</si>
  <si>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</si>
  <si>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</si>
  <si>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</si>
  <si>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</si>
  <si>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</si>
  <si>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</si>
  <si>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</si>
  <si>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</si>
  <si>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</si>
  <si>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</si>
  <si>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</si>
  <si>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</si>
  <si>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</si>
  <si>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</si>
  <si>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</si>
  <si>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</si>
  <si>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</si>
  <si>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</si>
  <si>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</si>
  <si>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</si>
  <si>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</si>
  <si>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</si>
  <si>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</si>
  <si>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</si>
  <si>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</si>
  <si>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</si>
  <si>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</si>
  <si>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</si>
  <si>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</si>
  <si>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</si>
  <si>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</si>
  <si>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</si>
  <si>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</si>
  <si>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</si>
  <si>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</si>
  <si>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</si>
  <si>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</si>
  <si>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</si>
  <si>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</si>
  <si>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</si>
  <si>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</si>
  <si>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</si>
  <si>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</si>
  <si>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</si>
  <si>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</si>
  <si>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</si>
  <si>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</si>
  <si>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</si>
  <si>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</si>
  <si>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</si>
  <si>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</si>
  <si>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</si>
  <si>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</si>
  <si>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</si>
  <si>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</si>
  <si>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</si>
  <si>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</si>
  <si>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</si>
  <si>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</si>
  <si>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</si>
  <si>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</si>
  <si>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</si>
  <si>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</si>
  <si>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</si>
  <si>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</si>
  <si>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</si>
  <si>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</si>
  <si>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</si>
  <si>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</si>
  <si>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</si>
  <si>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</si>
  <si>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</si>
  <si>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</si>
  <si>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</si>
  <si>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</si>
  <si>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</si>
  <si>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</si>
  <si>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</si>
  <si>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</si>
  <si>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</si>
  <si>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</si>
  <si>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</si>
  <si>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</si>
  <si>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</si>
  <si>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</si>
  <si>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</si>
  <si>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</si>
  <si>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</si>
  <si>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</si>
  <si>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</si>
  <si>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</si>
  <si>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</si>
  <si>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</si>
  <si>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</si>
  <si>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</si>
  <si>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</si>
  <si>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</si>
  <si>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</si>
  <si>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</si>
  <si>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</si>
  <si>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</si>
  <si>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</si>
  <si>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</si>
  <si>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</si>
  <si>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</si>
  <si>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</si>
  <si>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</si>
  <si>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</si>
  <si>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</si>
  <si>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</si>
  <si>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</si>
  <si>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</si>
  <si>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</si>
  <si>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</si>
  <si>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</si>
  <si>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</si>
  <si>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</si>
  <si>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</si>
  <si>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</si>
  <si>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</si>
  <si>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</si>
  <si>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</si>
  <si>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</si>
  <si>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</si>
  <si>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</si>
  <si>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</si>
  <si>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</si>
  <si>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</si>
  <si>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</si>
  <si>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</si>
  <si>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</si>
  <si>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</si>
  <si>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</si>
  <si>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</si>
  <si>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</si>
  <si>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</si>
  <si>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</si>
  <si>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</si>
  <si>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</si>
  <si>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</si>
  <si>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</si>
  <si>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</si>
  <si>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</si>
  <si>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</si>
  <si>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</si>
  <si>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</si>
  <si>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</si>
  <si>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</si>
  <si>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</si>
  <si>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</si>
  <si>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</si>
  <si>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</si>
  <si>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</si>
  <si>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</si>
  <si>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</si>
  <si>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</si>
  <si>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</si>
  <si>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</si>
  <si>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</si>
  <si>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</si>
  <si>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</si>
  <si>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</si>
  <si>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</si>
  <si>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</si>
  <si>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</si>
  <si>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</si>
  <si>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</si>
  <si>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</si>
  <si>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</si>
  <si>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</si>
  <si>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</si>
  <si>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</si>
  <si>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</si>
  <si>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</si>
  <si>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</si>
  <si>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</si>
  <si>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</si>
  <si>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</si>
  <si>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</si>
  <si>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</si>
  <si>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</si>
  <si>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</si>
  <si>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</si>
  <si>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</si>
  <si>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</si>
  <si>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</si>
  <si>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</si>
  <si>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</si>
  <si>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</si>
  <si>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</si>
  <si>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</si>
  <si>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</si>
  <si>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</si>
  <si>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</si>
  <si>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</si>
  <si>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</si>
  <si>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</si>
  <si>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</si>
  <si>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</si>
  <si>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</si>
  <si>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</si>
  <si>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</si>
  <si>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</si>
  <si>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</si>
  <si>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</si>
  <si>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</si>
  <si>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</si>
  <si>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</si>
  <si>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</si>
  <si>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</si>
  <si>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</si>
  <si>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</si>
  <si>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</si>
  <si>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</si>
  <si>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</si>
  <si>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</si>
  <si>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</si>
  <si>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</si>
  <si>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</si>
  <si>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</si>
  <si>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</si>
  <si>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</si>
  <si>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</si>
  <si>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</si>
  <si>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</si>
  <si>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</si>
  <si>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</si>
  <si>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</si>
  <si>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</si>
  <si>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</si>
  <si>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</si>
  <si>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</si>
  <si>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</si>
  <si>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</si>
  <si>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</si>
  <si>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</si>
  <si>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</si>
  <si>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</si>
  <si>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</si>
  <si>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</si>
  <si>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</si>
  <si>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</si>
  <si>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</si>
  <si>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</si>
  <si>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</si>
  <si>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</si>
  <si>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</si>
  <si>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</si>
  <si>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</si>
  <si>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</si>
  <si>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</si>
  <si>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</si>
  <si>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</si>
  <si>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</si>
  <si>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</si>
  <si>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</si>
  <si>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</si>
  <si>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</si>
  <si>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</si>
  <si>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</si>
  <si>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</si>
  <si>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</si>
  <si>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</si>
  <si>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</si>
  <si>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</si>
  <si>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</si>
  <si>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</si>
  <si>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</si>
  <si>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</si>
  <si>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</si>
  <si>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</si>
  <si>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</si>
  <si>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</si>
  <si>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</si>
  <si>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</si>
  <si>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</si>
  <si>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</si>
  <si>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</si>
  <si>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</si>
  <si>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</si>
  <si>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</si>
  <si>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</si>
  <si>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</si>
  <si>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</si>
  <si>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</si>
  <si>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</si>
  <si>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</si>
  <si>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</si>
  <si>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</si>
  <si>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</si>
  <si>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</si>
  <si>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</si>
  <si>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</si>
  <si>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</si>
  <si>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</si>
  <si>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</si>
  <si>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</si>
  <si>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</si>
  <si>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</si>
  <si>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</si>
  <si>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</si>
  <si>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</si>
  <si>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</si>
  <si>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</si>
  <si>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</si>
  <si>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</si>
  <si>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</si>
  <si>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</si>
  <si>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</si>
  <si>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</si>
  <si>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</si>
  <si>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</si>
  <si>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</si>
  <si>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</si>
  <si>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</si>
  <si>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</si>
  <si>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</si>
  <si>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</si>
  <si>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</si>
  <si>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</si>
  <si>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</si>
  <si>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</si>
  <si>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</si>
  <si>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</si>
  <si>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</si>
  <si>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</si>
  <si>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</si>
  <si>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</si>
  <si>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</si>
  <si>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</si>
  <si>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</si>
  <si>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</si>
  <si>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</si>
  <si>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</si>
  <si>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</si>
  <si>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</si>
  <si>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</si>
  <si>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</si>
  <si>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</si>
  <si>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</si>
  <si>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</si>
  <si>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</si>
  <si>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</si>
  <si>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</si>
  <si>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</si>
  <si>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</si>
  <si>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</si>
  <si>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</si>
  <si>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</si>
  <si>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</si>
  <si>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</si>
  <si>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</si>
  <si>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</si>
  <si>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</si>
  <si>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</si>
  <si>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</si>
  <si>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</si>
  <si>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</si>
  <si>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</si>
  <si>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</si>
  <si>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</si>
  <si>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</si>
  <si>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</si>
  <si>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</si>
  <si>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</si>
  <si>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</si>
  <si>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</si>
  <si>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</si>
  <si>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</si>
  <si>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</si>
  <si>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</si>
  <si>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</si>
  <si>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</si>
  <si>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</si>
  <si>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</si>
  <si>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</si>
  <si>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</si>
  <si>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</si>
  <si>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</si>
  <si>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</si>
  <si>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</si>
  <si>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</si>
  <si>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</si>
  <si>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</si>
  <si>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</si>
  <si>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</si>
  <si>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</si>
  <si>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</si>
  <si>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</si>
  <si>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</si>
  <si>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</si>
  <si>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</si>
  <si>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</si>
  <si>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</si>
  <si>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</si>
  <si>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</si>
  <si>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</si>
  <si>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</si>
  <si>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</si>
  <si>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</si>
  <si>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</si>
  <si>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</si>
  <si>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</si>
  <si>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</si>
  <si>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</si>
  <si>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</si>
  <si>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</si>
  <si>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</si>
  <si>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</si>
  <si>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</si>
  <si>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</si>
  <si>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</si>
  <si>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</si>
  <si>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</si>
  <si>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</si>
  <si>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</si>
  <si>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</si>
  <si>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</si>
  <si>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</si>
  <si>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</si>
  <si>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</si>
  <si>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</si>
  <si>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</si>
  <si>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</si>
  <si>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</si>
  <si>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</si>
  <si>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</si>
  <si>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</si>
  <si>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</si>
  <si>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</si>
  <si>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</si>
  <si>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</si>
  <si>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</si>
  <si>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</si>
  <si>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</si>
  <si>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</si>
  <si>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</si>
  <si>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</si>
  <si>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</si>
  <si>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</si>
  <si>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</si>
  <si>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</si>
  <si>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</si>
  <si>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</si>
  <si>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</si>
  <si>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</si>
  <si>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</si>
  <si>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</si>
  <si>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</si>
  <si>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</si>
  <si>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</si>
  <si>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</si>
  <si>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</si>
  <si>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</si>
  <si>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</si>
  <si>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</si>
  <si>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</si>
  <si>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</si>
  <si>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</si>
  <si>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</si>
  <si>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</si>
  <si>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</si>
  <si>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</si>
  <si>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</si>
  <si>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</si>
  <si>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</si>
  <si>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</si>
  <si>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</si>
  <si>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</si>
  <si>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</si>
  <si>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</si>
  <si>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</si>
  <si>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</si>
  <si>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</si>
  <si>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</si>
  <si>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</si>
  <si>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</si>
  <si>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</si>
  <si>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</si>
  <si>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</si>
  <si>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</si>
  <si>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</si>
  <si>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</si>
  <si>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</si>
  <si>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</si>
  <si>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</si>
  <si>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</si>
  <si>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</si>
  <si>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</si>
  <si>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</si>
  <si>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</si>
  <si>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</si>
  <si>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</si>
  <si>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</si>
  <si>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</si>
  <si>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</si>
  <si>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</si>
  <si>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</si>
  <si>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</si>
  <si>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</si>
  <si>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</si>
  <si>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</si>
  <si>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</si>
  <si>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</si>
  <si>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</si>
  <si>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</si>
  <si>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</si>
  <si>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</si>
  <si>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</si>
  <si>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</si>
  <si>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</si>
  <si>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</si>
  <si>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</si>
  <si>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</si>
  <si>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</si>
  <si>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</si>
  <si>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</si>
  <si>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</si>
  <si>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</si>
  <si>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</si>
  <si>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</si>
  <si>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</si>
  <si>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</si>
  <si>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</si>
  <si>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</si>
  <si>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</si>
  <si>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</si>
  <si>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</si>
  <si>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</si>
  <si>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</si>
  <si>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</si>
  <si>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</si>
  <si>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</si>
  <si>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</si>
  <si>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</si>
  <si>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</si>
  <si>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</si>
  <si>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</si>
  <si>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</si>
  <si>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</si>
  <si>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</si>
  <si>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</si>
  <si>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</si>
  <si>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</si>
  <si>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</si>
  <si>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</si>
  <si>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</si>
  <si>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</si>
  <si>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</si>
  <si>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</si>
  <si>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</si>
  <si>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</si>
  <si>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</si>
  <si>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</si>
  <si>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</si>
  <si>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</si>
  <si>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</si>
  <si>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</si>
  <si>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</si>
  <si>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</si>
  <si>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</si>
  <si>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</si>
  <si>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</si>
  <si>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</si>
  <si>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</si>
  <si>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</si>
  <si>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</si>
  <si>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</si>
  <si>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</si>
  <si>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</si>
  <si>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</si>
  <si>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</si>
  <si>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</si>
  <si>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</si>
  <si>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</si>
  <si>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</si>
  <si>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</si>
  <si>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</si>
  <si>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</si>
  <si>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</si>
  <si>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</si>
  <si>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</si>
  <si>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</si>
  <si>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</si>
  <si>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</si>
  <si>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</si>
  <si>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</si>
  <si>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</si>
  <si>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</si>
  <si>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</si>
  <si>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</si>
  <si>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</si>
  <si>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</si>
  <si>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</si>
  <si>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</si>
  <si>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</si>
  <si>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</si>
  <si>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</si>
  <si>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</si>
  <si>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</si>
  <si>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</si>
  <si>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</si>
  <si>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</si>
  <si>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</si>
  <si>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</si>
  <si>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</si>
  <si>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</si>
  <si>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</si>
  <si>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</si>
  <si>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</si>
  <si>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</si>
  <si>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</si>
  <si>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</si>
  <si>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</si>
  <si>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</si>
  <si>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</si>
  <si>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</si>
  <si>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</si>
  <si>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</si>
  <si>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</si>
  <si>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</si>
  <si>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</si>
  <si>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</si>
  <si>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</si>
  <si>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</si>
  <si>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</si>
  <si>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</si>
  <si>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</si>
  <si>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</si>
  <si>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</si>
  <si>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</si>
  <si>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</si>
  <si>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</si>
  <si>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</si>
  <si>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</si>
  <si>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</si>
  <si>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</si>
  <si>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</si>
  <si>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</si>
  <si>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</si>
  <si>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</si>
  <si>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</si>
  <si>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</si>
  <si>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</si>
  <si>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</si>
  <si>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</si>
  <si>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</si>
  <si>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</si>
  <si>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</si>
  <si>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</si>
  <si>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</si>
  <si>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</si>
  <si>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</si>
  <si>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</si>
  <si>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</si>
  <si>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</si>
  <si>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</si>
  <si>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</si>
  <si>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</si>
  <si>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</si>
  <si>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</si>
  <si>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</si>
  <si>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</si>
  <si>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</si>
  <si>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</si>
  <si>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</si>
  <si>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</si>
  <si>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</si>
  <si>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</si>
  <si>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</si>
  <si>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</si>
  <si>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</si>
  <si>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</si>
  <si>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</si>
  <si>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</si>
  <si>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</si>
  <si>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</si>
  <si>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</si>
  <si>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</si>
  <si>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</si>
  <si>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</si>
  <si>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</si>
  <si>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</si>
  <si>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</si>
  <si>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</si>
  <si>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</si>
  <si>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</si>
  <si>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</si>
  <si>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</si>
  <si>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</si>
  <si>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</si>
  <si>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</si>
  <si>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</si>
  <si>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</si>
  <si>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</si>
  <si>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</si>
  <si>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</si>
  <si>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</si>
  <si>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</si>
  <si>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</si>
  <si>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</si>
  <si>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</si>
  <si>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</si>
  <si>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</si>
  <si>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</si>
  <si>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</si>
  <si>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</si>
  <si>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</si>
  <si>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</si>
  <si>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</si>
  <si>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</si>
  <si>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</si>
  <si>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</si>
  <si>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</si>
  <si>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</si>
  <si>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</si>
  <si>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</si>
  <si>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</si>
  <si>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</si>
  <si>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</si>
  <si>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</si>
  <si>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</si>
  <si>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</si>
  <si>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</si>
  <si>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</si>
  <si>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</si>
  <si>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</si>
  <si>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</si>
  <si>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</si>
  <si>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</si>
  <si>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</si>
  <si>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</si>
  <si>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</si>
  <si>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</si>
  <si>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</si>
  <si>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</si>
  <si>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</si>
  <si>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</si>
  <si>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</si>
  <si>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</si>
  <si>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</si>
  <si>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</si>
  <si>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</si>
  <si>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</si>
  <si>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</si>
  <si>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</si>
  <si>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</si>
  <si>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</si>
  <si>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</si>
  <si>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</si>
  <si>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</si>
  <si>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</si>
  <si>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</si>
  <si>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</si>
  <si>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</si>
  <si>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</si>
  <si>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</si>
  <si>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</si>
  <si>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</si>
  <si>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</si>
  <si>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</si>
  <si>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</si>
  <si>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</si>
  <si>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</si>
  <si>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</si>
  <si>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</si>
  <si>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</si>
  <si>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</si>
  <si>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</si>
  <si>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</si>
  <si>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</si>
  <si>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</si>
  <si>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</si>
  <si>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</si>
  <si>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</si>
  <si>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</si>
  <si>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</si>
  <si>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</si>
  <si>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</si>
  <si>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</si>
  <si>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</si>
  <si>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</si>
  <si>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</si>
  <si>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</si>
  <si>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</si>
  <si>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</si>
  <si>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</si>
  <si>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</si>
  <si>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</si>
  <si>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</si>
  <si>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</si>
  <si>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</si>
  <si>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</si>
  <si>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</si>
  <si>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</si>
  <si>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</si>
  <si>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</si>
  <si>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</si>
  <si>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</si>
  <si>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</si>
  <si>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</si>
  <si>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</si>
  <si>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</si>
  <si>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</si>
  <si>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</si>
  <si>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</si>
  <si>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</si>
  <si>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</si>
  <si>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</si>
  <si>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</si>
  <si>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</si>
  <si>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</si>
  <si>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</si>
  <si>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</si>
  <si>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</si>
  <si>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</si>
  <si>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</si>
  <si>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</si>
  <si>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</si>
  <si>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</si>
  <si>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</si>
  <si>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</si>
  <si>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</si>
  <si>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</si>
  <si>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</si>
  <si>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</si>
  <si>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</si>
  <si>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</si>
  <si>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</si>
  <si>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</si>
  <si>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</si>
  <si>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</si>
  <si>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</si>
  <si>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</si>
  <si>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</si>
  <si>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</si>
  <si>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</si>
  <si>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</si>
  <si>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</si>
  <si>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</si>
  <si>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</si>
  <si>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</si>
  <si>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</si>
  <si>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</si>
  <si>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</si>
  <si>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</si>
  <si>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</si>
  <si>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</si>
  <si>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</si>
  <si>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</si>
  <si>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</si>
  <si>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</si>
  <si>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</si>
  <si>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</si>
  <si>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</si>
  <si>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</si>
  <si>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</si>
  <si>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</si>
  <si>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</si>
  <si>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</si>
  <si>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</si>
  <si>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</si>
  <si>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</si>
  <si>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</si>
  <si>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</si>
  <si>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</si>
  <si>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</si>
  <si>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</si>
  <si>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</si>
  <si>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</si>
  <si>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</si>
  <si>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</si>
  <si>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</si>
  <si>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</si>
  <si>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</si>
  <si>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</si>
  <si>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</si>
  <si>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</si>
  <si>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</si>
  <si>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</si>
  <si>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</si>
  <si>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</si>
  <si>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</si>
  <si>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</si>
  <si>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</si>
  <si>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</si>
  <si>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</si>
  <si>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</si>
  <si>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</si>
  <si>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</si>
  <si>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</si>
  <si>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</si>
  <si>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</si>
  <si>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</si>
  <si>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</si>
  <si>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</si>
  <si>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</si>
  <si>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</si>
  <si>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</si>
  <si>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</si>
  <si>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</si>
  <si>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</si>
  <si>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</si>
  <si>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</si>
  <si>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</si>
  <si>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</si>
  <si>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</si>
  <si>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</si>
  <si>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</si>
  <si>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</si>
  <si>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</si>
  <si>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</si>
  <si>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</si>
  <si>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</si>
  <si>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</si>
  <si>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</si>
  <si>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</si>
  <si>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</si>
  <si>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</si>
  <si>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</si>
  <si>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</si>
  <si>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</si>
  <si>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</si>
  <si>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</si>
  <si>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</si>
  <si>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</si>
  <si>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</si>
  <si>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</si>
  <si>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</si>
  <si>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</si>
  <si>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</si>
  <si>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</si>
  <si>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</si>
  <si>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</si>
  <si>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</si>
  <si>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</si>
  <si>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</si>
  <si>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</si>
  <si>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</si>
  <si>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</si>
  <si>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</si>
  <si>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</si>
  <si>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</si>
  <si>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</si>
  <si>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</si>
  <si>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</si>
  <si>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</si>
  <si>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</si>
  <si>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</si>
  <si>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</si>
  <si>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</si>
  <si>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</si>
  <si>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</si>
  <si>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</si>
  <si>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</si>
  <si>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</si>
  <si>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</si>
  <si>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</si>
  <si>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</si>
  <si>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</si>
  <si>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</si>
  <si>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</si>
  <si>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</si>
  <si>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</si>
  <si>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</si>
  <si>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</si>
  <si>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</si>
  <si>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</si>
  <si>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</si>
  <si>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</si>
  <si>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</si>
  <si>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</si>
  <si>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</si>
  <si>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</si>
  <si>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</si>
  <si>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</si>
  <si>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</si>
  <si>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</si>
  <si>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</si>
  <si>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</si>
  <si>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</si>
  <si>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</si>
  <si>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</si>
  <si>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</si>
  <si>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</si>
  <si>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</si>
  <si>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</si>
  <si>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</si>
  <si>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</si>
  <si>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</si>
  <si>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</si>
  <si>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</si>
  <si>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</si>
  <si>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</si>
  <si>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</si>
  <si>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</si>
  <si>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</si>
  <si>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</si>
  <si>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</si>
  <si>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</si>
  <si>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</si>
  <si>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</si>
  <si>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</si>
  <si>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</si>
  <si>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</si>
  <si>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</si>
  <si>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</si>
  <si>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</si>
  <si>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</si>
  <si>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</si>
  <si>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</si>
  <si>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</si>
  <si>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</si>
  <si>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</si>
  <si>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</si>
  <si>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CJ6-T</t>
  </si>
  <si>
    <t>KONDUKTOR</t>
  </si>
  <si>
    <t>Trafo 1 Fasa CSP 50 KVA (G105, G106, G136)</t>
  </si>
  <si>
    <t>NFA2X-T 2 x 70 + N 50 mm²</t>
  </si>
  <si>
    <t>Sepatu Kabel AL/CU Ring-70 mm²</t>
  </si>
  <si>
    <t>Pemasangan APP 1 Fasa Di Bangunan</t>
  </si>
  <si>
    <t>Daya 11.000 VA</t>
  </si>
  <si>
    <t>CM5-9</t>
  </si>
  <si>
    <t>CJ5-T</t>
  </si>
  <si>
    <t>CG105</t>
  </si>
  <si>
    <t>B2</t>
  </si>
  <si>
    <t>CA1</t>
  </si>
  <si>
    <t xml:space="preserve"> </t>
  </si>
  <si>
    <t>IOH BUMI HARJO HUNTUR</t>
  </si>
  <si>
    <t>DS BUMIHARJO KEC. GUNTUR</t>
  </si>
  <si>
    <t>KOORDINAT : -6.973010, 110.642220</t>
  </si>
  <si>
    <t>C12-200</t>
  </si>
  <si>
    <t>C12-350</t>
  </si>
  <si>
    <t>CA5</t>
  </si>
  <si>
    <t>MJ6-T</t>
  </si>
  <si>
    <t>CG106</t>
  </si>
  <si>
    <t>CE1-3</t>
  </si>
  <si>
    <t>CM2-12A</t>
  </si>
  <si>
    <t>F1-3</t>
  </si>
  <si>
    <t>C9-200</t>
  </si>
  <si>
    <t>KONSTRUKSI JARINGAN 1 PHASE</t>
  </si>
  <si>
    <t>KONTRUKSI JTR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</si>
</sst>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3" fillId="0" borderId="0">
      <alignment horizontal="centerContinuous"/>
    </xf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2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5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8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4" fillId="11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5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8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3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4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5" fillId="19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26" fillId="3" borderId="0" applyNumberFormat="0" applyBorder="0" applyAlignment="0" applyProtection="0"/>
    <xf numFmtId="0" fontId="65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3" fontId="37" fillId="0" borderId="0" applyFill="0" applyBorder="0" applyAlignment="0"/>
    <xf numFmtId="173" fontId="23" fillId="0" borderId="0" applyFill="0" applyBorder="0" applyAlignment="0"/>
    <xf numFmtId="174" fontId="37" fillId="0" borderId="0" applyFill="0" applyBorder="0" applyAlignment="0"/>
    <xf numFmtId="174" fontId="23" fillId="0" borderId="0" applyFill="0" applyBorder="0" applyAlignment="0"/>
    <xf numFmtId="175" fontId="37" fillId="0" borderId="0" applyFill="0" applyBorder="0" applyAlignment="0"/>
    <xf numFmtId="175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7" fillId="20" borderId="1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0" fontId="28" fillId="21" borderId="2" applyNumberFormat="0" applyAlignment="0" applyProtection="0"/>
    <xf numFmtId="43" fontId="106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43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167" fontId="37" fillId="0" borderId="0" applyFont="0" applyFill="0" applyBorder="0" applyAlignment="0" applyProtection="0"/>
    <xf numFmtId="167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9" fontId="37" fillId="0" borderId="0" applyFont="0" applyFill="0" applyBorder="0" applyAlignment="0" applyProtection="0"/>
    <xf numFmtId="179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9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7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37" fillId="0" borderId="0" applyFont="0" applyFill="0" applyBorder="0" applyAlignment="0" applyProtection="0"/>
    <xf numFmtId="176" fontId="23" fillId="0" borderId="0" applyFont="0" applyFill="0" applyBorder="0" applyAlignment="0" applyProtection="0"/>
    <xf numFmtId="168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0" fontId="3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18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81" fontId="37" fillId="0" borderId="0" applyFont="0" applyFill="0" applyBorder="0" applyAlignment="0" applyProtection="0"/>
    <xf numFmtId="181" fontId="37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2" fontId="37" fillId="0" borderId="0" applyFont="0" applyFill="0" applyBorder="0" applyAlignment="0" applyProtection="0"/>
    <xf numFmtId="182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170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3" fontId="37" fillId="0" borderId="0" applyFont="0" applyFill="0" applyBorder="0" applyAlignment="0" applyProtection="0"/>
    <xf numFmtId="183" fontId="23" fillId="0" borderId="0" applyFont="0" applyFill="0" applyBorder="0" applyAlignment="0" applyProtection="0"/>
    <xf numFmtId="181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8" fillId="0" borderId="0" applyFont="0" applyFill="0" applyBorder="0" applyAlignment="0" applyProtection="0"/>
    <xf numFmtId="184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205" fontId="23" fillId="0" borderId="0" applyFont="0" applyFill="0" applyBorder="0" applyAlignment="0" applyProtection="0"/>
    <xf numFmtId="204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70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3" fontId="71" fillId="0" borderId="0" applyFont="0" applyFill="0" applyBorder="0" applyAlignment="0" applyProtection="0"/>
    <xf numFmtId="0" fontId="72" fillId="0" borderId="0" applyNumberFormat="0" applyAlignment="0">
      <alignment horizontal="left"/>
    </xf>
    <xf numFmtId="0" fontId="66" fillId="0" borderId="0"/>
    <xf numFmtId="0" fontId="66" fillId="0" borderId="0"/>
    <xf numFmtId="185" fontId="37" fillId="0" borderId="3"/>
    <xf numFmtId="185" fontId="23" fillId="0" borderId="3"/>
    <xf numFmtId="42" fontId="24" fillId="0" borderId="0" applyFont="0" applyFill="0" applyBorder="0" applyAlignment="0" applyProtection="0"/>
    <xf numFmtId="42" fontId="49" fillId="0" borderId="0" applyFont="0" applyFill="0" applyBorder="0" applyAlignment="0" applyProtection="0"/>
    <xf numFmtId="172" fontId="37" fillId="0" borderId="0" applyFont="0" applyFill="0" applyBorder="0" applyAlignment="0" applyProtection="0"/>
    <xf numFmtId="172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44" fontId="37" fillId="0" borderId="0" applyFont="0" applyFill="0" applyBorder="0" applyAlignment="0" applyProtection="0"/>
    <xf numFmtId="44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23" fillId="0" borderId="0" applyFont="0" applyFill="0" applyBorder="0" applyAlignment="0" applyProtection="0"/>
    <xf numFmtId="186" fontId="71" fillId="0" borderId="0" applyFont="0" applyFill="0" applyBorder="0" applyAlignment="0" applyProtection="0"/>
    <xf numFmtId="187" fontId="73" fillId="0" borderId="0">
      <protection locked="0"/>
    </xf>
    <xf numFmtId="14" fontId="65" fillId="0" borderId="0" applyFill="0" applyBorder="0" applyAlignment="0"/>
    <xf numFmtId="188" fontId="74" fillId="0" borderId="0">
      <protection locked="0"/>
    </xf>
    <xf numFmtId="0" fontId="75" fillId="0" borderId="0"/>
    <xf numFmtId="0" fontId="75" fillId="0" borderId="4"/>
    <xf numFmtId="0" fontId="75" fillId="0" borderId="4"/>
    <xf numFmtId="0" fontId="75" fillId="0" borderId="4"/>
    <xf numFmtId="0" fontId="75" fillId="0" borderId="4"/>
    <xf numFmtId="0" fontId="76" fillId="22" borderId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7" fillId="0" borderId="0" applyNumberFormat="0" applyAlignment="0">
      <alignment horizontal="left"/>
    </xf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1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7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8" fillId="0" borderId="0">
      <protection locked="0"/>
    </xf>
    <xf numFmtId="0" fontId="78" fillId="0" borderId="0">
      <protection locked="0"/>
    </xf>
    <xf numFmtId="0" fontId="79" fillId="0" borderId="0">
      <protection locked="0"/>
    </xf>
    <xf numFmtId="189" fontId="73" fillId="0" borderId="0">
      <protection locked="0"/>
    </xf>
    <xf numFmtId="0" fontId="80" fillId="0" borderId="5"/>
    <xf numFmtId="0" fontId="80" fillId="0" borderId="5"/>
    <xf numFmtId="0" fontId="80" fillId="0" borderId="5"/>
    <xf numFmtId="0" fontId="80" fillId="0" borderId="5"/>
    <xf numFmtId="0" fontId="80" fillId="0" borderId="4"/>
    <xf numFmtId="0" fontId="80" fillId="0" borderId="4"/>
    <xf numFmtId="0" fontId="80" fillId="23" borderId="4"/>
    <xf numFmtId="0" fontId="80" fillId="23" borderId="4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30" fillId="4" borderId="0" applyNumberFormat="0" applyBorder="0" applyAlignment="0" applyProtection="0"/>
    <xf numFmtId="0" fontId="81" fillId="0" borderId="0" applyNumberFormat="0"/>
    <xf numFmtId="38" fontId="42" fillId="24" borderId="0" applyNumberFormat="0" applyBorder="0" applyAlignment="0" applyProtection="0"/>
    <xf numFmtId="0" fontId="82" fillId="0" borderId="6" applyNumberFormat="0" applyAlignment="0" applyProtection="0">
      <alignment horizontal="left" vertical="center"/>
    </xf>
    <xf numFmtId="0" fontId="82" fillId="0" borderId="7">
      <alignment horizontal="left" vertical="center"/>
    </xf>
    <xf numFmtId="0" fontId="82" fillId="0" borderId="7">
      <alignment horizontal="left" vertical="center"/>
    </xf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1" fillId="0" borderId="8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2" fillId="0" borderId="9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10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190" fontId="78" fillId="0" borderId="0">
      <protection locked="0"/>
    </xf>
    <xf numFmtId="190" fontId="78" fillId="0" borderId="0"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34" fillId="7" borderId="1" applyNumberFormat="0" applyAlignment="0" applyProtection="0"/>
    <xf numFmtId="10" fontId="42" fillId="25" borderId="3" applyNumberFormat="0" applyBorder="0" applyAlignment="0" applyProtection="0"/>
    <xf numFmtId="10" fontId="42" fillId="25" borderId="3" applyNumberFormat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0" fontId="35" fillId="0" borderId="11" applyNumberFormat="0" applyFill="0" applyAlignment="0" applyProtection="0"/>
    <xf numFmtId="191" fontId="37" fillId="0" borderId="0" applyFont="0" applyFill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0" fontId="36" fillId="26" borderId="0" applyNumberFormat="0" applyBorder="0" applyAlignment="0" applyProtection="0"/>
    <xf numFmtId="37" fontId="83" fillId="0" borderId="0"/>
    <xf numFmtId="192" fontId="37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37" fillId="0" borderId="0"/>
    <xf numFmtId="192" fontId="23" fillId="0" borderId="0"/>
    <xf numFmtId="192" fontId="23" fillId="0" borderId="0"/>
    <xf numFmtId="192" fontId="37" fillId="0" borderId="0"/>
    <xf numFmtId="171" fontId="84" fillId="0" borderId="0"/>
    <xf numFmtId="171" fontId="85" fillId="0" borderId="0"/>
    <xf numFmtId="171" fontId="85" fillId="0" borderId="0"/>
    <xf numFmtId="0" fontId="67" fillId="0" borderId="0"/>
    <xf numFmtId="0" fontId="113" fillId="0" borderId="0"/>
    <xf numFmtId="0" fontId="37" fillId="0" borderId="0"/>
    <xf numFmtId="0" fontId="23" fillId="0" borderId="0"/>
    <xf numFmtId="0" fontId="70" fillId="0" borderId="0"/>
    <xf numFmtId="0" fontId="37" fillId="0" borderId="0"/>
    <xf numFmtId="12" fontId="37" fillId="0" borderId="0"/>
    <xf numFmtId="12" fontId="2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86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114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70" fillId="0" borderId="0"/>
    <xf numFmtId="0" fontId="37" fillId="0" borderId="0"/>
    <xf numFmtId="0" fontId="11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24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37" fillId="0" borderId="0"/>
    <xf numFmtId="0" fontId="37" fillId="0" borderId="0"/>
    <xf numFmtId="0" fontId="68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24" fillId="0" borderId="0"/>
    <xf numFmtId="0" fontId="24" fillId="0" borderId="0"/>
    <xf numFmtId="0" fontId="37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65" fillId="0" borderId="0">
      <alignment vertical="top"/>
    </xf>
    <xf numFmtId="0" fontId="65" fillId="0" borderId="0">
      <alignment vertical="top"/>
    </xf>
    <xf numFmtId="0" fontId="24" fillId="0" borderId="0"/>
    <xf numFmtId="193" fontId="44" fillId="0" borderId="0"/>
    <xf numFmtId="0" fontId="113" fillId="0" borderId="0"/>
    <xf numFmtId="0" fontId="11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1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23" fillId="0" borderId="0"/>
    <xf numFmtId="0" fontId="23" fillId="0" borderId="0"/>
    <xf numFmtId="0" fontId="37" fillId="0" borderId="0" applyNumberFormat="0" applyFont="0" applyFill="0" applyAlignment="0" applyProtection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 applyNumberFormat="0" applyFont="0" applyFill="0" applyAlignment="0" applyProtection="0"/>
    <xf numFmtId="0" fontId="85" fillId="0" borderId="0"/>
    <xf numFmtId="0" fontId="85" fillId="0" borderId="0"/>
    <xf numFmtId="0" fontId="23" fillId="0" borderId="0" applyNumberFormat="0" applyFont="0" applyFill="0" applyAlignment="0" applyProtection="0"/>
    <xf numFmtId="0" fontId="37" fillId="0" borderId="0"/>
    <xf numFmtId="0" fontId="113" fillId="0" borderId="0"/>
    <xf numFmtId="181" fontId="85" fillId="0" borderId="0"/>
    <xf numFmtId="0" fontId="85" fillId="0" borderId="0"/>
    <xf numFmtId="194" fontId="85" fillId="0" borderId="0"/>
    <xf numFmtId="195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4" fontId="85" fillId="0" borderId="0"/>
    <xf numFmtId="0" fontId="85" fillId="0" borderId="0"/>
    <xf numFmtId="0" fontId="37" fillId="0" borderId="0"/>
    <xf numFmtId="0" fontId="23" fillId="0" borderId="0"/>
    <xf numFmtId="181" fontId="8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113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 applyNumberFormat="0" applyFont="0" applyFill="0" applyAlignment="0" applyProtection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 applyNumberFormat="0" applyFont="0" applyFill="0" applyAlignment="0" applyProtection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197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196" fontId="85" fillId="0" borderId="0"/>
    <xf numFmtId="196" fontId="85" fillId="0" borderId="0"/>
    <xf numFmtId="196" fontId="85" fillId="0" borderId="0"/>
    <xf numFmtId="196" fontId="85" fillId="0" borderId="0"/>
    <xf numFmtId="198" fontId="85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4" fillId="0" borderId="0"/>
    <xf numFmtId="0" fontId="2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7" fillId="0" borderId="0"/>
    <xf numFmtId="0" fontId="23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24" fillId="0" borderId="0"/>
    <xf numFmtId="0" fontId="37" fillId="0" borderId="0"/>
    <xf numFmtId="0" fontId="23" fillId="0" borderId="0"/>
    <xf numFmtId="0" fontId="37" fillId="0" borderId="0"/>
    <xf numFmtId="0" fontId="24" fillId="0" borderId="0"/>
    <xf numFmtId="0" fontId="2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113" fillId="0" borderId="0"/>
    <xf numFmtId="0" fontId="37" fillId="0" borderId="0"/>
    <xf numFmtId="0" fontId="44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193" fontId="44" fillId="0" borderId="0"/>
    <xf numFmtId="0" fontId="23" fillId="0" borderId="0"/>
    <xf numFmtId="0" fontId="23" fillId="0" borderId="0" applyProtection="0"/>
    <xf numFmtId="0" fontId="113" fillId="0" borderId="0"/>
    <xf numFmtId="0" fontId="113" fillId="0" borderId="0"/>
    <xf numFmtId="0" fontId="113" fillId="0" borderId="0"/>
    <xf numFmtId="0" fontId="23" fillId="0" borderId="0"/>
    <xf numFmtId="0" fontId="23" fillId="0" borderId="0" applyProtection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4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4" fillId="0" borderId="0"/>
    <xf numFmtId="0" fontId="37" fillId="0" borderId="0"/>
    <xf numFmtId="0" fontId="23" fillId="0" borderId="0"/>
    <xf numFmtId="0" fontId="11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23" fillId="0" borderId="0"/>
    <xf numFmtId="0" fontId="37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37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37" fillId="0" borderId="0"/>
    <xf numFmtId="0" fontId="23" fillId="0" borderId="0"/>
    <xf numFmtId="0" fontId="115" fillId="0" borderId="0"/>
    <xf numFmtId="0" fontId="23" fillId="0" borderId="0"/>
    <xf numFmtId="0" fontId="23" fillId="0" borderId="0"/>
    <xf numFmtId="0" fontId="24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4" fillId="0" borderId="0"/>
    <xf numFmtId="0" fontId="24" fillId="0" borderId="0"/>
    <xf numFmtId="0" fontId="114" fillId="0" borderId="0"/>
    <xf numFmtId="0" fontId="68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37" fillId="0" borderId="0"/>
    <xf numFmtId="0" fontId="37" fillId="0" borderId="0" applyProtection="0"/>
    <xf numFmtId="0" fontId="23" fillId="0" borderId="0" applyProtection="0"/>
    <xf numFmtId="0" fontId="23" fillId="0" borderId="0"/>
    <xf numFmtId="0" fontId="37" fillId="0" borderId="0"/>
    <xf numFmtId="0" fontId="23" fillId="0" borderId="0"/>
    <xf numFmtId="193" fontId="44" fillId="0" borderId="0"/>
    <xf numFmtId="193" fontId="44" fillId="0" borderId="0"/>
    <xf numFmtId="0" fontId="11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3" fillId="0" borderId="0"/>
    <xf numFmtId="0" fontId="114" fillId="0" borderId="0"/>
    <xf numFmtId="0" fontId="65" fillId="0" borderId="0">
      <alignment vertical="top"/>
    </xf>
    <xf numFmtId="0" fontId="37" fillId="0" borderId="0"/>
    <xf numFmtId="0" fontId="2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37" fillId="0" borderId="0"/>
    <xf numFmtId="0" fontId="2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37" fillId="27" borderId="12" applyNumberFormat="0" applyFont="0" applyAlignment="0" applyProtection="0"/>
    <xf numFmtId="0" fontId="23" fillId="27" borderId="12" applyNumberFormat="0" applyFont="0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4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7" fillId="27" borderId="12" applyNumberFormat="0" applyFont="0" applyAlignment="0" applyProtection="0"/>
    <xf numFmtId="193" fontId="44" fillId="28" borderId="12" applyAlignment="0" applyProtection="0"/>
    <xf numFmtId="193" fontId="44" fillId="28" borderId="12" applyAlignment="0" applyProtection="0"/>
    <xf numFmtId="0" fontId="23" fillId="27" borderId="12" applyNumberFormat="0" applyFont="0" applyAlignment="0" applyProtection="0"/>
    <xf numFmtId="193" fontId="44" fillId="28" borderId="12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0" fontId="38" fillId="20" borderId="13" applyNumberFormat="0" applyAlignment="0" applyProtection="0"/>
    <xf numFmtId="175" fontId="37" fillId="0" borderId="0" applyFont="0" applyFill="0" applyBorder="0" applyAlignment="0" applyProtection="0"/>
    <xf numFmtId="175" fontId="23" fillId="0" borderId="0" applyFont="0" applyFill="0" applyBorder="0" applyAlignment="0" applyProtection="0"/>
    <xf numFmtId="199" fontId="37" fillId="0" borderId="0" applyFont="0" applyFill="0" applyBorder="0" applyAlignment="0" applyProtection="0"/>
    <xf numFmtId="199" fontId="23" fillId="0" borderId="0" applyFont="0" applyFill="0" applyBorder="0" applyAlignment="0" applyProtection="0"/>
    <xf numFmtId="10" fontId="37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49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3" fillId="0" borderId="0" applyFont="0" applyFill="0" applyBorder="0" applyAlignment="0" applyProtection="0"/>
    <xf numFmtId="176" fontId="37" fillId="0" borderId="0" applyFill="0" applyBorder="0" applyAlignment="0"/>
    <xf numFmtId="176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176" fontId="37" fillId="0" borderId="0" applyFill="0" applyBorder="0" applyAlignment="0"/>
    <xf numFmtId="176" fontId="23" fillId="0" borderId="0" applyFill="0" applyBorder="0" applyAlignment="0"/>
    <xf numFmtId="177" fontId="37" fillId="0" borderId="0" applyFill="0" applyBorder="0" applyAlignment="0"/>
    <xf numFmtId="177" fontId="23" fillId="0" borderId="0" applyFill="0" applyBorder="0" applyAlignment="0"/>
    <xf numFmtId="172" fontId="37" fillId="0" borderId="0" applyFill="0" applyBorder="0" applyAlignment="0"/>
    <xf numFmtId="172" fontId="23" fillId="0" borderId="0" applyFill="0" applyBorder="0" applyAlignment="0"/>
    <xf numFmtId="0" fontId="75" fillId="0" borderId="0"/>
    <xf numFmtId="200" fontId="88" fillId="0" borderId="0" applyNumberFormat="0" applyFill="0" applyBorder="0" applyAlignment="0" applyProtection="0">
      <alignment horizontal="left"/>
    </xf>
    <xf numFmtId="0" fontId="89" fillId="0" borderId="14"/>
    <xf numFmtId="0" fontId="89" fillId="0" borderId="14"/>
    <xf numFmtId="0" fontId="90" fillId="0" borderId="15"/>
    <xf numFmtId="0" fontId="90" fillId="0" borderId="15"/>
    <xf numFmtId="40" fontId="91" fillId="0" borderId="0" applyBorder="0">
      <alignment horizontal="right"/>
    </xf>
    <xf numFmtId="49" fontId="65" fillId="0" borderId="0" applyFill="0" applyBorder="0" applyAlignment="0"/>
    <xf numFmtId="201" fontId="37" fillId="0" borderId="0" applyFill="0" applyBorder="0" applyAlignment="0"/>
    <xf numFmtId="201" fontId="23" fillId="0" borderId="0" applyFill="0" applyBorder="0" applyAlignment="0"/>
    <xf numFmtId="202" fontId="37" fillId="0" borderId="0" applyFill="0" applyBorder="0" applyAlignment="0"/>
    <xf numFmtId="202" fontId="23" fillId="0" borderId="0" applyFill="0" applyBorder="0" applyAlignment="0"/>
    <xf numFmtId="203" fontId="92" fillId="0" borderId="16" applyFont="0" applyBorder="0" applyAlignment="0">
      <alignment horizontal="right"/>
    </xf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0" fillId="0" borderId="1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0" borderId="0"/>
    <xf numFmtId="0" fontId="11" fillId="0" borderId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0" fillId="0" borderId="0"/>
    <xf numFmtId="165" fontId="23" fillId="0" borderId="0" applyFont="0" applyFill="0" applyBorder="0" applyAlignment="0" applyProtection="0"/>
    <xf numFmtId="9" fontId="164" fillId="0" borderId="0" applyFont="0" applyFill="0" applyBorder="0" applyAlignment="0" applyProtection="0"/>
    <xf numFmtId="165" fontId="176" fillId="0" borderId="0" applyFont="0" applyFill="0" applyBorder="0" applyAlignment="0" applyProtection="0"/>
    <xf numFmtId="0" fontId="23" fillId="0" borderId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6" fillId="0" borderId="0"/>
    <xf numFmtId="165" fontId="23" fillId="0" borderId="0" applyFont="0" applyFill="0" applyBorder="0" applyAlignment="0" applyProtection="0"/>
    <xf numFmtId="0" fontId="6" fillId="0" borderId="0"/>
    <xf numFmtId="166" fontId="23" fillId="0" borderId="0" applyFont="0" applyFill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2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3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4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5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1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1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17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70" fillId="0" borderId="0" applyFont="0" applyFill="0" applyBorder="0" applyAlignment="0" applyProtection="0"/>
    <xf numFmtId="166" fontId="17" fillId="0" borderId="0" applyFont="0" applyFill="0" applyBorder="0" applyAlignment="0" applyProtection="0"/>
    <xf numFmtId="42" fontId="17" fillId="0" borderId="0" applyFont="0" applyFill="0" applyBorder="0" applyAlignment="0" applyProtection="0"/>
    <xf numFmtId="42" fontId="113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6" fillId="0" borderId="0"/>
    <xf numFmtId="0" fontId="17" fillId="0" borderId="0"/>
    <xf numFmtId="0" fontId="6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0" fontId="17" fillId="27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13" fillId="0" borderId="0" applyFont="0" applyFill="0" applyBorder="0" applyAlignment="0" applyProtection="0"/>
    <xf numFmtId="0" fontId="89" fillId="0" borderId="100"/>
    <xf numFmtId="0" fontId="90" fillId="0" borderId="101"/>
    <xf numFmtId="166" fontId="23" fillId="0" borderId="0" applyFont="0" applyFill="0" applyBorder="0" applyAlignment="0" applyProtection="0"/>
  </cellStyleXfs>
  <cellXfs count="728">
    <xf numFmtId="0" fontId="0" fillId="0" borderId="0" xfId="0"/>
    <xf numFmtId="0" fontId="46" fillId="0" borderId="0" xfId="1448" applyFont="1" applyAlignment="1">
      <alignment horizontal="center" wrapText="1"/>
    </xf>
    <xf numFmtId="0" fontId="45" fillId="0" borderId="0" xfId="1448" applyFont="1" applyAlignment="1">
      <alignment horizontal="left" vertical="center" wrapText="1"/>
    </xf>
    <xf numFmtId="0" fontId="55" fillId="0" borderId="0" xfId="1448" applyFont="1" applyAlignment="1">
      <alignment horizontal="center" wrapText="1"/>
    </xf>
    <xf numFmtId="3" fontId="46" fillId="0" borderId="0" xfId="1448" applyNumberFormat="1" applyFont="1" applyAlignment="1">
      <alignment horizontal="center" vertical="center" wrapText="1"/>
    </xf>
    <xf numFmtId="0" fontId="55" fillId="0" borderId="0" xfId="1448" applyFont="1" applyAlignment="1">
      <alignment wrapText="1"/>
    </xf>
    <xf numFmtId="0" fontId="56" fillId="0" borderId="0" xfId="1448" applyFont="1" applyAlignment="1">
      <alignment wrapText="1"/>
    </xf>
    <xf numFmtId="0" fontId="45" fillId="0" borderId="0" xfId="1448" applyFont="1" applyAlignment="1">
      <alignment horizontal="center" wrapText="1"/>
    </xf>
    <xf numFmtId="0" fontId="45" fillId="0" borderId="0" xfId="1448" applyFont="1" applyAlignment="1">
      <alignment horizontal="center" vertical="center" wrapText="1"/>
    </xf>
    <xf numFmtId="3" fontId="45" fillId="0" borderId="0" xfId="1448" applyNumberFormat="1" applyFont="1" applyAlignment="1">
      <alignment horizontal="center" vertical="center" wrapText="1"/>
    </xf>
    <xf numFmtId="0" fontId="45" fillId="0" borderId="18" xfId="1448" applyFont="1" applyBorder="1" applyAlignment="1">
      <alignment horizontal="center" vertical="center" wrapText="1"/>
    </xf>
    <xf numFmtId="0" fontId="46" fillId="0" borderId="0" xfId="1448" applyFont="1" applyAlignment="1">
      <alignment horizontal="center" vertical="center" wrapText="1"/>
    </xf>
    <xf numFmtId="0" fontId="55" fillId="0" borderId="0" xfId="1448" applyFont="1" applyAlignment="1">
      <alignment horizontal="center" vertical="center" wrapText="1"/>
    </xf>
    <xf numFmtId="0" fontId="58" fillId="0" borderId="18" xfId="1448" applyFont="1" applyBorder="1" applyAlignment="1">
      <alignment horizontal="center" wrapText="1"/>
    </xf>
    <xf numFmtId="0" fontId="59" fillId="0" borderId="0" xfId="1448" applyFont="1" applyAlignment="1">
      <alignment wrapText="1"/>
    </xf>
    <xf numFmtId="0" fontId="46" fillId="0" borderId="18" xfId="1448" applyFont="1" applyBorder="1" applyAlignment="1">
      <alignment horizontal="center" vertical="center" wrapText="1"/>
    </xf>
    <xf numFmtId="41" fontId="46" fillId="0" borderId="0" xfId="527" applyNumberFormat="1" applyFont="1" applyFill="1" applyBorder="1" applyAlignment="1">
      <alignment horizontal="center" wrapText="1"/>
    </xf>
    <xf numFmtId="0" fontId="46" fillId="0" borderId="18" xfId="1448" quotePrefix="1" applyFont="1" applyBorder="1" applyAlignment="1">
      <alignment horizontal="center" vertical="center" wrapText="1"/>
    </xf>
    <xf numFmtId="18" fontId="46" fillId="0" borderId="18" xfId="1448" quotePrefix="1" applyNumberFormat="1" applyFont="1" applyBorder="1" applyAlignment="1">
      <alignment horizontal="center" vertical="center" wrapText="1"/>
    </xf>
    <xf numFmtId="0" fontId="55" fillId="0" borderId="0" xfId="1448" applyFont="1" applyAlignment="1">
      <alignment vertical="top" wrapText="1"/>
    </xf>
    <xf numFmtId="41" fontId="46" fillId="0" borderId="18" xfId="1448" applyNumberFormat="1" applyFont="1" applyBorder="1" applyAlignment="1">
      <alignment horizontal="center" vertical="center" wrapText="1"/>
    </xf>
    <xf numFmtId="17" fontId="46" fillId="0" borderId="18" xfId="1448" quotePrefix="1" applyNumberFormat="1" applyFont="1" applyBorder="1" applyAlignment="1">
      <alignment horizontal="center" vertical="center" wrapText="1"/>
    </xf>
    <xf numFmtId="41" fontId="46" fillId="0" borderId="0" xfId="1448" applyNumberFormat="1" applyFont="1" applyAlignment="1">
      <alignment horizontal="center" wrapText="1"/>
    </xf>
    <xf numFmtId="0" fontId="113" fillId="0" borderId="0" xfId="1614" applyAlignment="1">
      <alignment horizontal="center"/>
    </xf>
    <xf numFmtId="0" fontId="50" fillId="0" borderId="0" xfId="1614" applyFont="1" applyAlignment="1">
      <alignment horizontal="center" vertical="center"/>
    </xf>
    <xf numFmtId="0" fontId="45" fillId="0" borderId="0" xfId="1614" applyFont="1" applyAlignment="1">
      <alignment vertical="center"/>
    </xf>
    <xf numFmtId="0" fontId="113" fillId="0" borderId="0" xfId="1614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/>
    </xf>
    <xf numFmtId="43" fontId="54" fillId="0" borderId="0" xfId="1652" applyNumberFormat="1" applyFont="1"/>
    <xf numFmtId="0" fontId="113" fillId="0" borderId="19" xfId="1614" applyBorder="1" applyAlignment="1">
      <alignment horizontal="center"/>
    </xf>
    <xf numFmtId="0" fontId="54" fillId="0" borderId="0" xfId="1614" applyFont="1" applyAlignment="1">
      <alignment horizontal="center"/>
    </xf>
    <xf numFmtId="0" fontId="54" fillId="0" borderId="0" xfId="1614" applyFont="1" applyAlignment="1">
      <alignment horizontal="center" vertical="center" wrapText="1"/>
    </xf>
    <xf numFmtId="3" fontId="46" fillId="0" borderId="0" xfId="1614" applyNumberFormat="1" applyFont="1" applyAlignment="1">
      <alignment vertical="center"/>
    </xf>
    <xf numFmtId="0" fontId="22" fillId="0" borderId="0" xfId="1614" applyFont="1" applyAlignment="1">
      <alignment horizontal="center"/>
    </xf>
    <xf numFmtId="0" fontId="46" fillId="0" borderId="20" xfId="1614" applyFont="1" applyBorder="1" applyAlignment="1">
      <alignment horizontal="center" vertical="center"/>
    </xf>
    <xf numFmtId="0" fontId="46" fillId="0" borderId="21" xfId="1614" applyFont="1" applyBorder="1" applyAlignment="1">
      <alignment horizontal="left" vertical="center" wrapText="1"/>
    </xf>
    <xf numFmtId="0" fontId="46" fillId="0" borderId="21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/>
    </xf>
    <xf numFmtId="3" fontId="48" fillId="0" borderId="21" xfId="1614" applyNumberFormat="1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6" fillId="0" borderId="22" xfId="1614" applyNumberFormat="1" applyFont="1" applyBorder="1" applyAlignment="1">
      <alignment horizontal="center" vertical="center"/>
    </xf>
    <xf numFmtId="0" fontId="63" fillId="0" borderId="0" xfId="1614" applyFont="1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3" fontId="63" fillId="0" borderId="0" xfId="1614" applyNumberFormat="1" applyFont="1" applyAlignment="1">
      <alignment horizontal="center" vertical="center"/>
    </xf>
    <xf numFmtId="0" fontId="63" fillId="0" borderId="0" xfId="1614" applyFont="1" applyAlignment="1">
      <alignment horizontal="center"/>
    </xf>
    <xf numFmtId="0" fontId="51" fillId="0" borderId="23" xfId="1614" applyFont="1" applyBorder="1" applyAlignment="1">
      <alignment horizontal="center" vertical="center"/>
    </xf>
    <xf numFmtId="0" fontId="51" fillId="0" borderId="24" xfId="1614" applyFont="1" applyBorder="1" applyAlignment="1">
      <alignment horizontal="left" vertical="center"/>
    </xf>
    <xf numFmtId="0" fontId="51" fillId="0" borderId="24" xfId="1614" applyFont="1" applyBorder="1" applyAlignment="1">
      <alignment vertical="center"/>
    </xf>
    <xf numFmtId="0" fontId="22" fillId="0" borderId="24" xfId="1614" applyFont="1" applyBorder="1" applyAlignment="1">
      <alignment horizontal="center" vertical="center"/>
    </xf>
    <xf numFmtId="3" fontId="46" fillId="0" borderId="24" xfId="1614" applyNumberFormat="1" applyFont="1" applyBorder="1" applyAlignment="1">
      <alignment horizontal="center" vertical="center"/>
    </xf>
    <xf numFmtId="3" fontId="46" fillId="0" borderId="25" xfId="1614" applyNumberFormat="1" applyFont="1" applyBorder="1" applyAlignment="1">
      <alignment horizontal="center" vertical="center"/>
    </xf>
    <xf numFmtId="0" fontId="113" fillId="0" borderId="26" xfId="1614" applyBorder="1" applyAlignment="1">
      <alignment horizontal="center" vertical="center"/>
    </xf>
    <xf numFmtId="37" fontId="113" fillId="0" borderId="27" xfId="1614" applyNumberFormat="1" applyBorder="1" applyAlignment="1">
      <alignment horizontal="center"/>
    </xf>
    <xf numFmtId="0" fontId="113" fillId="0" borderId="28" xfId="1614" applyBorder="1" applyAlignment="1">
      <alignment horizontal="center" vertical="center"/>
    </xf>
    <xf numFmtId="37" fontId="22" fillId="0" borderId="0" xfId="1614" applyNumberFormat="1" applyFont="1" applyAlignment="1">
      <alignment horizontal="center"/>
    </xf>
    <xf numFmtId="37" fontId="64" fillId="0" borderId="0" xfId="1614" applyNumberFormat="1" applyFont="1" applyAlignment="1">
      <alignment horizontal="center"/>
    </xf>
    <xf numFmtId="37" fontId="54" fillId="0" borderId="29" xfId="1614" applyNumberFormat="1" applyFont="1" applyBorder="1" applyAlignment="1">
      <alignment horizontal="center"/>
    </xf>
    <xf numFmtId="37" fontId="113" fillId="0" borderId="29" xfId="1614" applyNumberFormat="1" applyBorder="1" applyAlignment="1">
      <alignment horizontal="center"/>
    </xf>
    <xf numFmtId="37" fontId="64" fillId="0" borderId="30" xfId="1614" applyNumberFormat="1" applyFont="1" applyBorder="1" applyAlignment="1">
      <alignment horizontal="center"/>
    </xf>
    <xf numFmtId="0" fontId="53" fillId="0" borderId="0" xfId="1614" applyFont="1" applyAlignment="1">
      <alignment horizontal="center" vertical="center"/>
    </xf>
    <xf numFmtId="0" fontId="113" fillId="0" borderId="19" xfId="1614" applyBorder="1"/>
    <xf numFmtId="0" fontId="113" fillId="0" borderId="19" xfId="1614" applyBorder="1" applyAlignment="1">
      <alignment horizontal="right"/>
    </xf>
    <xf numFmtId="0" fontId="113" fillId="0" borderId="31" xfId="1614" applyBorder="1" applyAlignment="1">
      <alignment horizontal="right"/>
    </xf>
    <xf numFmtId="0" fontId="51" fillId="0" borderId="0" xfId="1614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0" fontId="51" fillId="0" borderId="0" xfId="1614" applyFont="1" applyAlignment="1">
      <alignment vertical="center"/>
    </xf>
    <xf numFmtId="0" fontId="22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113" fillId="0" borderId="0" xfId="1652" applyAlignment="1">
      <alignment horizontal="right"/>
    </xf>
    <xf numFmtId="0" fontId="50" fillId="0" borderId="0" xfId="1614" applyFont="1" applyAlignment="1">
      <alignment vertical="center"/>
    </xf>
    <xf numFmtId="0" fontId="50" fillId="0" borderId="0" xfId="1614" applyFont="1" applyAlignment="1">
      <alignment horizontal="center"/>
    </xf>
    <xf numFmtId="0" fontId="93" fillId="0" borderId="0" xfId="1614" applyFont="1" applyAlignment="1">
      <alignment horizontal="center" vertical="center" wrapText="1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37" fontId="54" fillId="0" borderId="27" xfId="1614" applyNumberFormat="1" applyFont="1" applyBorder="1" applyAlignment="1">
      <alignment horizontal="center"/>
    </xf>
    <xf numFmtId="37" fontId="64" fillId="0" borderId="32" xfId="1614" applyNumberFormat="1" applyFont="1" applyBorder="1" applyAlignment="1">
      <alignment horizontal="center"/>
    </xf>
    <xf numFmtId="0" fontId="22" fillId="0" borderId="21" xfId="1652" applyFont="1" applyBorder="1" applyAlignment="1">
      <alignment horizontal="center" vertical="center"/>
    </xf>
    <xf numFmtId="0" fontId="45" fillId="0" borderId="0" xfId="1448" applyFont="1" applyAlignment="1">
      <alignment horizontal="left" vertical="center"/>
    </xf>
    <xf numFmtId="0" fontId="55" fillId="0" borderId="0" xfId="1448" applyFont="1" applyAlignment="1">
      <alignment horizontal="left" wrapText="1"/>
    </xf>
    <xf numFmtId="3" fontId="62" fillId="0" borderId="0" xfId="1614" applyNumberFormat="1" applyFont="1" applyAlignment="1">
      <alignment horizontal="center"/>
    </xf>
    <xf numFmtId="0" fontId="54" fillId="0" borderId="0" xfId="1614" applyFont="1"/>
    <xf numFmtId="0" fontId="46" fillId="0" borderId="21" xfId="1448" applyFont="1" applyBorder="1" applyAlignment="1">
      <alignment horizontal="center" vertical="center"/>
    </xf>
    <xf numFmtId="0" fontId="46" fillId="0" borderId="21" xfId="1448" applyFont="1" applyBorder="1" applyAlignment="1">
      <alignment horizontal="left" wrapText="1"/>
    </xf>
    <xf numFmtId="0" fontId="55" fillId="0" borderId="21" xfId="1448" applyFont="1" applyBorder="1" applyAlignment="1">
      <alignment horizontal="center" wrapText="1"/>
    </xf>
    <xf numFmtId="0" fontId="46" fillId="0" borderId="21" xfId="1448" applyFont="1" applyBorder="1" applyAlignment="1">
      <alignment horizontal="center" vertical="center" wrapText="1"/>
    </xf>
    <xf numFmtId="3" fontId="46" fillId="0" borderId="21" xfId="1448" applyNumberFormat="1" applyFont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64" fillId="0" borderId="34" xfId="1614" applyFont="1" applyBorder="1" applyAlignment="1">
      <alignment vertical="center"/>
    </xf>
    <xf numFmtId="168" fontId="46" fillId="0" borderId="0" xfId="714" applyFont="1" applyFill="1" applyAlignment="1">
      <alignment horizontal="center" wrapText="1"/>
    </xf>
    <xf numFmtId="168" fontId="45" fillId="0" borderId="0" xfId="714" applyFont="1" applyFill="1" applyAlignment="1">
      <alignment horizontal="center" wrapText="1"/>
    </xf>
    <xf numFmtId="4" fontId="95" fillId="0" borderId="3" xfId="1448" applyNumberFormat="1" applyFont="1" applyBorder="1" applyAlignment="1">
      <alignment horizontal="center" vertical="center" wrapText="1"/>
    </xf>
    <xf numFmtId="0" fontId="46" fillId="0" borderId="0" xfId="1448" applyFont="1" applyAlignment="1">
      <alignment vertical="center" wrapText="1"/>
    </xf>
    <xf numFmtId="168" fontId="46" fillId="0" borderId="21" xfId="715" applyNumberFormat="1" applyFont="1" applyFill="1" applyBorder="1" applyAlignment="1">
      <alignment horizontal="center" vertical="center" wrapText="1"/>
    </xf>
    <xf numFmtId="168" fontId="46" fillId="0" borderId="21" xfId="714" applyFont="1" applyFill="1" applyBorder="1" applyAlignment="1">
      <alignment horizontal="center" vertical="center" wrapText="1"/>
    </xf>
    <xf numFmtId="168" fontId="46" fillId="0" borderId="33" xfId="714" applyFont="1" applyFill="1" applyBorder="1" applyAlignment="1">
      <alignment horizontal="center" vertical="center" wrapText="1"/>
    </xf>
    <xf numFmtId="43" fontId="45" fillId="0" borderId="0" xfId="1614" applyNumberFormat="1" applyFont="1" applyAlignment="1">
      <alignment horizontal="left" vertical="center"/>
    </xf>
    <xf numFmtId="37" fontId="113" fillId="0" borderId="0" xfId="1614" applyNumberFormat="1" applyAlignment="1">
      <alignment horizontal="center"/>
    </xf>
    <xf numFmtId="0" fontId="20" fillId="0" borderId="20" xfId="1652" applyFont="1" applyBorder="1" applyAlignment="1">
      <alignment horizontal="center" vertical="center"/>
    </xf>
    <xf numFmtId="0" fontId="20" fillId="0" borderId="21" xfId="1652" applyFont="1" applyBorder="1" applyAlignment="1">
      <alignment horizontal="center" vertical="center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0" fontId="96" fillId="0" borderId="21" xfId="1614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4" fillId="0" borderId="0" xfId="1614" applyFont="1" applyAlignment="1">
      <alignment horizontal="left" vertical="center"/>
    </xf>
    <xf numFmtId="3" fontId="45" fillId="0" borderId="0" xfId="1614" applyNumberFormat="1" applyFont="1" applyAlignment="1">
      <alignment horizontal="left" vertical="center"/>
    </xf>
    <xf numFmtId="3" fontId="45" fillId="0" borderId="3" xfId="1448" applyNumberFormat="1" applyFont="1" applyBorder="1" applyAlignment="1">
      <alignment horizontal="center" vertical="center" wrapText="1"/>
    </xf>
    <xf numFmtId="0" fontId="46" fillId="0" borderId="21" xfId="1451" applyFont="1" applyBorder="1" applyAlignment="1">
      <alignment horizontal="left" vertical="center" wrapText="1"/>
    </xf>
    <xf numFmtId="0" fontId="58" fillId="0" borderId="18" xfId="1448" quotePrefix="1" applyFont="1" applyBorder="1" applyAlignment="1">
      <alignment horizontal="center" vertical="center" wrapText="1"/>
    </xf>
    <xf numFmtId="0" fontId="50" fillId="0" borderId="0" xfId="1505" applyFont="1"/>
    <xf numFmtId="0" fontId="62" fillId="0" borderId="0" xfId="1615" applyFont="1" applyAlignment="1">
      <alignment horizontal="center"/>
    </xf>
    <xf numFmtId="0" fontId="50" fillId="0" borderId="0" xfId="1615" applyFont="1" applyAlignment="1">
      <alignment horizontal="center" vertical="center"/>
    </xf>
    <xf numFmtId="0" fontId="45" fillId="0" borderId="0" xfId="1615" applyFont="1" applyAlignment="1">
      <alignment horizontal="left" vertical="center"/>
    </xf>
    <xf numFmtId="0" fontId="45" fillId="0" borderId="0" xfId="1615" applyFont="1" applyAlignment="1">
      <alignment vertical="center"/>
    </xf>
    <xf numFmtId="0" fontId="113" fillId="0" borderId="0" xfId="1615" applyAlignment="1">
      <alignment horizontal="center" vertical="center"/>
    </xf>
    <xf numFmtId="3" fontId="47" fillId="0" borderId="0" xfId="1615" applyNumberFormat="1" applyFont="1" applyAlignment="1">
      <alignment horizontal="center" vertical="center"/>
    </xf>
    <xf numFmtId="0" fontId="113" fillId="0" borderId="0" xfId="1615" applyAlignment="1">
      <alignment horizontal="center"/>
    </xf>
    <xf numFmtId="43" fontId="45" fillId="0" borderId="0" xfId="1615" applyNumberFormat="1" applyFont="1" applyAlignment="1">
      <alignment horizontal="left" vertical="center"/>
    </xf>
    <xf numFmtId="43" fontId="54" fillId="0" borderId="0" xfId="1653" applyNumberFormat="1" applyFont="1" applyAlignment="1">
      <alignment horizontal="left" vertical="center"/>
    </xf>
    <xf numFmtId="0" fontId="98" fillId="0" borderId="0" xfId="1653" applyFont="1" applyAlignment="1">
      <alignment horizontal="center" vertical="center"/>
    </xf>
    <xf numFmtId="0" fontId="46" fillId="0" borderId="35" xfId="1615" applyFont="1" applyBorder="1" applyAlignment="1">
      <alignment horizontal="center" vertical="center"/>
    </xf>
    <xf numFmtId="0" fontId="46" fillId="0" borderId="35" xfId="1615" applyFont="1" applyBorder="1" applyAlignment="1">
      <alignment horizontal="left" vertical="center" wrapText="1"/>
    </xf>
    <xf numFmtId="0" fontId="46" fillId="0" borderId="35" xfId="1615" applyFont="1" applyBorder="1" applyAlignment="1">
      <alignment horizontal="center" vertical="center" wrapText="1"/>
    </xf>
    <xf numFmtId="0" fontId="48" fillId="0" borderId="35" xfId="1615" applyFont="1" applyBorder="1" applyAlignment="1">
      <alignment horizontal="center" vertical="center"/>
    </xf>
    <xf numFmtId="0" fontId="15" fillId="0" borderId="35" xfId="1653" applyFont="1" applyBorder="1" applyAlignment="1">
      <alignment horizontal="center" vertical="center"/>
    </xf>
    <xf numFmtId="3" fontId="48" fillId="0" borderId="35" xfId="1615" applyNumberFormat="1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0" fontId="15" fillId="0" borderId="0" xfId="1615" applyFont="1" applyAlignment="1">
      <alignment horizontal="center"/>
    </xf>
    <xf numFmtId="0" fontId="54" fillId="0" borderId="21" xfId="1653" applyFont="1" applyBorder="1" applyAlignment="1">
      <alignment horizontal="center" vertical="center"/>
    </xf>
    <xf numFmtId="0" fontId="54" fillId="0" borderId="21" xfId="1653" applyFont="1" applyBorder="1" applyAlignment="1">
      <alignment vertical="center" wrapText="1"/>
    </xf>
    <xf numFmtId="0" fontId="46" fillId="0" borderId="21" xfId="1615" applyFont="1" applyBorder="1" applyAlignment="1">
      <alignment horizontal="center" vertical="center" wrapText="1"/>
    </xf>
    <xf numFmtId="0" fontId="48" fillId="0" borderId="21" xfId="1615" applyFont="1" applyBorder="1" applyAlignment="1">
      <alignment horizontal="center" vertical="center"/>
    </xf>
    <xf numFmtId="0" fontId="15" fillId="0" borderId="21" xfId="1653" applyFont="1" applyBorder="1" applyAlignment="1">
      <alignment horizontal="center" vertical="center"/>
    </xf>
    <xf numFmtId="3" fontId="48" fillId="0" borderId="21" xfId="1615" applyNumberFormat="1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0" fontId="63" fillId="0" borderId="0" xfId="1615" applyFont="1" applyAlignment="1">
      <alignment horizontal="center"/>
    </xf>
    <xf numFmtId="3" fontId="15" fillId="0" borderId="21" xfId="1653" applyNumberFormat="1" applyFont="1" applyBorder="1" applyAlignment="1">
      <alignment horizontal="center" vertical="center"/>
    </xf>
    <xf numFmtId="0" fontId="50" fillId="0" borderId="0" xfId="1615" applyFont="1" applyAlignment="1">
      <alignment vertical="center"/>
    </xf>
    <xf numFmtId="0" fontId="50" fillId="0" borderId="33" xfId="1615" applyFont="1" applyBorder="1" applyAlignment="1">
      <alignment horizontal="center" vertical="center"/>
    </xf>
    <xf numFmtId="0" fontId="50" fillId="0" borderId="33" xfId="1615" applyFont="1" applyBorder="1" applyAlignment="1">
      <alignment vertical="center"/>
    </xf>
    <xf numFmtId="0" fontId="113" fillId="0" borderId="33" xfId="1615" applyBorder="1" applyAlignment="1">
      <alignment horizontal="center" vertical="center"/>
    </xf>
    <xf numFmtId="3" fontId="47" fillId="0" borderId="33" xfId="1615" applyNumberFormat="1" applyFont="1" applyBorder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97" fillId="0" borderId="0" xfId="1448" applyFont="1" applyAlignment="1">
      <alignment horizontal="center" wrapText="1"/>
    </xf>
    <xf numFmtId="0" fontId="52" fillId="0" borderId="0" xfId="1614" applyFont="1" applyAlignment="1">
      <alignment vertical="center"/>
    </xf>
    <xf numFmtId="0" fontId="62" fillId="0" borderId="0" xfId="1614" applyFont="1" applyAlignment="1">
      <alignment horizontal="center" vertical="center"/>
    </xf>
    <xf numFmtId="0" fontId="62" fillId="0" borderId="0" xfId="1614" applyFont="1" applyAlignment="1">
      <alignment vertical="center"/>
    </xf>
    <xf numFmtId="3" fontId="102" fillId="0" borderId="0" xfId="1614" applyNumberFormat="1" applyFont="1" applyAlignment="1">
      <alignment horizontal="center" vertical="center"/>
    </xf>
    <xf numFmtId="0" fontId="102" fillId="0" borderId="0" xfId="1614" applyFont="1" applyAlignment="1">
      <alignment horizontal="center" vertical="center"/>
    </xf>
    <xf numFmtId="0" fontId="21" fillId="0" borderId="0" xfId="1614" applyFont="1" applyAlignment="1">
      <alignment horizontal="center"/>
    </xf>
    <xf numFmtId="0" fontId="93" fillId="0" borderId="0" xfId="1614" applyFont="1" applyAlignment="1">
      <alignment horizontal="center" vertical="center"/>
    </xf>
    <xf numFmtId="0" fontId="93" fillId="0" borderId="0" xfId="1614" applyFont="1" applyAlignment="1">
      <alignment vertical="center"/>
    </xf>
    <xf numFmtId="206" fontId="46" fillId="0" borderId="21" xfId="2549" applyNumberFormat="1" applyFont="1" applyFill="1" applyBorder="1" applyAlignment="1">
      <alignment horizontal="center" vertical="center" wrapText="1"/>
    </xf>
    <xf numFmtId="0" fontId="96" fillId="0" borderId="0" xfId="1448" applyFont="1" applyAlignment="1">
      <alignment horizontal="center" wrapText="1"/>
    </xf>
    <xf numFmtId="0" fontId="97" fillId="0" borderId="0" xfId="1448" applyFont="1" applyAlignment="1">
      <alignment wrapText="1"/>
    </xf>
    <xf numFmtId="0" fontId="104" fillId="0" borderId="0" xfId="1448" applyFont="1" applyAlignment="1">
      <alignment horizontal="center" wrapText="1"/>
    </xf>
    <xf numFmtId="0" fontId="103" fillId="0" borderId="0" xfId="1448" applyFont="1" applyAlignment="1">
      <alignment horizontal="center" wrapText="1"/>
    </xf>
    <xf numFmtId="0" fontId="103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/>
    </xf>
    <xf numFmtId="0" fontId="96" fillId="0" borderId="0" xfId="1448" applyFont="1" applyAlignment="1">
      <alignment horizontal="center" vertical="center"/>
    </xf>
    <xf numFmtId="0" fontId="96" fillId="0" borderId="0" xfId="1448" applyFont="1" applyAlignment="1">
      <alignment vertical="center" wrapText="1"/>
    </xf>
    <xf numFmtId="0" fontId="96" fillId="0" borderId="0" xfId="527" applyNumberFormat="1" applyFont="1" applyFill="1" applyBorder="1" applyAlignment="1">
      <alignment horizontal="center" wrapText="1"/>
    </xf>
    <xf numFmtId="41" fontId="97" fillId="0" borderId="0" xfId="1448" applyNumberFormat="1" applyFont="1" applyAlignment="1">
      <alignment wrapText="1"/>
    </xf>
    <xf numFmtId="41" fontId="97" fillId="0" borderId="0" xfId="527" applyNumberFormat="1" applyFont="1" applyFill="1" applyAlignment="1">
      <alignment wrapText="1"/>
    </xf>
    <xf numFmtId="0" fontId="97" fillId="0" borderId="0" xfId="1448" applyFont="1" applyAlignment="1">
      <alignment vertical="top" wrapText="1"/>
    </xf>
    <xf numFmtId="0" fontId="96" fillId="0" borderId="0" xfId="527" applyNumberFormat="1" applyFont="1" applyFill="1" applyAlignment="1">
      <alignment horizontal="center" wrapText="1"/>
    </xf>
    <xf numFmtId="0" fontId="97" fillId="0" borderId="0" xfId="527" applyNumberFormat="1" applyFont="1" applyFill="1" applyAlignment="1">
      <alignment horizontal="center" wrapText="1"/>
    </xf>
    <xf numFmtId="168" fontId="46" fillId="0" borderId="21" xfId="717" applyNumberFormat="1" applyFont="1" applyFill="1" applyBorder="1" applyAlignment="1" applyProtection="1">
      <alignment horizontal="center" vertical="center" wrapText="1"/>
    </xf>
    <xf numFmtId="41" fontId="46" fillId="0" borderId="21" xfId="1451" applyNumberFormat="1" applyFont="1" applyBorder="1" applyAlignment="1">
      <alignment horizontal="center" vertical="center" wrapText="1"/>
    </xf>
    <xf numFmtId="168" fontId="58" fillId="0" borderId="21" xfId="717" applyNumberFormat="1" applyFont="1" applyFill="1" applyBorder="1" applyAlignment="1" applyProtection="1">
      <alignment horizontal="center" vertical="center" wrapText="1"/>
    </xf>
    <xf numFmtId="0" fontId="46" fillId="0" borderId="21" xfId="1451" applyFont="1" applyBorder="1" applyAlignment="1">
      <alignment horizontal="center" vertical="center" wrapText="1"/>
    </xf>
    <xf numFmtId="168" fontId="46" fillId="0" borderId="21" xfId="728" applyFont="1" applyFill="1" applyBorder="1" applyAlignment="1" applyProtection="1">
      <alignment horizontal="center" vertical="center" wrapText="1"/>
    </xf>
    <xf numFmtId="3" fontId="46" fillId="0" borderId="21" xfId="1450" applyNumberFormat="1" applyFont="1" applyBorder="1" applyAlignment="1">
      <alignment horizontal="center" vertical="center" wrapText="1"/>
    </xf>
    <xf numFmtId="168" fontId="46" fillId="0" borderId="21" xfId="728" applyFont="1" applyFill="1" applyBorder="1" applyAlignment="1">
      <alignment horizontal="center" vertical="center" wrapText="1"/>
    </xf>
    <xf numFmtId="0" fontId="123" fillId="0" borderId="26" xfId="1451" applyFont="1" applyBorder="1"/>
    <xf numFmtId="0" fontId="123" fillId="0" borderId="36" xfId="1451" applyFont="1" applyBorder="1"/>
    <xf numFmtId="0" fontId="123" fillId="0" borderId="48" xfId="1451" applyFont="1" applyBorder="1"/>
    <xf numFmtId="0" fontId="123" fillId="0" borderId="28" xfId="1451" applyFont="1" applyBorder="1"/>
    <xf numFmtId="0" fontId="123" fillId="0" borderId="37" xfId="1451" applyFont="1" applyBorder="1"/>
    <xf numFmtId="0" fontId="118" fillId="0" borderId="37" xfId="1451" applyFont="1" applyBorder="1" applyAlignment="1">
      <alignment vertical="center"/>
    </xf>
    <xf numFmtId="0" fontId="123" fillId="0" borderId="34" xfId="1451" applyFont="1" applyBorder="1"/>
    <xf numFmtId="0" fontId="123" fillId="0" borderId="19" xfId="1451" applyFont="1" applyBorder="1"/>
    <xf numFmtId="0" fontId="118" fillId="0" borderId="19" xfId="1451" applyFont="1" applyBorder="1" applyAlignment="1">
      <alignment vertical="center"/>
    </xf>
    <xf numFmtId="0" fontId="118" fillId="0" borderId="19" xfId="1451" applyFont="1" applyBorder="1" applyAlignment="1">
      <alignment horizontal="center" vertical="center"/>
    </xf>
    <xf numFmtId="0" fontId="118" fillId="0" borderId="31" xfId="1451" applyFont="1" applyBorder="1" applyAlignment="1">
      <alignment vertical="center"/>
    </xf>
    <xf numFmtId="0" fontId="45" fillId="0" borderId="3" xfId="1448" applyFont="1" applyBorder="1" applyAlignment="1">
      <alignment horizontal="center" vertical="center"/>
    </xf>
    <xf numFmtId="0" fontId="45" fillId="0" borderId="3" xfId="1448" applyFont="1" applyBorder="1" applyAlignment="1">
      <alignment horizontal="left" vertical="center" wrapText="1"/>
    </xf>
    <xf numFmtId="0" fontId="45" fillId="0" borderId="3" xfId="1448" applyFont="1" applyBorder="1" applyAlignment="1">
      <alignment horizontal="center" vertical="center" wrapText="1"/>
    </xf>
    <xf numFmtId="168" fontId="45" fillId="0" borderId="3" xfId="715" applyNumberFormat="1" applyFont="1" applyFill="1" applyBorder="1" applyAlignment="1">
      <alignment horizontal="center" vertical="center" wrapText="1"/>
    </xf>
    <xf numFmtId="3" fontId="132" fillId="32" borderId="3" xfId="1448" applyNumberFormat="1" applyFont="1" applyFill="1" applyBorder="1" applyAlignment="1">
      <alignment horizontal="center" vertical="center" wrapText="1"/>
    </xf>
    <xf numFmtId="0" fontId="46" fillId="0" borderId="21" xfId="1451" applyFont="1" applyBorder="1" applyAlignment="1">
      <alignment horizontal="center" vertical="center"/>
    </xf>
    <xf numFmtId="0" fontId="138" fillId="0" borderId="21" xfId="1451" applyFont="1" applyBorder="1" applyAlignment="1">
      <alignment horizontal="left" vertical="center" wrapText="1"/>
    </xf>
    <xf numFmtId="0" fontId="46" fillId="33" borderId="21" xfId="1451" applyFont="1" applyFill="1" applyBorder="1" applyAlignment="1">
      <alignment horizontal="left" vertical="center" wrapText="1"/>
    </xf>
    <xf numFmtId="0" fontId="46" fillId="0" borderId="21" xfId="1451" applyFont="1" applyBorder="1" applyAlignment="1">
      <alignment horizontal="left" wrapText="1"/>
    </xf>
    <xf numFmtId="0" fontId="46" fillId="0" borderId="21" xfId="1450" applyFont="1" applyBorder="1" applyAlignment="1">
      <alignment horizontal="center" vertical="center"/>
    </xf>
    <xf numFmtId="0" fontId="46" fillId="0" borderId="21" xfId="1450" applyFont="1" applyBorder="1" applyAlignment="1">
      <alignment horizontal="left" wrapText="1"/>
    </xf>
    <xf numFmtId="0" fontId="116" fillId="0" borderId="21" xfId="1615" applyFont="1" applyBorder="1" applyAlignment="1">
      <alignment vertical="top" wrapText="1"/>
    </xf>
    <xf numFmtId="43" fontId="131" fillId="0" borderId="0" xfId="523" applyFont="1" applyFill="1" applyAlignment="1">
      <alignment horizontal="left" wrapText="1"/>
    </xf>
    <xf numFmtId="0" fontId="10" fillId="0" borderId="0" xfId="2673" applyAlignment="1">
      <alignment vertical="center" wrapText="1"/>
    </xf>
    <xf numFmtId="0" fontId="10" fillId="0" borderId="0" xfId="2673" applyAlignment="1">
      <alignment horizontal="center" vertical="center" wrapText="1"/>
    </xf>
    <xf numFmtId="0" fontId="10" fillId="0" borderId="28" xfId="2673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0" fontId="99" fillId="0" borderId="0" xfId="2673" applyFont="1" applyAlignment="1">
      <alignment vertical="center" wrapText="1"/>
    </xf>
    <xf numFmtId="2" fontId="107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6" fillId="0" borderId="28" xfId="2673" applyFont="1" applyBorder="1" applyAlignment="1">
      <alignment vertical="center" wrapText="1"/>
    </xf>
    <xf numFmtId="0" fontId="12" fillId="0" borderId="21" xfId="1615" applyFont="1" applyBorder="1" applyAlignment="1">
      <alignment horizontal="center" vertical="center"/>
    </xf>
    <xf numFmtId="0" fontId="123" fillId="33" borderId="0" xfId="1451" applyFont="1" applyFill="1"/>
    <xf numFmtId="0" fontId="123" fillId="33" borderId="26" xfId="1451" applyFont="1" applyFill="1" applyBorder="1"/>
    <xf numFmtId="0" fontId="123" fillId="33" borderId="36" xfId="1451" applyFont="1" applyFill="1" applyBorder="1"/>
    <xf numFmtId="0" fontId="123" fillId="33" borderId="48" xfId="1451" applyFont="1" applyFill="1" applyBorder="1"/>
    <xf numFmtId="0" fontId="123" fillId="33" borderId="28" xfId="1451" applyFont="1" applyFill="1" applyBorder="1"/>
    <xf numFmtId="0" fontId="123" fillId="33" borderId="37" xfId="1451" applyFont="1" applyFill="1" applyBorder="1"/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horizontal="center" vertical="center"/>
    </xf>
    <xf numFmtId="0" fontId="127" fillId="33" borderId="0" xfId="1451" applyFont="1" applyFill="1"/>
    <xf numFmtId="0" fontId="128" fillId="33" borderId="0" xfId="1451" applyFont="1" applyFill="1"/>
    <xf numFmtId="0" fontId="118" fillId="33" borderId="0" xfId="1451" applyFont="1" applyFill="1" applyAlignment="1">
      <alignment vertical="center"/>
    </xf>
    <xf numFmtId="0" fontId="118" fillId="33" borderId="37" xfId="1451" applyFont="1" applyFill="1" applyBorder="1" applyAlignment="1">
      <alignment vertical="center"/>
    </xf>
    <xf numFmtId="0" fontId="128" fillId="33" borderId="0" xfId="1451" applyFont="1" applyFill="1" applyAlignment="1">
      <alignment horizontal="center"/>
    </xf>
    <xf numFmtId="0" fontId="118" fillId="33" borderId="0" xfId="1451" applyFont="1" applyFill="1" applyAlignment="1">
      <alignment horizontal="center" vertical="center"/>
    </xf>
    <xf numFmtId="0" fontId="118" fillId="33" borderId="37" xfId="1451" applyFont="1" applyFill="1" applyBorder="1" applyAlignment="1">
      <alignment horizontal="center" vertical="center"/>
    </xf>
    <xf numFmtId="0" fontId="129" fillId="33" borderId="0" xfId="1451" applyFont="1" applyFill="1" applyAlignment="1">
      <alignment vertical="center"/>
    </xf>
    <xf numFmtId="0" fontId="129" fillId="33" borderId="37" xfId="1451" applyFont="1" applyFill="1" applyBorder="1" applyAlignment="1">
      <alignment vertical="center"/>
    </xf>
    <xf numFmtId="0" fontId="123" fillId="33" borderId="34" xfId="1451" applyFont="1" applyFill="1" applyBorder="1"/>
    <xf numFmtId="0" fontId="123" fillId="33" borderId="19" xfId="1451" applyFont="1" applyFill="1" applyBorder="1"/>
    <xf numFmtId="0" fontId="118" fillId="33" borderId="19" xfId="1451" applyFont="1" applyFill="1" applyBorder="1" applyAlignment="1">
      <alignment vertical="center"/>
    </xf>
    <xf numFmtId="0" fontId="118" fillId="33" borderId="19" xfId="1451" applyFont="1" applyFill="1" applyBorder="1" applyAlignment="1">
      <alignment horizontal="center" vertical="center"/>
    </xf>
    <xf numFmtId="0" fontId="118" fillId="33" borderId="31" xfId="1451" applyFont="1" applyFill="1" applyBorder="1" applyAlignment="1">
      <alignment vertical="center"/>
    </xf>
    <xf numFmtId="0" fontId="123" fillId="33" borderId="31" xfId="1451" applyFont="1" applyFill="1" applyBorder="1"/>
    <xf numFmtId="0" fontId="117" fillId="33" borderId="0" xfId="0" applyFont="1" applyFill="1" applyAlignment="1">
      <alignment horizontal="center"/>
    </xf>
    <xf numFmtId="0" fontId="117" fillId="33" borderId="26" xfId="0" applyFont="1" applyFill="1" applyBorder="1" applyAlignment="1">
      <alignment horizontal="center"/>
    </xf>
    <xf numFmtId="0" fontId="117" fillId="33" borderId="36" xfId="0" applyFont="1" applyFill="1" applyBorder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7" fillId="33" borderId="37" xfId="0" applyFont="1" applyFill="1" applyBorder="1" applyAlignment="1">
      <alignment horizontal="center"/>
    </xf>
    <xf numFmtId="0" fontId="117" fillId="33" borderId="3" xfId="0" applyFont="1" applyFill="1" applyBorder="1" applyAlignment="1">
      <alignment horizontal="center"/>
    </xf>
    <xf numFmtId="0" fontId="139" fillId="33" borderId="0" xfId="0" applyFont="1" applyFill="1" applyAlignment="1">
      <alignment horizontal="center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7" fillId="33" borderId="38" xfId="0" applyFont="1" applyFill="1" applyBorder="1" applyAlignment="1">
      <alignment horizontal="center"/>
    </xf>
    <xf numFmtId="0" fontId="94" fillId="33" borderId="40" xfId="0" applyFont="1" applyFill="1" applyBorder="1" applyAlignment="1">
      <alignment horizontal="center" vertical="center"/>
    </xf>
    <xf numFmtId="0" fontId="94" fillId="33" borderId="47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 vertical="center"/>
    </xf>
    <xf numFmtId="0" fontId="117" fillId="33" borderId="39" xfId="0" applyFont="1" applyFill="1" applyBorder="1" applyAlignment="1">
      <alignment horizontal="center" vertical="center"/>
    </xf>
    <xf numFmtId="0" fontId="120" fillId="33" borderId="0" xfId="0" applyFont="1" applyFill="1" applyAlignment="1">
      <alignment horizontal="center"/>
    </xf>
    <xf numFmtId="0" fontId="94" fillId="33" borderId="68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vertical="top" wrapText="1"/>
    </xf>
    <xf numFmtId="0" fontId="117" fillId="33" borderId="39" xfId="0" applyFont="1" applyFill="1" applyBorder="1" applyAlignment="1">
      <alignment vertical="top" wrapText="1"/>
    </xf>
    <xf numFmtId="0" fontId="121" fillId="33" borderId="69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21" fillId="33" borderId="7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122" fillId="33" borderId="71" xfId="0" applyFont="1" applyFill="1" applyBorder="1" applyAlignment="1">
      <alignment horizontal="center" vertical="top" wrapText="1"/>
    </xf>
    <xf numFmtId="0" fontId="122" fillId="33" borderId="72" xfId="0" applyFont="1" applyFill="1" applyBorder="1" applyAlignment="1">
      <alignment horizontal="center" vertical="top" wrapText="1"/>
    </xf>
    <xf numFmtId="0" fontId="117" fillId="33" borderId="0" xfId="0" applyFont="1" applyFill="1" applyAlignment="1">
      <alignment vertical="top" wrapText="1"/>
    </xf>
    <xf numFmtId="0" fontId="117" fillId="33" borderId="37" xfId="0" applyFont="1" applyFill="1" applyBorder="1" applyAlignment="1">
      <alignment vertical="top" wrapText="1"/>
    </xf>
    <xf numFmtId="0" fontId="117" fillId="33" borderId="42" xfId="0" applyFont="1" applyFill="1" applyBorder="1" applyAlignment="1">
      <alignment horizontal="center"/>
    </xf>
    <xf numFmtId="0" fontId="117" fillId="33" borderId="43" xfId="0" applyFont="1" applyFill="1" applyBorder="1" applyAlignment="1">
      <alignment vertical="top" wrapText="1"/>
    </xf>
    <xf numFmtId="0" fontId="117" fillId="33" borderId="44" xfId="0" applyFont="1" applyFill="1" applyBorder="1" applyAlignment="1">
      <alignment vertical="top" wrapText="1"/>
    </xf>
    <xf numFmtId="0" fontId="117" fillId="33" borderId="45" xfId="0" applyFont="1" applyFill="1" applyBorder="1" applyAlignment="1">
      <alignment vertical="top" wrapText="1"/>
    </xf>
    <xf numFmtId="0" fontId="122" fillId="33" borderId="28" xfId="0" applyFont="1" applyFill="1" applyBorder="1" applyAlignment="1">
      <alignment horizontal="center"/>
    </xf>
    <xf numFmtId="0" fontId="122" fillId="33" borderId="0" xfId="0" applyFont="1" applyFill="1" applyAlignment="1">
      <alignment horizontal="center"/>
    </xf>
    <xf numFmtId="0" fontId="117" fillId="33" borderId="39" xfId="0" applyFont="1" applyFill="1" applyBorder="1" applyAlignment="1">
      <alignment horizontal="center"/>
    </xf>
    <xf numFmtId="20" fontId="117" fillId="33" borderId="39" xfId="0" applyNumberFormat="1" applyFont="1" applyFill="1" applyBorder="1" applyAlignment="1">
      <alignment horizontal="center"/>
    </xf>
    <xf numFmtId="0" fontId="117" fillId="33" borderId="42" xfId="0" applyFont="1" applyFill="1" applyBorder="1" applyAlignment="1">
      <alignment horizontal="center" vertical="center" wrapText="1"/>
    </xf>
    <xf numFmtId="0" fontId="122" fillId="33" borderId="34" xfId="0" applyFont="1" applyFill="1" applyBorder="1" applyAlignment="1">
      <alignment horizontal="center"/>
    </xf>
    <xf numFmtId="0" fontId="12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46" xfId="0" applyFont="1" applyFill="1" applyBorder="1" applyAlignment="1">
      <alignment horizontal="center"/>
    </xf>
    <xf numFmtId="0" fontId="149" fillId="0" borderId="7" xfId="2673" applyFont="1" applyBorder="1" applyAlignment="1">
      <alignment horizontal="center" vertical="center" wrapText="1"/>
    </xf>
    <xf numFmtId="0" fontId="99" fillId="0" borderId="0" xfId="2673" applyFont="1" applyAlignment="1">
      <alignment horizontal="left" vertical="center" wrapText="1"/>
    </xf>
    <xf numFmtId="0" fontId="55" fillId="0" borderId="21" xfId="1450" applyFont="1" applyBorder="1" applyAlignment="1">
      <alignment horizontal="center" wrapText="1"/>
    </xf>
    <xf numFmtId="0" fontId="46" fillId="0" borderId="21" xfId="1450" applyFont="1" applyBorder="1" applyAlignment="1">
      <alignment horizontal="center" vertical="center" wrapText="1"/>
    </xf>
    <xf numFmtId="3" fontId="46" fillId="0" borderId="21" xfId="1451" applyNumberFormat="1" applyFont="1" applyBorder="1" applyAlignment="1">
      <alignment horizontal="center" vertical="center" wrapText="1"/>
    </xf>
    <xf numFmtId="41" fontId="46" fillId="0" borderId="21" xfId="1450" applyNumberFormat="1" applyFont="1" applyBorder="1" applyAlignment="1">
      <alignment horizontal="center" vertical="center" wrapText="1"/>
    </xf>
    <xf numFmtId="3" fontId="46" fillId="0" borderId="0" xfId="1451" applyNumberFormat="1" applyFont="1" applyAlignment="1">
      <alignment horizontal="center" vertical="center" wrapText="1"/>
    </xf>
    <xf numFmtId="0" fontId="23" fillId="0" borderId="0" xfId="1649"/>
    <xf numFmtId="3" fontId="138" fillId="0" borderId="21" xfId="1451" applyNumberFormat="1" applyFont="1" applyBorder="1" applyAlignment="1">
      <alignment horizontal="center" vertical="center" wrapText="1"/>
    </xf>
    <xf numFmtId="3" fontId="12" fillId="0" borderId="21" xfId="1615" applyNumberFormat="1" applyFont="1" applyBorder="1" applyAlignment="1">
      <alignment horizontal="center" vertical="center"/>
    </xf>
    <xf numFmtId="0" fontId="11" fillId="0" borderId="0" xfId="2670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left" vertical="center"/>
    </xf>
    <xf numFmtId="0" fontId="147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right" vertical="center"/>
    </xf>
    <xf numFmtId="9" fontId="148" fillId="36" borderId="0" xfId="2671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43" fontId="148" fillId="36" borderId="0" xfId="2672" applyFont="1" applyFill="1" applyBorder="1" applyAlignment="1" applyProtection="1">
      <alignment horizontal="right" vertical="center"/>
    </xf>
    <xf numFmtId="10" fontId="148" fillId="36" borderId="0" xfId="2671" applyNumberFormat="1" applyFont="1" applyFill="1" applyBorder="1" applyAlignment="1" applyProtection="1">
      <alignment horizontal="right" vertical="center"/>
    </xf>
    <xf numFmtId="168" fontId="147" fillId="36" borderId="0" xfId="2672" applyNumberFormat="1" applyFont="1" applyFill="1" applyBorder="1" applyAlignment="1" applyProtection="1">
      <alignment horizontal="right" vertical="center"/>
    </xf>
    <xf numFmtId="0" fontId="141" fillId="0" borderId="0" xfId="2670" applyFont="1" applyAlignment="1">
      <alignment horizontal="left" vertical="center"/>
    </xf>
    <xf numFmtId="0" fontId="14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4" fillId="0" borderId="0" xfId="1538"/>
    <xf numFmtId="43" fontId="114" fillId="0" borderId="0" xfId="1538" applyNumberFormat="1"/>
    <xf numFmtId="0" fontId="63" fillId="0" borderId="0" xfId="1538" applyFont="1"/>
    <xf numFmtId="0" fontId="130" fillId="0" borderId="0" xfId="1538" applyFont="1"/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vertical="center"/>
    </xf>
    <xf numFmtId="0" fontId="114" fillId="38" borderId="0" xfId="1538" applyFill="1"/>
    <xf numFmtId="0" fontId="63" fillId="38" borderId="0" xfId="1538" applyFont="1" applyFill="1"/>
    <xf numFmtId="0" fontId="105" fillId="0" borderId="0" xfId="1538" applyFont="1" applyAlignment="1">
      <alignment horizontal="center" vertical="center" wrapText="1"/>
    </xf>
    <xf numFmtId="0" fontId="114" fillId="38" borderId="3" xfId="1538" applyFill="1" applyBorder="1" applyAlignment="1">
      <alignment horizontal="center" vertical="center"/>
    </xf>
    <xf numFmtId="0" fontId="114" fillId="0" borderId="0" xfId="1538" applyAlignment="1">
      <alignment horizontal="center" vertical="center"/>
    </xf>
    <xf numFmtId="1" fontId="114" fillId="0" borderId="0" xfId="1538" applyNumberFormat="1"/>
    <xf numFmtId="0" fontId="114" fillId="0" borderId="3" xfId="1538" applyBorder="1"/>
    <xf numFmtId="43" fontId="0" fillId="0" borderId="3" xfId="1026" applyFont="1" applyFill="1" applyBorder="1" applyProtection="1"/>
    <xf numFmtId="43" fontId="114" fillId="0" borderId="3" xfId="1538" applyNumberFormat="1" applyBorder="1"/>
    <xf numFmtId="43" fontId="142" fillId="0" borderId="3" xfId="1026" applyFont="1" applyBorder="1" applyProtection="1"/>
    <xf numFmtId="43" fontId="0" fillId="0" borderId="3" xfId="1026" applyFont="1" applyBorder="1" applyProtection="1"/>
    <xf numFmtId="43" fontId="130" fillId="0" borderId="3" xfId="1538" applyNumberFormat="1" applyFont="1" applyBorder="1"/>
    <xf numFmtId="0" fontId="63" fillId="0" borderId="3" xfId="1538" applyFont="1" applyBorder="1"/>
    <xf numFmtId="41" fontId="114" fillId="0" borderId="3" xfId="1538" applyNumberFormat="1" applyBorder="1"/>
    <xf numFmtId="43" fontId="106" fillId="0" borderId="3" xfId="1026" applyFont="1" applyFill="1" applyBorder="1" applyProtection="1"/>
    <xf numFmtId="0" fontId="51" fillId="0" borderId="0" xfId="1538" applyFont="1"/>
    <xf numFmtId="0" fontId="51" fillId="0" borderId="3" xfId="1538" applyFont="1" applyBorder="1" applyAlignment="1">
      <alignment horizontal="center"/>
    </xf>
    <xf numFmtId="43" fontId="51" fillId="0" borderId="3" xfId="1538" applyNumberFormat="1" applyFont="1" applyBorder="1"/>
    <xf numFmtId="0" fontId="114" fillId="29" borderId="0" xfId="1538" applyFill="1"/>
    <xf numFmtId="0" fontId="51" fillId="0" borderId="0" xfId="1538" applyFont="1" applyAlignment="1">
      <alignment horizontal="center"/>
    </xf>
    <xf numFmtId="43" fontId="51" fillId="0" borderId="0" xfId="1538" applyNumberFormat="1" applyFont="1"/>
    <xf numFmtId="0" fontId="114" fillId="29" borderId="3" xfId="1538" applyFill="1" applyBorder="1"/>
    <xf numFmtId="168" fontId="114" fillId="29" borderId="3" xfId="1538" applyNumberFormat="1" applyFill="1" applyBorder="1" applyAlignment="1">
      <alignment horizontal="right"/>
    </xf>
    <xf numFmtId="166" fontId="114" fillId="0" borderId="0" xfId="1538" applyNumberFormat="1"/>
    <xf numFmtId="43" fontId="114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4" fillId="29" borderId="3" xfId="1538" applyNumberFormat="1" applyFill="1" applyBorder="1"/>
    <xf numFmtId="10" fontId="114" fillId="29" borderId="3" xfId="1538" applyNumberFormat="1" applyFill="1" applyBorder="1"/>
    <xf numFmtId="0" fontId="151" fillId="0" borderId="0" xfId="1614" applyFont="1" applyAlignment="1">
      <alignment horizontal="center"/>
    </xf>
    <xf numFmtId="0" fontId="152" fillId="0" borderId="0" xfId="1614" applyFont="1" applyAlignment="1">
      <alignment horizontal="center" vertical="center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3" fontId="151" fillId="0" borderId="0" xfId="1614" applyNumberFormat="1" applyFont="1" applyAlignment="1">
      <alignment horizontal="center"/>
    </xf>
    <xf numFmtId="0" fontId="156" fillId="0" borderId="0" xfId="1614" applyFont="1"/>
    <xf numFmtId="43" fontId="156" fillId="0" borderId="0" xfId="1652" applyNumberFormat="1" applyFont="1"/>
    <xf numFmtId="0" fontId="156" fillId="0" borderId="0" xfId="1614" applyFont="1" applyAlignment="1">
      <alignment horizontal="left" vertical="center"/>
    </xf>
    <xf numFmtId="0" fontId="156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left" vertical="center"/>
    </xf>
    <xf numFmtId="0" fontId="156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0" fontId="156" fillId="0" borderId="0" xfId="1614" applyFont="1" applyAlignment="1">
      <alignment horizontal="center" vertical="center" wrapText="1"/>
    </xf>
    <xf numFmtId="0" fontId="153" fillId="0" borderId="0" xfId="1614" applyFont="1" applyAlignment="1">
      <alignment horizontal="center" vertical="center" wrapText="1"/>
    </xf>
    <xf numFmtId="3" fontId="152" fillId="0" borderId="0" xfId="1614" applyNumberFormat="1" applyFont="1" applyAlignment="1">
      <alignment vertical="center"/>
    </xf>
    <xf numFmtId="0" fontId="153" fillId="0" borderId="20" xfId="1615" applyFont="1" applyBorder="1" applyAlignment="1">
      <alignment horizontal="center" vertical="center"/>
    </xf>
    <xf numFmtId="0" fontId="153" fillId="0" borderId="21" xfId="1615" applyFont="1" applyBorder="1" applyAlignment="1">
      <alignment horizontal="left" vertical="center" wrapText="1"/>
    </xf>
    <xf numFmtId="0" fontId="152" fillId="0" borderId="21" xfId="1614" applyFont="1" applyBorder="1" applyAlignment="1">
      <alignment horizontal="center" vertical="center" wrapText="1"/>
    </xf>
    <xf numFmtId="0" fontId="159" fillId="0" borderId="21" xfId="1614" applyFont="1" applyBorder="1" applyAlignment="1">
      <alignment horizontal="center" vertical="center"/>
    </xf>
    <xf numFmtId="3" fontId="159" fillId="0" borderId="21" xfId="1614" applyNumberFormat="1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52" fillId="0" borderId="22" xfId="1614" applyNumberFormat="1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/>
    </xf>
    <xf numFmtId="3" fontId="151" fillId="0" borderId="0" xfId="1614" applyNumberFormat="1" applyFont="1" applyAlignment="1">
      <alignment horizontal="center" vertical="center"/>
    </xf>
    <xf numFmtId="0" fontId="159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451" applyFont="1" applyBorder="1" applyAlignment="1">
      <alignment horizontal="left" vertical="center" wrapText="1"/>
    </xf>
    <xf numFmtId="0" fontId="154" fillId="0" borderId="21" xfId="1653" applyFont="1" applyBorder="1" applyAlignment="1">
      <alignment horizontal="center" vertical="center"/>
    </xf>
    <xf numFmtId="3" fontId="155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4" fillId="0" borderId="20" xfId="1653" applyFont="1" applyBorder="1" applyAlignment="1">
      <alignment horizontal="center" vertical="center"/>
    </xf>
    <xf numFmtId="0" fontId="154" fillId="0" borderId="21" xfId="1653" applyFont="1" applyBorder="1" applyAlignment="1">
      <alignment vertical="center" wrapText="1"/>
    </xf>
    <xf numFmtId="0" fontId="154" fillId="0" borderId="21" xfId="1652" applyFont="1" applyBorder="1" applyAlignment="1">
      <alignment vertical="center" wrapText="1"/>
    </xf>
    <xf numFmtId="0" fontId="152" fillId="0" borderId="20" xfId="1652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59" fillId="0" borderId="21" xfId="1652" applyFont="1" applyBorder="1" applyAlignment="1">
      <alignment horizontal="center" vertical="center"/>
    </xf>
    <xf numFmtId="0" fontId="159" fillId="0" borderId="49" xfId="1652" applyFont="1" applyBorder="1" applyAlignment="1">
      <alignment horizontal="center" vertical="center"/>
    </xf>
    <xf numFmtId="0" fontId="159" fillId="0" borderId="3" xfId="1652" applyFont="1" applyBorder="1" applyAlignment="1">
      <alignment vertical="center" wrapText="1"/>
    </xf>
    <xf numFmtId="0" fontId="152" fillId="0" borderId="3" xfId="1614" applyFont="1" applyBorder="1" applyAlignment="1">
      <alignment horizontal="center" vertical="center" wrapText="1"/>
    </xf>
    <xf numFmtId="0" fontId="159" fillId="0" borderId="3" xfId="1614" applyFont="1" applyBorder="1" applyAlignment="1">
      <alignment horizontal="center" vertical="center"/>
    </xf>
    <xf numFmtId="0" fontId="159" fillId="0" borderId="3" xfId="1652" applyFont="1" applyBorder="1" applyAlignment="1">
      <alignment horizontal="center" vertical="center"/>
    </xf>
    <xf numFmtId="206" fontId="159" fillId="0" borderId="3" xfId="1614" applyNumberFormat="1" applyFont="1" applyBorder="1" applyAlignment="1">
      <alignment horizontal="center" vertical="center"/>
    </xf>
    <xf numFmtId="3" fontId="152" fillId="0" borderId="3" xfId="1614" applyNumberFormat="1" applyFont="1" applyBorder="1" applyAlignment="1">
      <alignment horizontal="center" vertical="center"/>
    </xf>
    <xf numFmtId="3" fontId="152" fillId="0" borderId="39" xfId="1614" applyNumberFormat="1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152" fillId="0" borderId="23" xfId="1614" applyFont="1" applyBorder="1" applyAlignment="1">
      <alignment horizontal="center" vertical="center"/>
    </xf>
    <xf numFmtId="0" fontId="152" fillId="0" borderId="24" xfId="1614" applyFont="1" applyBorder="1" applyAlignment="1">
      <alignment horizontal="left" vertical="center"/>
    </xf>
    <xf numFmtId="0" fontId="152" fillId="0" borderId="24" xfId="1614" applyFont="1" applyBorder="1" applyAlignment="1">
      <alignment vertical="center"/>
    </xf>
    <xf numFmtId="0" fontId="159" fillId="0" borderId="24" xfId="1614" applyFont="1" applyBorder="1" applyAlignment="1">
      <alignment horizontal="center" vertical="center"/>
    </xf>
    <xf numFmtId="3" fontId="152" fillId="0" borderId="24" xfId="1614" applyNumberFormat="1" applyFont="1" applyBorder="1" applyAlignment="1">
      <alignment horizontal="center" vertical="center"/>
    </xf>
    <xf numFmtId="3" fontId="152" fillId="0" borderId="25" xfId="1614" applyNumberFormat="1" applyFont="1" applyBorder="1" applyAlignment="1">
      <alignment horizontal="center" vertical="center"/>
    </xf>
    <xf numFmtId="0" fontId="154" fillId="0" borderId="26" xfId="1614" applyFont="1" applyBorder="1" applyAlignment="1">
      <alignment horizontal="center" vertical="center"/>
    </xf>
    <xf numFmtId="37" fontId="156" fillId="0" borderId="27" xfId="1614" applyNumberFormat="1" applyFont="1" applyBorder="1" applyAlignment="1">
      <alignment horizontal="center"/>
    </xf>
    <xf numFmtId="37" fontId="154" fillId="0" borderId="27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0" fontId="154" fillId="0" borderId="28" xfId="1614" applyFont="1" applyBorder="1" applyAlignment="1">
      <alignment horizontal="center" vertical="center"/>
    </xf>
    <xf numFmtId="37" fontId="156" fillId="0" borderId="29" xfId="1614" applyNumberFormat="1" applyFont="1" applyBorder="1" applyAlignment="1">
      <alignment horizontal="center"/>
    </xf>
    <xf numFmtId="37" fontId="154" fillId="0" borderId="29" xfId="1614" applyNumberFormat="1" applyFont="1" applyBorder="1" applyAlignment="1">
      <alignment horizontal="center"/>
    </xf>
    <xf numFmtId="37" fontId="160" fillId="0" borderId="30" xfId="1614" applyNumberFormat="1" applyFont="1" applyBorder="1" applyAlignment="1">
      <alignment horizontal="center"/>
    </xf>
    <xf numFmtId="37" fontId="160" fillId="0" borderId="32" xfId="1614" applyNumberFormat="1" applyFont="1" applyBorder="1" applyAlignment="1">
      <alignment horizontal="center"/>
    </xf>
    <xf numFmtId="0" fontId="160" fillId="0" borderId="34" xfId="1614" applyFont="1" applyBorder="1" applyAlignment="1">
      <alignment vertical="center"/>
    </xf>
    <xf numFmtId="0" fontId="154" fillId="0" borderId="19" xfId="1614" applyFont="1" applyBorder="1"/>
    <xf numFmtId="0" fontId="154" fillId="0" borderId="19" xfId="1614" applyFont="1" applyBorder="1" applyAlignment="1">
      <alignment horizontal="center"/>
    </xf>
    <xf numFmtId="0" fontId="154" fillId="0" borderId="19" xfId="1614" applyFont="1" applyBorder="1" applyAlignment="1">
      <alignment horizontal="right"/>
    </xf>
    <xf numFmtId="0" fontId="154" fillId="0" borderId="31" xfId="1614" applyFont="1" applyBorder="1" applyAlignment="1">
      <alignment horizontal="right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9" fillId="0" borderId="0" xfId="1614" applyFont="1" applyAlignment="1">
      <alignment horizontal="center" vertical="center"/>
    </xf>
    <xf numFmtId="41" fontId="159" fillId="0" borderId="0" xfId="1652" applyNumberFormat="1" applyFont="1" applyAlignment="1">
      <alignment vertical="center"/>
    </xf>
    <xf numFmtId="0" fontId="154" fillId="0" borderId="0" xfId="1652" applyFont="1" applyAlignment="1">
      <alignment horizontal="right"/>
    </xf>
    <xf numFmtId="0" fontId="161" fillId="0" borderId="0" xfId="1644" applyFont="1" applyAlignment="1">
      <alignment horizontal="center" vertical="center"/>
    </xf>
    <xf numFmtId="0" fontId="159" fillId="0" borderId="0" xfId="1652" applyFont="1" applyAlignment="1">
      <alignment vertical="center"/>
    </xf>
    <xf numFmtId="0" fontId="162" fillId="39" borderId="83" xfId="2670" applyFont="1" applyFill="1" applyBorder="1" applyAlignment="1">
      <alignment horizontal="left" vertical="center"/>
    </xf>
    <xf numFmtId="0" fontId="162" fillId="39" borderId="84" xfId="2670" applyFont="1" applyFill="1" applyBorder="1" applyAlignment="1">
      <alignment horizontal="center" vertical="center"/>
    </xf>
    <xf numFmtId="0" fontId="162" fillId="39" borderId="86" xfId="2670" applyFont="1" applyFill="1" applyBorder="1" applyAlignment="1">
      <alignment horizontal="left" vertical="center"/>
    </xf>
    <xf numFmtId="0" fontId="162" fillId="39" borderId="82" xfId="2670" applyFont="1" applyFill="1" applyBorder="1" applyAlignment="1">
      <alignment horizontal="center" vertical="center"/>
    </xf>
    <xf numFmtId="0" fontId="162" fillId="39" borderId="88" xfId="2670" applyFont="1" applyFill="1" applyBorder="1" applyAlignment="1">
      <alignment horizontal="left" vertical="center"/>
    </xf>
    <xf numFmtId="0" fontId="162" fillId="39" borderId="89" xfId="2670" applyFont="1" applyFill="1" applyBorder="1" applyAlignment="1">
      <alignment horizontal="center" vertical="center"/>
    </xf>
    <xf numFmtId="43" fontId="143" fillId="40" borderId="85" xfId="2672" applyFont="1" applyFill="1" applyBorder="1" applyAlignment="1" applyProtection="1">
      <alignment horizontal="right" vertical="center" wrapText="1"/>
      <protection locked="0"/>
    </xf>
    <xf numFmtId="43" fontId="143" fillId="40" borderId="87" xfId="2672" applyFont="1" applyFill="1" applyBorder="1" applyAlignment="1" applyProtection="1">
      <alignment horizontal="right" vertical="center"/>
      <protection locked="0"/>
    </xf>
    <xf numFmtId="168" fontId="143" fillId="40" borderId="87" xfId="2672" applyNumberFormat="1" applyFont="1" applyFill="1" applyBorder="1" applyAlignment="1" applyProtection="1">
      <alignment horizontal="right" vertical="center"/>
      <protection locked="0"/>
    </xf>
    <xf numFmtId="168" fontId="143" fillId="40" borderId="90" xfId="2672" applyNumberFormat="1" applyFont="1" applyFill="1" applyBorder="1" applyAlignment="1" applyProtection="1">
      <alignment horizontal="right" vertical="center"/>
      <protection locked="0"/>
    </xf>
    <xf numFmtId="0" fontId="123" fillId="0" borderId="0" xfId="1451" applyFont="1"/>
    <xf numFmtId="0" fontId="124" fillId="0" borderId="0" xfId="1451" applyFont="1" applyAlignment="1">
      <alignment vertical="center"/>
    </xf>
    <xf numFmtId="0" fontId="150" fillId="0" borderId="0" xfId="1451" applyFont="1"/>
    <xf numFmtId="0" fontId="125" fillId="0" borderId="0" xfId="1451" applyFont="1" applyAlignment="1">
      <alignment vertical="center"/>
    </xf>
    <xf numFmtId="0" fontId="126" fillId="0" borderId="0" xfId="1451" applyFont="1" applyAlignment="1">
      <alignment horizontal="center" vertical="center"/>
    </xf>
    <xf numFmtId="0" fontId="127" fillId="0" borderId="0" xfId="1451" applyFont="1"/>
    <xf numFmtId="0" fontId="128" fillId="0" borderId="0" xfId="1451" applyFont="1"/>
    <xf numFmtId="0" fontId="118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23" fillId="0" borderId="0" xfId="1451" applyFont="1" applyAlignment="1">
      <alignment horizontal="center" vertical="center"/>
    </xf>
    <xf numFmtId="0" fontId="123" fillId="0" borderId="0" xfId="1451" applyFont="1" applyAlignment="1">
      <alignment horizontal="center"/>
    </xf>
    <xf numFmtId="0" fontId="125" fillId="35" borderId="0" xfId="1451" applyFont="1" applyFill="1" applyAlignment="1">
      <alignment vertical="center"/>
    </xf>
    <xf numFmtId="0" fontId="128" fillId="0" borderId="19" xfId="1451" applyFont="1" applyBorder="1" applyAlignment="1">
      <alignment horizontal="center"/>
    </xf>
    <xf numFmtId="0" fontId="128" fillId="0" borderId="19" xfId="1451" applyFont="1" applyBorder="1"/>
    <xf numFmtId="1" fontId="109" fillId="0" borderId="0" xfId="2673" applyNumberFormat="1" applyFont="1" applyAlignment="1">
      <alignment horizontal="center" vertical="center" wrapText="1"/>
    </xf>
    <xf numFmtId="1" fontId="107" fillId="0" borderId="0" xfId="2673" applyNumberFormat="1" applyFont="1" applyAlignment="1">
      <alignment horizontal="center" vertical="center" wrapText="1"/>
    </xf>
    <xf numFmtId="0" fontId="108" fillId="0" borderId="62" xfId="2673" applyFont="1" applyBorder="1" applyAlignment="1">
      <alignment horizontal="center" vertical="center" wrapText="1"/>
    </xf>
    <xf numFmtId="0" fontId="166" fillId="0" borderId="0" xfId="2673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68" fillId="0" borderId="0" xfId="2673" applyFont="1" applyAlignment="1">
      <alignment vertical="center" wrapText="1"/>
    </xf>
    <xf numFmtId="0" fontId="149" fillId="35" borderId="94" xfId="2673" applyFont="1" applyFill="1" applyBorder="1" applyAlignment="1">
      <alignment vertical="center" wrapText="1"/>
    </xf>
    <xf numFmtId="0" fontId="149" fillId="43" borderId="94" xfId="2673" applyFont="1" applyFill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7" fillId="35" borderId="32" xfId="2673" applyFont="1" applyFill="1" applyBorder="1" applyAlignment="1">
      <alignment vertical="center" wrapText="1"/>
    </xf>
    <xf numFmtId="0" fontId="137" fillId="43" borderId="32" xfId="2673" applyFont="1" applyFill="1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2" fontId="137" fillId="0" borderId="0" xfId="2673" applyNumberFormat="1" applyFont="1" applyAlignment="1">
      <alignment horizontal="center" vertical="center" wrapText="1"/>
    </xf>
    <xf numFmtId="0" fontId="108" fillId="0" borderId="3" xfId="2673" applyFont="1" applyBorder="1" applyAlignment="1">
      <alignment horizontal="center" vertical="center" wrapText="1"/>
    </xf>
    <xf numFmtId="0" fontId="14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0" fillId="0" borderId="0" xfId="2673" applyNumberFormat="1" applyAlignment="1">
      <alignment vertical="center" wrapText="1"/>
    </xf>
    <xf numFmtId="1" fontId="10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7" fillId="0" borderId="0" xfId="2675" applyFont="1" applyFill="1" applyBorder="1" applyAlignment="1">
      <alignment horizontal="center" vertical="center" wrapText="1"/>
    </xf>
    <xf numFmtId="1" fontId="137" fillId="0" borderId="50" xfId="2673" applyNumberFormat="1" applyFont="1" applyBorder="1" applyAlignment="1">
      <alignment vertical="center" wrapText="1"/>
    </xf>
    <xf numFmtId="0" fontId="173" fillId="0" borderId="0" xfId="2673" applyFont="1" applyAlignment="1">
      <alignment vertical="center" wrapText="1"/>
    </xf>
    <xf numFmtId="0" fontId="173" fillId="0" borderId="0" xfId="2673" applyFont="1" applyAlignment="1">
      <alignment horizontal="center" vertical="center" wrapText="1"/>
    </xf>
    <xf numFmtId="2" fontId="173" fillId="0" borderId="0" xfId="2673" applyNumberFormat="1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74" fillId="0" borderId="0" xfId="2673" applyFont="1" applyAlignment="1">
      <alignment vertical="center" wrapText="1"/>
    </xf>
    <xf numFmtId="0" fontId="149" fillId="35" borderId="51" xfId="2673" applyFont="1" applyFill="1" applyBorder="1" applyAlignment="1">
      <alignment vertical="center" wrapText="1"/>
    </xf>
    <xf numFmtId="0" fontId="149" fillId="0" borderId="53" xfId="2673" applyFont="1" applyBorder="1" applyAlignment="1">
      <alignment horizontal="center" vertical="center" wrapText="1"/>
    </xf>
    <xf numFmtId="0" fontId="149" fillId="35" borderId="49" xfId="2673" applyFont="1" applyFill="1" applyBorder="1" applyAlignment="1">
      <alignment vertical="center" wrapText="1"/>
    </xf>
    <xf numFmtId="1" fontId="137" fillId="0" borderId="58" xfId="2673" applyNumberFormat="1" applyFont="1" applyBorder="1" applyAlignment="1">
      <alignment vertical="center" wrapText="1"/>
    </xf>
    <xf numFmtId="0" fontId="137" fillId="35" borderId="49" xfId="2673" applyFont="1" applyFill="1" applyBorder="1" applyAlignment="1">
      <alignment vertical="center" wrapText="1"/>
    </xf>
    <xf numFmtId="0" fontId="137" fillId="35" borderId="98" xfId="2673" applyFont="1" applyFill="1" applyBorder="1" applyAlignment="1">
      <alignment vertical="center" wrapText="1"/>
    </xf>
    <xf numFmtId="0" fontId="108" fillId="0" borderId="64" xfId="2673" applyFont="1" applyBorder="1" applyAlignment="1">
      <alignment horizontal="center" vertical="center" wrapText="1"/>
    </xf>
    <xf numFmtId="0" fontId="149" fillId="0" borderId="51" xfId="2673" applyFont="1" applyBorder="1" applyAlignment="1">
      <alignment vertical="center" wrapText="1"/>
    </xf>
    <xf numFmtId="0" fontId="149" fillId="0" borderId="49" xfId="2673" applyFont="1" applyBorder="1" applyAlignment="1">
      <alignment vertical="center" wrapText="1"/>
    </xf>
    <xf numFmtId="0" fontId="137" fillId="0" borderId="49" xfId="2673" applyFont="1" applyBorder="1" applyAlignment="1">
      <alignment vertical="center" wrapText="1"/>
    </xf>
    <xf numFmtId="0" fontId="137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4" fillId="33" borderId="60" xfId="0" applyFont="1" applyFill="1" applyBorder="1" applyAlignment="1">
      <alignment horizontal="left" vertical="center"/>
    </xf>
    <xf numFmtId="0" fontId="94" fillId="33" borderId="61" xfId="0" applyFont="1" applyFill="1" applyBorder="1" applyAlignment="1">
      <alignment horizontal="left" vertical="center"/>
    </xf>
    <xf numFmtId="49" fontId="94" fillId="33" borderId="60" xfId="0" applyNumberFormat="1" applyFont="1" applyFill="1" applyBorder="1" applyAlignment="1">
      <alignment horizontal="left" vertical="center" wrapText="1"/>
    </xf>
    <xf numFmtId="49" fontId="94" fillId="33" borderId="61" xfId="0" applyNumberFormat="1" applyFont="1" applyFill="1" applyBorder="1" applyAlignment="1">
      <alignment horizontal="left" vertical="center"/>
    </xf>
    <xf numFmtId="165" fontId="155" fillId="0" borderId="0" xfId="2676" applyFont="1" applyAlignment="1">
      <alignment horizontal="center" vertical="center"/>
    </xf>
    <xf numFmtId="0" fontId="9" fillId="0" borderId="0" xfId="2670" applyFont="1" applyAlignment="1">
      <alignment horizontal="center" vertical="center"/>
    </xf>
    <xf numFmtId="0" fontId="130" fillId="0" borderId="0" xfId="2670" applyFont="1" applyAlignment="1">
      <alignment horizontal="left" vertical="center"/>
    </xf>
    <xf numFmtId="0" fontId="9" fillId="0" borderId="21" xfId="1653" applyFont="1" applyBorder="1" applyAlignment="1">
      <alignment horizontal="left" vertical="center" wrapText="1"/>
    </xf>
    <xf numFmtId="206" fontId="46" fillId="0" borderId="21" xfId="2549" applyNumberFormat="1" applyFont="1" applyBorder="1" applyAlignment="1">
      <alignment horizontal="center" vertical="center" wrapText="1"/>
    </xf>
    <xf numFmtId="0" fontId="46" fillId="0" borderId="21" xfId="2677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168" fontId="147" fillId="47" borderId="0" xfId="2672" applyNumberFormat="1" applyFont="1" applyFill="1" applyBorder="1" applyAlignment="1" applyProtection="1">
      <alignment horizontal="right" vertical="center"/>
    </xf>
    <xf numFmtId="0" fontId="177" fillId="0" borderId="69" xfId="1450" applyFont="1" applyBorder="1" applyAlignment="1">
      <alignment horizontal="center" vertical="center"/>
    </xf>
    <xf numFmtId="0" fontId="177" fillId="0" borderId="99" xfId="1450" applyFont="1" applyBorder="1" applyAlignment="1">
      <alignment horizontal="center" vertical="center"/>
    </xf>
    <xf numFmtId="0" fontId="8" fillId="0" borderId="20" xfId="1652" applyFont="1" applyBorder="1" applyAlignment="1">
      <alignment horizontal="center" vertical="center"/>
    </xf>
    <xf numFmtId="0" fontId="130" fillId="0" borderId="20" xfId="1652" applyFont="1" applyBorder="1" applyAlignment="1">
      <alignment horizontal="center" vertical="center"/>
    </xf>
    <xf numFmtId="0" fontId="130" fillId="0" borderId="21" xfId="1652" applyFont="1" applyBorder="1" applyAlignment="1">
      <alignment horizontal="left" vertical="center" wrapText="1"/>
    </xf>
    <xf numFmtId="0" fontId="8" fillId="0" borderId="21" xfId="1652" applyFont="1" applyBorder="1" applyAlignment="1">
      <alignment horizontal="left" vertical="center" wrapText="1"/>
    </xf>
    <xf numFmtId="0" fontId="7" fillId="0" borderId="20" xfId="1652" applyFont="1" applyBorder="1" applyAlignment="1">
      <alignment horizontal="center" vertical="center"/>
    </xf>
    <xf numFmtId="0" fontId="7" fillId="0" borderId="21" xfId="1652" applyFont="1" applyBorder="1" applyAlignment="1">
      <alignment vertical="center" wrapText="1"/>
    </xf>
    <xf numFmtId="0" fontId="130" fillId="0" borderId="21" xfId="1652" applyFont="1" applyBorder="1" applyAlignment="1">
      <alignment vertical="center" wrapText="1"/>
    </xf>
    <xf numFmtId="0" fontId="12" fillId="0" borderId="21" xfId="1614" applyFont="1" applyBorder="1" applyAlignment="1">
      <alignment horizontal="center" vertical="center"/>
    </xf>
    <xf numFmtId="0" fontId="12" fillId="0" borderId="21" xfId="1614" applyFont="1" applyBorder="1" applyAlignment="1">
      <alignment horizontal="center" vertical="center" wrapText="1"/>
    </xf>
    <xf numFmtId="0" fontId="116" fillId="0" borderId="20" xfId="1652" applyFont="1" applyBorder="1" applyAlignment="1">
      <alignment horizontal="center" vertical="center"/>
    </xf>
    <xf numFmtId="0" fontId="116" fillId="0" borderId="21" xfId="1652" applyFont="1" applyBorder="1" applyAlignment="1">
      <alignment vertical="center"/>
    </xf>
    <xf numFmtId="0" fontId="46" fillId="0" borderId="21" xfId="1450" applyFont="1" applyBorder="1" applyAlignment="1">
      <alignment vertical="center" wrapText="1"/>
    </xf>
    <xf numFmtId="0" fontId="46" fillId="0" borderId="21" xfId="0" applyFont="1" applyBorder="1" applyAlignment="1">
      <alignment horizontal="left" vertical="center" wrapText="1"/>
    </xf>
    <xf numFmtId="3" fontId="12" fillId="0" borderId="21" xfId="1599" applyNumberFormat="1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center" vertical="center"/>
    </xf>
    <xf numFmtId="0" fontId="23" fillId="0" borderId="21" xfId="1451" applyBorder="1" applyAlignment="1">
      <alignment horizontal="center" wrapText="1"/>
    </xf>
    <xf numFmtId="0" fontId="23" fillId="0" borderId="21" xfId="1451" applyBorder="1" applyAlignment="1">
      <alignment horizontal="center" vertical="center" wrapText="1"/>
    </xf>
    <xf numFmtId="3" fontId="116" fillId="0" borderId="21" xfId="1451" applyNumberFormat="1" applyFont="1" applyBorder="1" applyAlignment="1">
      <alignment horizontal="center" vertical="center" wrapText="1"/>
    </xf>
    <xf numFmtId="0" fontId="130" fillId="48" borderId="21" xfId="1652" applyFont="1" applyFill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78" fillId="33" borderId="0" xfId="0" applyFont="1" applyFill="1" applyAlignment="1">
      <alignment horizontal="left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0" fontId="116" fillId="0" borderId="21" xfId="1652" applyFont="1" applyBorder="1" applyAlignment="1">
      <alignment vertical="center" wrapText="1"/>
    </xf>
    <xf numFmtId="0" fontId="2" fillId="0" borderId="21" xfId="1652" applyFont="1" applyBorder="1" applyAlignment="1">
      <alignment horizontal="center" vertical="center"/>
    </xf>
    <xf numFmtId="3" fontId="45" fillId="31" borderId="38" xfId="1615" applyNumberFormat="1" applyFont="1" applyFill="1" applyBorder="1" applyAlignment="1">
      <alignment horizontal="center" vertical="center"/>
    </xf>
    <xf numFmtId="3" fontId="45" fillId="31" borderId="66" xfId="1615" applyNumberFormat="1" applyFont="1" applyFill="1" applyBorder="1" applyAlignment="1">
      <alignment horizontal="center" vertical="center"/>
    </xf>
    <xf numFmtId="3" fontId="45" fillId="31" borderId="18" xfId="1615" applyNumberFormat="1" applyFont="1" applyFill="1" applyBorder="1" applyAlignment="1">
      <alignment horizontal="center" vertical="center"/>
    </xf>
    <xf numFmtId="3" fontId="45" fillId="31" borderId="42" xfId="1615" applyNumberFormat="1" applyFont="1" applyFill="1" applyBorder="1" applyAlignment="1">
      <alignment horizontal="center" vertical="center"/>
    </xf>
    <xf numFmtId="3" fontId="45" fillId="31" borderId="43" xfId="1615" applyNumberFormat="1" applyFont="1" applyFill="1" applyBorder="1" applyAlignment="1">
      <alignment horizontal="center" vertical="center"/>
    </xf>
    <xf numFmtId="3" fontId="45" fillId="31" borderId="67" xfId="1615" applyNumberFormat="1" applyFont="1" applyFill="1" applyBorder="1" applyAlignment="1">
      <alignment horizontal="center" vertical="center"/>
    </xf>
    <xf numFmtId="3" fontId="45" fillId="31" borderId="3" xfId="1615" applyNumberFormat="1" applyFont="1" applyFill="1" applyBorder="1" applyAlignment="1">
      <alignment horizontal="center" vertical="center"/>
    </xf>
    <xf numFmtId="0" fontId="98" fillId="0" borderId="0" xfId="1653" applyFont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4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 wrapText="1"/>
    </xf>
    <xf numFmtId="37" fontId="64" fillId="0" borderId="19" xfId="1614" applyNumberFormat="1" applyFont="1" applyBorder="1" applyAlignment="1">
      <alignment horizontal="center"/>
    </xf>
    <xf numFmtId="0" fontId="49" fillId="0" borderId="0" xfId="1652" applyFont="1" applyAlignment="1">
      <alignment horizontal="center" vertical="center"/>
    </xf>
    <xf numFmtId="0" fontId="113" fillId="0" borderId="0" xfId="1652" applyAlignment="1">
      <alignment horizontal="center" vertical="center"/>
    </xf>
    <xf numFmtId="0" fontId="64" fillId="0" borderId="26" xfId="1614" applyFont="1" applyBorder="1" applyAlignment="1">
      <alignment horizontal="left" vertical="center"/>
    </xf>
    <xf numFmtId="0" fontId="64" fillId="0" borderId="36" xfId="1614" applyFont="1" applyBorder="1" applyAlignment="1">
      <alignment horizontal="left" vertical="center"/>
    </xf>
    <xf numFmtId="0" fontId="64" fillId="0" borderId="48" xfId="1614" applyFont="1" applyBorder="1" applyAlignment="1">
      <alignment horizontal="left" vertical="center"/>
    </xf>
    <xf numFmtId="0" fontId="64" fillId="0" borderId="28" xfId="1614" applyFont="1" applyBorder="1" applyAlignment="1">
      <alignment horizontal="left" vertical="center"/>
    </xf>
    <xf numFmtId="0" fontId="64" fillId="0" borderId="0" xfId="1614" applyFont="1" applyAlignment="1">
      <alignment horizontal="left" vertical="center"/>
    </xf>
    <xf numFmtId="0" fontId="64" fillId="0" borderId="37" xfId="1614" applyFont="1" applyBorder="1" applyAlignment="1">
      <alignment horizontal="left" vertical="center"/>
    </xf>
    <xf numFmtId="0" fontId="54" fillId="0" borderId="0" xfId="1614" applyFont="1" applyAlignment="1">
      <alignment horizontal="left" vertical="top" wrapText="1"/>
    </xf>
    <xf numFmtId="37" fontId="113" fillId="0" borderId="36" xfId="1614" applyNumberFormat="1" applyBorder="1" applyAlignment="1">
      <alignment horizontal="center"/>
    </xf>
    <xf numFmtId="37" fontId="113" fillId="0" borderId="0" xfId="1614" applyNumberFormat="1" applyAlignment="1">
      <alignment horizontal="center"/>
    </xf>
    <xf numFmtId="0" fontId="54" fillId="0" borderId="3" xfId="1614" applyFont="1" applyBorder="1" applyAlignment="1">
      <alignment horizontal="center" vertical="center"/>
    </xf>
    <xf numFmtId="0" fontId="54" fillId="0" borderId="39" xfId="1614" applyFont="1" applyBorder="1" applyAlignment="1">
      <alignment horizontal="center" vertical="center"/>
    </xf>
    <xf numFmtId="0" fontId="54" fillId="0" borderId="35" xfId="1652" applyFont="1" applyBorder="1" applyAlignment="1">
      <alignment horizontal="center" vertical="center" wrapText="1"/>
    </xf>
    <xf numFmtId="0" fontId="54" fillId="0" borderId="33" xfId="1652" applyFont="1" applyBorder="1" applyAlignment="1">
      <alignment horizontal="center" vertical="center" wrapText="1"/>
    </xf>
    <xf numFmtId="0" fontId="98" fillId="0" borderId="0" xfId="1652" applyFont="1" applyAlignment="1">
      <alignment horizontal="center" vertical="center"/>
    </xf>
    <xf numFmtId="0" fontId="52" fillId="0" borderId="51" xfId="1614" applyFont="1" applyBorder="1" applyAlignment="1">
      <alignment horizontal="center" vertical="center"/>
    </xf>
    <xf numFmtId="0" fontId="52" fillId="0" borderId="49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/>
    </xf>
    <xf numFmtId="0" fontId="52" fillId="0" borderId="21" xfId="1614" applyFont="1" applyBorder="1" applyAlignment="1">
      <alignment horizontal="center" vertical="center"/>
    </xf>
    <xf numFmtId="0" fontId="52" fillId="0" borderId="33" xfId="1614" applyFont="1" applyBorder="1" applyAlignment="1">
      <alignment horizontal="center" vertical="center"/>
    </xf>
    <xf numFmtId="0" fontId="54" fillId="0" borderId="53" xfId="1614" applyFont="1" applyBorder="1" applyAlignment="1">
      <alignment horizontal="center" vertical="center"/>
    </xf>
    <xf numFmtId="0" fontId="52" fillId="0" borderId="52" xfId="1614" applyFont="1" applyBorder="1" applyAlignment="1">
      <alignment horizontal="center" vertical="center" wrapText="1"/>
    </xf>
    <xf numFmtId="0" fontId="52" fillId="0" borderId="21" xfId="1614" applyFont="1" applyBorder="1" applyAlignment="1">
      <alignment horizontal="center" vertical="center" wrapText="1"/>
    </xf>
    <xf numFmtId="0" fontId="52" fillId="0" borderId="33" xfId="1614" applyFont="1" applyBorder="1" applyAlignment="1">
      <alignment horizontal="center" vertical="center" wrapText="1"/>
    </xf>
    <xf numFmtId="0" fontId="54" fillId="0" borderId="54" xfId="1614" applyFont="1" applyBorder="1" applyAlignment="1">
      <alignment horizontal="center" vertical="center"/>
    </xf>
    <xf numFmtId="168" fontId="45" fillId="0" borderId="3" xfId="714" applyFont="1" applyFill="1" applyBorder="1" applyAlignment="1">
      <alignment horizontal="center" vertical="center" wrapText="1"/>
    </xf>
    <xf numFmtId="0" fontId="56" fillId="0" borderId="0" xfId="1448" applyFont="1" applyAlignment="1">
      <alignment horizontal="center" wrapText="1"/>
    </xf>
    <xf numFmtId="0" fontId="45" fillId="0" borderId="3" xfId="1448" applyFont="1" applyBorder="1" applyAlignment="1">
      <alignment horizontal="center" vertical="center" wrapText="1"/>
    </xf>
    <xf numFmtId="0" fontId="57" fillId="0" borderId="3" xfId="1448" applyFont="1" applyBorder="1" applyAlignment="1">
      <alignment horizontal="center" vertical="center" wrapText="1"/>
    </xf>
    <xf numFmtId="0" fontId="10" fillId="0" borderId="96" xfId="2673" applyBorder="1" applyAlignment="1">
      <alignment horizontal="center" vertical="center" wrapText="1"/>
    </xf>
    <xf numFmtId="0" fontId="10" fillId="0" borderId="6" xfId="2673" applyBorder="1" applyAlignment="1">
      <alignment horizontal="center" vertical="center" wrapText="1"/>
    </xf>
    <xf numFmtId="0" fontId="10" fillId="0" borderId="97" xfId="2673" applyBorder="1" applyAlignment="1">
      <alignment horizontal="center" vertical="center" wrapText="1"/>
    </xf>
    <xf numFmtId="9" fontId="173" fillId="0" borderId="0" xfId="2675" applyFont="1" applyFill="1" applyBorder="1" applyAlignment="1">
      <alignment horizontal="center" vertical="center" wrapText="1"/>
    </xf>
    <xf numFmtId="0" fontId="170" fillId="37" borderId="0" xfId="2673" applyFont="1" applyFill="1" applyAlignment="1">
      <alignment horizontal="left" vertical="center" wrapText="1"/>
    </xf>
    <xf numFmtId="166" fontId="149" fillId="35" borderId="7" xfId="2673" applyNumberFormat="1" applyFont="1" applyFill="1" applyBorder="1" applyAlignment="1">
      <alignment horizontal="center" vertical="center" wrapText="1"/>
    </xf>
    <xf numFmtId="0" fontId="149" fillId="35" borderId="58" xfId="2673" applyFont="1" applyFill="1" applyBorder="1" applyAlignment="1">
      <alignment horizontal="center" vertical="center" wrapText="1"/>
    </xf>
    <xf numFmtId="2" fontId="137" fillId="35" borderId="62" xfId="2673" applyNumberFormat="1" applyFont="1" applyFill="1" applyBorder="1" applyAlignment="1">
      <alignment horizontal="center" vertical="center" wrapText="1"/>
    </xf>
    <xf numFmtId="2" fontId="137" fillId="35" borderId="95" xfId="2673" applyNumberFormat="1" applyFont="1" applyFill="1" applyBorder="1" applyAlignment="1">
      <alignment horizontal="center" vertical="center" wrapText="1"/>
    </xf>
    <xf numFmtId="0" fontId="166" fillId="41" borderId="91" xfId="2673" applyFont="1" applyFill="1" applyBorder="1" applyAlignment="1">
      <alignment horizontal="center" vertical="center" wrapText="1"/>
    </xf>
    <xf numFmtId="0" fontId="166" fillId="41" borderId="92" xfId="2673" applyFont="1" applyFill="1" applyBorder="1" applyAlignment="1">
      <alignment horizontal="center" vertical="center" wrapText="1"/>
    </xf>
    <xf numFmtId="0" fontId="166" fillId="41" borderId="93" xfId="2673" applyFont="1" applyFill="1" applyBorder="1" applyAlignment="1">
      <alignment horizontal="center" vertical="center" wrapText="1"/>
    </xf>
    <xf numFmtId="0" fontId="137" fillId="35" borderId="7" xfId="2673" applyFont="1" applyFill="1" applyBorder="1" applyAlignment="1">
      <alignment horizontal="center" vertical="center" wrapText="1"/>
    </xf>
    <xf numFmtId="0" fontId="137" fillId="35" borderId="58" xfId="2673" applyFont="1" applyFill="1" applyBorder="1" applyAlignment="1">
      <alignment horizontal="center" vertical="center" wrapText="1"/>
    </xf>
    <xf numFmtId="1" fontId="149" fillId="35" borderId="7" xfId="2673" applyNumberFormat="1" applyFont="1" applyFill="1" applyBorder="1" applyAlignment="1">
      <alignment horizontal="center" vertical="center" wrapText="1"/>
    </xf>
    <xf numFmtId="1" fontId="149" fillId="35" borderId="58" xfId="2673" applyNumberFormat="1" applyFont="1" applyFill="1" applyBorder="1" applyAlignment="1">
      <alignment horizontal="center" vertical="center" wrapText="1"/>
    </xf>
    <xf numFmtId="166" fontId="149" fillId="0" borderId="53" xfId="2673" applyNumberFormat="1" applyFont="1" applyBorder="1" applyAlignment="1">
      <alignment horizontal="center" vertical="center" wrapText="1"/>
    </xf>
    <xf numFmtId="0" fontId="149" fillId="0" borderId="54" xfId="2673" applyFont="1" applyBorder="1" applyAlignment="1">
      <alignment horizontal="center" vertical="center" wrapText="1"/>
    </xf>
    <xf numFmtId="9" fontId="137" fillId="0" borderId="64" xfId="2675" applyFont="1" applyFill="1" applyBorder="1" applyAlignment="1">
      <alignment horizontal="center" vertical="center" wrapText="1"/>
    </xf>
    <xf numFmtId="9" fontId="137" fillId="0" borderId="65" xfId="2675" applyFont="1" applyFill="1" applyBorder="1" applyAlignment="1">
      <alignment horizontal="center" vertical="center" wrapText="1"/>
    </xf>
    <xf numFmtId="1" fontId="149" fillId="0" borderId="3" xfId="2673" applyNumberFormat="1" applyFont="1" applyBorder="1" applyAlignment="1">
      <alignment horizontal="center" vertical="center" wrapText="1"/>
    </xf>
    <xf numFmtId="1" fontId="149" fillId="0" borderId="39" xfId="2673" applyNumberFormat="1" applyFont="1" applyBorder="1" applyAlignment="1">
      <alignment horizontal="center" vertical="center" wrapText="1"/>
    </xf>
    <xf numFmtId="2" fontId="137" fillId="0" borderId="3" xfId="2673" applyNumberFormat="1" applyFont="1" applyBorder="1" applyAlignment="1">
      <alignment horizontal="center" vertical="center" wrapText="1"/>
    </xf>
    <xf numFmtId="2" fontId="137" fillId="0" borderId="39" xfId="2673" applyNumberFormat="1" applyFont="1" applyBorder="1" applyAlignment="1">
      <alignment horizontal="center" vertical="center" wrapText="1"/>
    </xf>
    <xf numFmtId="9" fontId="137" fillId="35" borderId="64" xfId="2675" applyFont="1" applyFill="1" applyBorder="1" applyAlignment="1">
      <alignment horizontal="center" vertical="center" wrapText="1"/>
    </xf>
    <xf numFmtId="9" fontId="137" fillId="35" borderId="65" xfId="2675" applyFont="1" applyFill="1" applyBorder="1" applyAlignment="1">
      <alignment horizontal="center" vertical="center" wrapText="1"/>
    </xf>
    <xf numFmtId="2" fontId="137" fillId="35" borderId="3" xfId="2673" applyNumberFormat="1" applyFont="1" applyFill="1" applyBorder="1" applyAlignment="1">
      <alignment horizontal="center" vertical="center" wrapText="1"/>
    </xf>
    <xf numFmtId="2" fontId="137" fillId="35" borderId="39" xfId="2673" applyNumberFormat="1" applyFont="1" applyFill="1" applyBorder="1" applyAlignment="1">
      <alignment horizontal="center" vertical="center" wrapText="1"/>
    </xf>
    <xf numFmtId="0" fontId="169" fillId="0" borderId="50" xfId="2673" applyFont="1" applyBorder="1" applyAlignment="1">
      <alignment horizontal="center" vertical="center" wrapText="1"/>
    </xf>
    <xf numFmtId="0" fontId="169" fillId="0" borderId="58" xfId="2673" applyFont="1" applyBorder="1" applyAlignment="1">
      <alignment horizontal="center" vertical="center" wrapText="1"/>
    </xf>
    <xf numFmtId="0" fontId="169" fillId="44" borderId="3" xfId="2673" applyFont="1" applyFill="1" applyBorder="1" applyAlignment="1">
      <alignment horizontal="center" vertical="center" wrapText="1"/>
    </xf>
    <xf numFmtId="0" fontId="169" fillId="44" borderId="39" xfId="2673" applyFont="1" applyFill="1" applyBorder="1" applyAlignment="1">
      <alignment horizontal="center" vertical="center" wrapText="1"/>
    </xf>
    <xf numFmtId="1" fontId="137" fillId="0" borderId="3" xfId="2673" applyNumberFormat="1" applyFont="1" applyBorder="1" applyAlignment="1">
      <alignment horizontal="center" vertical="center" wrapText="1"/>
    </xf>
    <xf numFmtId="1" fontId="137" fillId="0" borderId="39" xfId="2673" applyNumberFormat="1" applyFont="1" applyBorder="1" applyAlignment="1">
      <alignment horizontal="center" vertical="center" wrapText="1"/>
    </xf>
    <xf numFmtId="2" fontId="137" fillId="45" borderId="3" xfId="2673" applyNumberFormat="1" applyFont="1" applyFill="1" applyBorder="1" applyAlignment="1">
      <alignment horizontal="center" vertical="center" wrapText="1"/>
    </xf>
    <xf numFmtId="2" fontId="137" fillId="45" borderId="39" xfId="2673" applyNumberFormat="1" applyFont="1" applyFill="1" applyBorder="1" applyAlignment="1">
      <alignment horizontal="center" vertical="center" wrapText="1"/>
    </xf>
    <xf numFmtId="0" fontId="166" fillId="42" borderId="91" xfId="2673" applyFont="1" applyFill="1" applyBorder="1" applyAlignment="1">
      <alignment horizontal="center" vertical="center" wrapText="1"/>
    </xf>
    <xf numFmtId="0" fontId="166" fillId="42" borderId="92" xfId="2673" applyFont="1" applyFill="1" applyBorder="1" applyAlignment="1">
      <alignment horizontal="center" vertical="center" wrapText="1"/>
    </xf>
    <xf numFmtId="0" fontId="166" fillId="42" borderId="93" xfId="2673" applyFont="1" applyFill="1" applyBorder="1" applyAlignment="1">
      <alignment horizontal="center" vertical="center" wrapText="1"/>
    </xf>
    <xf numFmtId="166" fontId="149" fillId="43" borderId="7" xfId="2673" applyNumberFormat="1" applyFont="1" applyFill="1" applyBorder="1" applyAlignment="1">
      <alignment horizontal="center" vertical="center" wrapText="1"/>
    </xf>
    <xf numFmtId="0" fontId="149" fillId="43" borderId="58" xfId="2673" applyFont="1" applyFill="1" applyBorder="1" applyAlignment="1">
      <alignment horizontal="center" vertical="center" wrapText="1"/>
    </xf>
    <xf numFmtId="1" fontId="137" fillId="43" borderId="7" xfId="2673" applyNumberFormat="1" applyFont="1" applyFill="1" applyBorder="1" applyAlignment="1">
      <alignment horizontal="center" vertical="center" wrapText="1"/>
    </xf>
    <xf numFmtId="1" fontId="137" fillId="43" borderId="58" xfId="2673" applyNumberFormat="1" applyFont="1" applyFill="1" applyBorder="1" applyAlignment="1">
      <alignment horizontal="center" vertical="center" wrapText="1"/>
    </xf>
    <xf numFmtId="0" fontId="137" fillId="43" borderId="7" xfId="2673" applyFont="1" applyFill="1" applyBorder="1" applyAlignment="1">
      <alignment horizontal="center" vertical="center" wrapText="1"/>
    </xf>
    <xf numFmtId="0" fontId="137" fillId="43" borderId="58" xfId="2673" applyFont="1" applyFill="1" applyBorder="1" applyAlignment="1">
      <alignment horizontal="center" vertical="center" wrapText="1"/>
    </xf>
    <xf numFmtId="2" fontId="137" fillId="43" borderId="62" xfId="2673" applyNumberFormat="1" applyFont="1" applyFill="1" applyBorder="1" applyAlignment="1">
      <alignment horizontal="center" vertical="center" wrapText="1"/>
    </xf>
    <xf numFmtId="2" fontId="137" fillId="43" borderId="95" xfId="2673" applyNumberFormat="1" applyFont="1" applyFill="1" applyBorder="1" applyAlignment="1">
      <alignment horizontal="center" vertical="center" wrapText="1"/>
    </xf>
    <xf numFmtId="0" fontId="11" fillId="34" borderId="77" xfId="2670" applyFill="1" applyBorder="1" applyAlignment="1">
      <alignment horizontal="center" vertical="center"/>
    </xf>
    <xf numFmtId="0" fontId="141" fillId="0" borderId="78" xfId="2670" applyFont="1" applyBorder="1" applyAlignment="1">
      <alignment horizontal="left" vertical="center"/>
    </xf>
    <xf numFmtId="0" fontId="54" fillId="0" borderId="44" xfId="1538" applyFont="1" applyBorder="1" applyAlignment="1">
      <alignment horizontal="left"/>
    </xf>
    <xf numFmtId="0" fontId="114" fillId="38" borderId="3" xfId="1538" applyFill="1" applyBorder="1" applyAlignment="1">
      <alignment horizontal="center" vertical="center"/>
    </xf>
    <xf numFmtId="0" fontId="114" fillId="38" borderId="3" xfId="1538" applyFill="1" applyBorder="1" applyAlignment="1">
      <alignment horizontal="center" vertical="center" wrapText="1"/>
    </xf>
    <xf numFmtId="0" fontId="105" fillId="38" borderId="3" xfId="1538" applyFont="1" applyFill="1" applyBorder="1" applyAlignment="1">
      <alignment horizontal="center" vertical="center" wrapText="1"/>
    </xf>
    <xf numFmtId="0" fontId="51" fillId="0" borderId="3" xfId="1538" applyFont="1" applyBorder="1" applyAlignment="1">
      <alignment horizontal="center"/>
    </xf>
    <xf numFmtId="0" fontId="114" fillId="38" borderId="35" xfId="1538" applyFill="1" applyBorder="1" applyAlignment="1">
      <alignment horizontal="center" vertical="center" wrapText="1"/>
    </xf>
    <xf numFmtId="0" fontId="114" fillId="38" borderId="33" xfId="1538" applyFill="1" applyBorder="1" applyAlignment="1">
      <alignment horizontal="center" vertical="center" wrapText="1"/>
    </xf>
    <xf numFmtId="0" fontId="156" fillId="30" borderId="3" xfId="1614" applyFont="1" applyFill="1" applyBorder="1" applyAlignment="1">
      <alignment horizontal="center" vertical="center"/>
    </xf>
    <xf numFmtId="0" fontId="157" fillId="0" borderId="0" xfId="1652" applyFont="1" applyAlignment="1">
      <alignment horizontal="center" vertical="center"/>
    </xf>
    <xf numFmtId="37" fontId="154" fillId="0" borderId="36" xfId="1614" applyNumberFormat="1" applyFont="1" applyBorder="1" applyAlignment="1">
      <alignment horizontal="center"/>
    </xf>
    <xf numFmtId="0" fontId="158" fillId="35" borderId="51" xfId="1614" applyFont="1" applyFill="1" applyBorder="1" applyAlignment="1">
      <alignment horizontal="center" vertical="center"/>
    </xf>
    <xf numFmtId="0" fontId="158" fillId="35" borderId="49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/>
    </xf>
    <xf numFmtId="0" fontId="158" fillId="35" borderId="21" xfId="1614" applyFont="1" applyFill="1" applyBorder="1" applyAlignment="1">
      <alignment horizontal="center" vertical="center"/>
    </xf>
    <xf numFmtId="0" fontId="158" fillId="35" borderId="33" xfId="1614" applyFont="1" applyFill="1" applyBorder="1" applyAlignment="1">
      <alignment horizontal="center" vertical="center"/>
    </xf>
    <xf numFmtId="0" fontId="158" fillId="35" borderId="53" xfId="1614" applyFont="1" applyFill="1" applyBorder="1" applyAlignment="1">
      <alignment horizontal="center" vertical="center"/>
    </xf>
    <xf numFmtId="0" fontId="158" fillId="35" borderId="3" xfId="1614" applyFont="1" applyFill="1" applyBorder="1" applyAlignment="1">
      <alignment horizontal="center" vertical="center"/>
    </xf>
    <xf numFmtId="0" fontId="158" fillId="35" borderId="52" xfId="1614" applyFont="1" applyFill="1" applyBorder="1" applyAlignment="1">
      <alignment horizontal="center" vertical="center" wrapText="1"/>
    </xf>
    <xf numFmtId="0" fontId="158" fillId="35" borderId="21" xfId="1614" applyFont="1" applyFill="1" applyBorder="1" applyAlignment="1">
      <alignment horizontal="center" vertical="center" wrapText="1"/>
    </xf>
    <xf numFmtId="0" fontId="158" fillId="35" borderId="33" xfId="1614" applyFont="1" applyFill="1" applyBorder="1" applyAlignment="1">
      <alignment horizontal="center" vertical="center" wrapText="1"/>
    </xf>
    <xf numFmtId="0" fontId="158" fillId="35" borderId="35" xfId="1652" applyFont="1" applyFill="1" applyBorder="1" applyAlignment="1">
      <alignment horizontal="center" vertical="center" wrapText="1"/>
    </xf>
    <xf numFmtId="0" fontId="158" fillId="35" borderId="33" xfId="1652" applyFont="1" applyFill="1" applyBorder="1" applyAlignment="1">
      <alignment horizontal="center" vertical="center" wrapText="1"/>
    </xf>
    <xf numFmtId="0" fontId="153" fillId="0" borderId="0" xfId="1644" applyFont="1" applyAlignment="1">
      <alignment horizontal="center" vertical="center"/>
    </xf>
    <xf numFmtId="37" fontId="160" fillId="0" borderId="19" xfId="1614" applyNumberFormat="1" applyFont="1" applyBorder="1" applyAlignment="1">
      <alignment horizontal="center"/>
    </xf>
    <xf numFmtId="0" fontId="156" fillId="0" borderId="0" xfId="1614" applyFont="1" applyAlignment="1">
      <alignment horizontal="left" vertical="top" wrapText="1"/>
    </xf>
    <xf numFmtId="37" fontId="154" fillId="0" borderId="0" xfId="1614" applyNumberFormat="1" applyFont="1" applyAlignment="1">
      <alignment horizontal="center"/>
    </xf>
    <xf numFmtId="0" fontId="175" fillId="0" borderId="26" xfId="1614" applyFont="1" applyBorder="1" applyAlignment="1">
      <alignment horizontal="left" vertical="center" wrapText="1"/>
    </xf>
    <xf numFmtId="0" fontId="175" fillId="0" borderId="36" xfId="1614" applyFont="1" applyBorder="1" applyAlignment="1">
      <alignment horizontal="left" vertical="center" wrapText="1"/>
    </xf>
    <xf numFmtId="0" fontId="175" fillId="0" borderId="48" xfId="1614" applyFont="1" applyBorder="1" applyAlignment="1">
      <alignment horizontal="left" vertical="center" wrapText="1"/>
    </xf>
    <xf numFmtId="0" fontId="175" fillId="0" borderId="28" xfId="1614" applyFont="1" applyBorder="1" applyAlignment="1">
      <alignment horizontal="left" vertical="center" wrapText="1"/>
    </xf>
    <xf numFmtId="0" fontId="175" fillId="0" borderId="0" xfId="1614" applyFont="1" applyAlignment="1">
      <alignment horizontal="left" vertical="center" wrapText="1"/>
    </xf>
    <xf numFmtId="0" fontId="175" fillId="0" borderId="37" xfId="1614" applyFont="1" applyBorder="1" applyAlignment="1">
      <alignment horizontal="left" vertical="center" wrapText="1"/>
    </xf>
    <xf numFmtId="0" fontId="159" fillId="0" borderId="0" xfId="1652" applyFont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0" fontId="158" fillId="35" borderId="54" xfId="1614" applyFont="1" applyFill="1" applyBorder="1" applyAlignment="1">
      <alignment horizontal="center" vertical="center"/>
    </xf>
    <xf numFmtId="0" fontId="158" fillId="35" borderId="39" xfId="1614" applyFont="1" applyFill="1" applyBorder="1" applyAlignment="1">
      <alignment horizontal="center" vertical="center"/>
    </xf>
    <xf numFmtId="0" fontId="133" fillId="35" borderId="55" xfId="0" applyFont="1" applyFill="1" applyBorder="1" applyAlignment="1">
      <alignment horizontal="center" vertical="center"/>
    </xf>
    <xf numFmtId="0" fontId="133" fillId="35" borderId="36" xfId="0" applyFont="1" applyFill="1" applyBorder="1" applyAlignment="1">
      <alignment horizontal="center" vertical="center"/>
    </xf>
    <xf numFmtId="0" fontId="133" fillId="35" borderId="48" xfId="0" applyFont="1" applyFill="1" applyBorder="1" applyAlignment="1">
      <alignment horizontal="center" vertical="center"/>
    </xf>
    <xf numFmtId="0" fontId="133" fillId="35" borderId="43" xfId="0" applyFont="1" applyFill="1" applyBorder="1" applyAlignment="1">
      <alignment horizontal="center" vertical="center"/>
    </xf>
    <xf numFmtId="0" fontId="133" fillId="35" borderId="44" xfId="0" applyFont="1" applyFill="1" applyBorder="1" applyAlignment="1">
      <alignment horizontal="center" vertical="center"/>
    </xf>
    <xf numFmtId="0" fontId="133" fillId="35" borderId="45" xfId="0" applyFont="1" applyFill="1" applyBorder="1" applyAlignment="1">
      <alignment horizontal="center" vertical="center"/>
    </xf>
    <xf numFmtId="0" fontId="117" fillId="33" borderId="3" xfId="0" applyFont="1" applyFill="1" applyBorder="1" applyAlignment="1">
      <alignment horizontal="center"/>
    </xf>
    <xf numFmtId="0" fontId="117" fillId="33" borderId="39" xfId="0" applyFont="1" applyFill="1" applyBorder="1" applyAlignment="1">
      <alignment horizontal="center"/>
    </xf>
    <xf numFmtId="0" fontId="118" fillId="33" borderId="18" xfId="0" applyFont="1" applyFill="1" applyBorder="1" applyAlignment="1">
      <alignment horizontal="left"/>
    </xf>
    <xf numFmtId="0" fontId="118" fillId="33" borderId="0" xfId="0" applyFont="1" applyFill="1" applyAlignment="1">
      <alignment horizontal="left"/>
    </xf>
    <xf numFmtId="0" fontId="118" fillId="33" borderId="37" xfId="0" applyFont="1" applyFill="1" applyBorder="1" applyAlignment="1">
      <alignment horizontal="left"/>
    </xf>
    <xf numFmtId="0" fontId="134" fillId="33" borderId="50" xfId="0" applyFont="1" applyFill="1" applyBorder="1" applyAlignment="1">
      <alignment horizontal="center" vertical="center"/>
    </xf>
    <xf numFmtId="0" fontId="134" fillId="33" borderId="7" xfId="0" applyFont="1" applyFill="1" applyBorder="1" applyAlignment="1">
      <alignment horizontal="center" vertical="center"/>
    </xf>
    <xf numFmtId="0" fontId="134" fillId="33" borderId="41" xfId="0" applyFont="1" applyFill="1" applyBorder="1" applyAlignment="1">
      <alignment horizontal="center" vertical="center"/>
    </xf>
    <xf numFmtId="0" fontId="118" fillId="33" borderId="50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center"/>
    </xf>
    <xf numFmtId="0" fontId="118" fillId="33" borderId="58" xfId="0" applyFont="1" applyFill="1" applyBorder="1" applyAlignment="1">
      <alignment horizontal="center" vertical="center"/>
    </xf>
    <xf numFmtId="207" fontId="122" fillId="0" borderId="73" xfId="1450" applyNumberFormat="1" applyFont="1" applyBorder="1" applyAlignment="1">
      <alignment horizontal="left" vertical="center"/>
    </xf>
    <xf numFmtId="207" fontId="177" fillId="0" borderId="74" xfId="1450" applyNumberFormat="1" applyFont="1" applyBorder="1" applyAlignment="1">
      <alignment horizontal="left" vertical="center"/>
    </xf>
    <xf numFmtId="49" fontId="135" fillId="33" borderId="59" xfId="0" applyNumberFormat="1" applyFont="1" applyFill="1" applyBorder="1" applyAlignment="1">
      <alignment horizontal="left" vertical="center"/>
    </xf>
    <xf numFmtId="49" fontId="135" fillId="33" borderId="40" xfId="0" applyNumberFormat="1" applyFont="1" applyFill="1" applyBorder="1" applyAlignment="1">
      <alignment horizontal="left" vertical="center"/>
    </xf>
    <xf numFmtId="49" fontId="117" fillId="33" borderId="50" xfId="0" applyNumberFormat="1" applyFont="1" applyFill="1" applyBorder="1" applyAlignment="1">
      <alignment horizontal="left" vertical="center"/>
    </xf>
    <xf numFmtId="49" fontId="117" fillId="33" borderId="41" xfId="0" applyNumberFormat="1" applyFont="1" applyFill="1" applyBorder="1" applyAlignment="1">
      <alignment horizontal="left" vertical="center"/>
    </xf>
    <xf numFmtId="0" fontId="117" fillId="33" borderId="56" xfId="0" applyFont="1" applyFill="1" applyBorder="1" applyAlignment="1">
      <alignment horizontal="center"/>
    </xf>
    <xf numFmtId="0" fontId="117" fillId="33" borderId="57" xfId="0" applyFont="1" applyFill="1" applyBorder="1" applyAlignment="1">
      <alignment horizontal="center"/>
    </xf>
    <xf numFmtId="49" fontId="117" fillId="33" borderId="50" xfId="0" applyNumberFormat="1" applyFont="1" applyFill="1" applyBorder="1" applyAlignment="1">
      <alignment horizontal="center" vertical="center"/>
    </xf>
    <xf numFmtId="49" fontId="117" fillId="33" borderId="41" xfId="0" applyNumberFormat="1" applyFont="1" applyFill="1" applyBorder="1" applyAlignment="1">
      <alignment horizontal="center" vertical="center"/>
    </xf>
    <xf numFmtId="0" fontId="94" fillId="33" borderId="60" xfId="0" applyFont="1" applyFill="1" applyBorder="1" applyAlignment="1">
      <alignment horizontal="left" vertical="center"/>
    </xf>
    <xf numFmtId="0" fontId="94" fillId="33" borderId="79" xfId="0" applyFont="1" applyFill="1" applyBorder="1" applyAlignment="1">
      <alignment horizontal="left" vertical="center"/>
    </xf>
    <xf numFmtId="0" fontId="135" fillId="33" borderId="60" xfId="0" applyFont="1" applyFill="1" applyBorder="1" applyAlignment="1">
      <alignment horizontal="left" vertical="center"/>
    </xf>
    <xf numFmtId="0" fontId="135" fillId="33" borderId="61" xfId="0" applyFont="1" applyFill="1" applyBorder="1" applyAlignment="1">
      <alignment horizontal="left" vertical="center"/>
    </xf>
    <xf numFmtId="0" fontId="94" fillId="33" borderId="80" xfId="0" applyFont="1" applyFill="1" applyBorder="1" applyAlignment="1">
      <alignment horizontal="center" vertical="center"/>
    </xf>
    <xf numFmtId="0" fontId="94" fillId="33" borderId="81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center"/>
    </xf>
    <xf numFmtId="0" fontId="121" fillId="33" borderId="73" xfId="0" applyFont="1" applyFill="1" applyBorder="1" applyAlignment="1">
      <alignment horizontal="center" vertical="center"/>
    </xf>
    <xf numFmtId="0" fontId="121" fillId="33" borderId="74" xfId="0" applyFont="1" applyFill="1" applyBorder="1" applyAlignment="1">
      <alignment horizontal="center" vertical="center"/>
    </xf>
    <xf numFmtId="49" fontId="117" fillId="33" borderId="7" xfId="0" applyNumberFormat="1" applyFont="1" applyFill="1" applyBorder="1" applyAlignment="1">
      <alignment horizontal="center" vertical="top" wrapText="1"/>
    </xf>
    <xf numFmtId="49" fontId="117" fillId="33" borderId="41" xfId="0" applyNumberFormat="1" applyFont="1" applyFill="1" applyBorder="1" applyAlignment="1">
      <alignment horizontal="center" vertical="top" wrapText="1"/>
    </xf>
    <xf numFmtId="0" fontId="117" fillId="33" borderId="7" xfId="0" applyFont="1" applyFill="1" applyBorder="1" applyAlignment="1">
      <alignment horizontal="center" vertical="top" wrapText="1"/>
    </xf>
    <xf numFmtId="0" fontId="117" fillId="33" borderId="41" xfId="0" applyFont="1" applyFill="1" applyBorder="1" applyAlignment="1">
      <alignment horizontal="center" vertical="top" wrapText="1"/>
    </xf>
    <xf numFmtId="0" fontId="94" fillId="33" borderId="61" xfId="0" applyFont="1" applyFill="1" applyBorder="1" applyAlignment="1">
      <alignment horizontal="left" vertical="center"/>
    </xf>
    <xf numFmtId="0" fontId="117" fillId="33" borderId="7" xfId="0" applyFont="1" applyFill="1" applyBorder="1" applyAlignment="1">
      <alignment horizontal="center"/>
    </xf>
    <xf numFmtId="0" fontId="117" fillId="33" borderId="41" xfId="0" applyFont="1" applyFill="1" applyBorder="1" applyAlignment="1">
      <alignment horizontal="center"/>
    </xf>
    <xf numFmtId="15" fontId="117" fillId="33" borderId="3" xfId="0" applyNumberFormat="1" applyFont="1" applyFill="1" applyBorder="1" applyAlignment="1">
      <alignment horizontal="center"/>
    </xf>
    <xf numFmtId="0" fontId="94" fillId="33" borderId="59" xfId="0" applyFont="1" applyFill="1" applyBorder="1" applyAlignment="1">
      <alignment horizontal="center" vertical="center"/>
    </xf>
    <xf numFmtId="0" fontId="94" fillId="33" borderId="40" xfId="0" applyFont="1" applyFill="1" applyBorder="1" applyAlignment="1">
      <alignment horizontal="center" vertical="center"/>
    </xf>
    <xf numFmtId="0" fontId="122" fillId="33" borderId="75" xfId="0" applyFont="1" applyFill="1" applyBorder="1" applyAlignment="1">
      <alignment horizontal="center" vertical="center" wrapText="1"/>
    </xf>
    <xf numFmtId="0" fontId="122" fillId="33" borderId="76" xfId="0" applyFont="1" applyFill="1" applyBorder="1" applyAlignment="1">
      <alignment horizontal="center" vertical="center" wrapText="1"/>
    </xf>
    <xf numFmtId="0" fontId="118" fillId="33" borderId="18" xfId="0" applyFont="1" applyFill="1" applyBorder="1" applyAlignment="1">
      <alignment horizontal="left" vertical="top" wrapText="1"/>
    </xf>
    <xf numFmtId="0" fontId="118" fillId="33" borderId="0" xfId="0" applyFont="1" applyFill="1" applyAlignment="1">
      <alignment horizontal="left" vertical="top" wrapText="1"/>
    </xf>
    <xf numFmtId="0" fontId="117" fillId="33" borderId="64" xfId="0" applyFont="1" applyFill="1" applyBorder="1" applyAlignment="1">
      <alignment horizontal="center"/>
    </xf>
    <xf numFmtId="0" fontId="117" fillId="33" borderId="62" xfId="0" applyFont="1" applyFill="1" applyBorder="1" applyAlignment="1">
      <alignment horizontal="center"/>
    </xf>
    <xf numFmtId="0" fontId="117" fillId="33" borderId="63" xfId="0" applyFont="1" applyFill="1" applyBorder="1" applyAlignment="1">
      <alignment horizontal="center"/>
    </xf>
    <xf numFmtId="0" fontId="117" fillId="33" borderId="65" xfId="0" applyFont="1" applyFill="1" applyBorder="1" applyAlignment="1">
      <alignment horizontal="center"/>
    </xf>
    <xf numFmtId="0" fontId="117" fillId="33" borderId="56" xfId="0" applyFont="1" applyFill="1" applyBorder="1" applyAlignment="1">
      <alignment horizontal="center" vertical="center"/>
    </xf>
    <xf numFmtId="0" fontId="117" fillId="33" borderId="57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 vertical="center" wrapText="1"/>
    </xf>
    <xf numFmtId="0" fontId="117" fillId="33" borderId="37" xfId="0" applyFont="1" applyFill="1" applyBorder="1" applyAlignment="1">
      <alignment horizontal="center" vertical="center" wrapText="1"/>
    </xf>
    <xf numFmtId="0" fontId="117" fillId="33" borderId="44" xfId="0" applyFont="1" applyFill="1" applyBorder="1" applyAlignment="1">
      <alignment horizontal="center" vertical="center" wrapText="1"/>
    </xf>
    <xf numFmtId="0" fontId="117" fillId="33" borderId="45" xfId="0" applyFont="1" applyFill="1" applyBorder="1" applyAlignment="1">
      <alignment horizontal="center" vertical="center" wrapText="1"/>
    </xf>
    <xf numFmtId="0" fontId="125" fillId="35" borderId="26" xfId="1451" applyFont="1" applyFill="1" applyBorder="1" applyAlignment="1">
      <alignment horizontal="center" vertical="center"/>
    </xf>
    <xf numFmtId="0" fontId="125" fillId="35" borderId="36" xfId="1451" applyFont="1" applyFill="1" applyBorder="1" applyAlignment="1">
      <alignment horizontal="center" vertical="center"/>
    </xf>
    <xf numFmtId="0" fontId="125" fillId="35" borderId="48" xfId="1451" applyFont="1" applyFill="1" applyBorder="1" applyAlignment="1">
      <alignment horizontal="center" vertical="center"/>
    </xf>
    <xf numFmtId="0" fontId="125" fillId="35" borderId="28" xfId="1451" applyFont="1" applyFill="1" applyBorder="1" applyAlignment="1">
      <alignment horizontal="center" vertical="center"/>
    </xf>
    <xf numFmtId="0" fontId="125" fillId="35" borderId="0" xfId="1451" applyFont="1" applyFill="1" applyAlignment="1">
      <alignment horizontal="center" vertical="center"/>
    </xf>
    <xf numFmtId="0" fontId="125" fillId="35" borderId="37" xfId="1451" applyFont="1" applyFill="1" applyBorder="1" applyAlignment="1">
      <alignment horizontal="center" vertical="center"/>
    </xf>
    <xf numFmtId="0" fontId="125" fillId="35" borderId="34" xfId="1451" applyFont="1" applyFill="1" applyBorder="1" applyAlignment="1">
      <alignment horizontal="center" vertical="center"/>
    </xf>
    <xf numFmtId="0" fontId="125" fillId="35" borderId="19" xfId="1451" applyFont="1" applyFill="1" applyBorder="1" applyAlignment="1">
      <alignment horizontal="center" vertical="center"/>
    </xf>
    <xf numFmtId="0" fontId="125" fillId="35" borderId="31" xfId="1451" applyFont="1" applyFill="1" applyBorder="1" applyAlignment="1">
      <alignment horizontal="center" vertical="center"/>
    </xf>
    <xf numFmtId="0" fontId="163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6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7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151</xdr:row>
      <xdr:rowOff>81642</xdr:rowOff>
    </xdr:from>
    <xdr:to>
      <xdr:col>11</xdr:col>
      <xdr:colOff>149965</xdr:colOff>
      <xdr:row>154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168519</xdr:colOff>
      <xdr:row>18</xdr:row>
      <xdr:rowOff>100959</xdr:rowOff>
    </xdr:from>
    <xdr:to>
      <xdr:col>20</xdr:col>
      <xdr:colOff>323850</xdr:colOff>
      <xdr:row>32</xdr:row>
      <xdr:rowOff>38100</xdr:rowOff>
    </xdr:to>
    <xdr:grpSp>
      <xdr:nvGrpSpPr>
        <xdr:cNvPr id="28" name="Group 27">
          <a:extLst>
            <a:ext uri="{FF2B5EF4-FFF2-40B4-BE49-F238E27FC236}">
              <a16:creationId xmlns:a16="http://schemas.microsoft.com/office/drawing/2014/main" id="{D7251804-2594-955F-085B-E65F218CF268}"/>
            </a:ext>
          </a:extLst>
        </xdr:cNvPr>
        <xdr:cNvGrpSpPr/>
      </xdr:nvGrpSpPr>
      <xdr:grpSpPr>
        <a:xfrm>
          <a:off x="365588" y="2859925"/>
          <a:ext cx="7125003" cy="2045778"/>
          <a:chOff x="359019" y="2892517"/>
          <a:chExt cx="7130562" cy="2083929"/>
        </a:xfrm>
      </xdr:grpSpPr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55663F0D-54C9-48A3-9BDA-485C0206CA10}"/>
              </a:ext>
            </a:extLst>
          </xdr:cNvPr>
          <xdr:cNvCxnSpPr>
            <a:cxnSpLocks/>
          </xdr:cNvCxnSpPr>
        </xdr:nvCxnSpPr>
        <xdr:spPr>
          <a:xfrm flipH="1" flipV="1">
            <a:off x="819656" y="2892517"/>
            <a:ext cx="21475" cy="1379079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F749FE12-F2B0-7206-D64B-8504F4AFE3A4}"/>
              </a:ext>
            </a:extLst>
          </xdr:cNvPr>
          <xdr:cNvCxnSpPr>
            <a:cxnSpLocks/>
          </xdr:cNvCxnSpPr>
        </xdr:nvCxnSpPr>
        <xdr:spPr>
          <a:xfrm flipH="1" flipV="1">
            <a:off x="3679581" y="3376979"/>
            <a:ext cx="3810000" cy="1599467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" name="Straight Connector 1">
            <a:extLst>
              <a:ext uri="{FF2B5EF4-FFF2-40B4-BE49-F238E27FC236}">
                <a16:creationId xmlns:a16="http://schemas.microsoft.com/office/drawing/2014/main" id="{5AE5D4B5-835D-4AC5-BCD8-6120D4BCF351}"/>
              </a:ext>
            </a:extLst>
          </xdr:cNvPr>
          <xdr:cNvCxnSpPr>
            <a:cxnSpLocks/>
          </xdr:cNvCxnSpPr>
        </xdr:nvCxnSpPr>
        <xdr:spPr>
          <a:xfrm flipH="1" flipV="1">
            <a:off x="2927106" y="3088298"/>
            <a:ext cx="895350" cy="337771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AD30155D-B870-4C0D-8AD9-9436592A7986}"/>
              </a:ext>
            </a:extLst>
          </xdr:cNvPr>
          <xdr:cNvCxnSpPr>
            <a:cxnSpLocks/>
          </xdr:cNvCxnSpPr>
        </xdr:nvCxnSpPr>
        <xdr:spPr>
          <a:xfrm flipH="1" flipV="1">
            <a:off x="359019" y="2916115"/>
            <a:ext cx="567837" cy="18318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59E26534-F1A3-4A6C-83C8-4B6CBE406AA5}"/>
              </a:ext>
            </a:extLst>
          </xdr:cNvPr>
          <xdr:cNvCxnSpPr>
            <a:cxnSpLocks/>
          </xdr:cNvCxnSpPr>
        </xdr:nvCxnSpPr>
        <xdr:spPr>
          <a:xfrm flipH="1" flipV="1">
            <a:off x="1993656" y="2993048"/>
            <a:ext cx="962025" cy="106240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48B07A6A-A72A-4FFE-8ACA-8E5082D4F70B}"/>
              </a:ext>
            </a:extLst>
          </xdr:cNvPr>
          <xdr:cNvCxnSpPr>
            <a:cxnSpLocks/>
          </xdr:cNvCxnSpPr>
        </xdr:nvCxnSpPr>
        <xdr:spPr>
          <a:xfrm flipH="1" flipV="1">
            <a:off x="707781" y="2924908"/>
            <a:ext cx="1336815" cy="72243"/>
          </a:xfrm>
          <a:prstGeom prst="line">
            <a:avLst/>
          </a:prstGeom>
          <a:ln w="19050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137489</xdr:colOff>
      <xdr:row>38</xdr:row>
      <xdr:rowOff>145676</xdr:rowOff>
    </xdr:from>
    <xdr:to>
      <xdr:col>13</xdr:col>
      <xdr:colOff>238</xdr:colOff>
      <xdr:row>54</xdr:row>
      <xdr:rowOff>114385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9CB258-BF10-F101-5A54-7E64E56B1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9195" y="6096000"/>
          <a:ext cx="4165808" cy="2568473"/>
        </a:xfrm>
        <a:prstGeom prst="rect">
          <a:avLst/>
        </a:prstGeom>
      </xdr:spPr>
    </xdr:pic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6124" y="819779"/>
          <a:ext cx="1489344" cy="177913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20</xdr:col>
      <xdr:colOff>96317</xdr:colOff>
      <xdr:row>24</xdr:row>
      <xdr:rowOff>91965</xdr:rowOff>
    </xdr:from>
    <xdr:to>
      <xdr:col>21</xdr:col>
      <xdr:colOff>111673</xdr:colOff>
      <xdr:row>32</xdr:row>
      <xdr:rowOff>151075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18AE3102-5717-D11C-59E8-1E14D08DA260}"/>
            </a:ext>
          </a:extLst>
        </xdr:cNvPr>
        <xdr:cNvCxnSpPr/>
      </xdr:nvCxnSpPr>
      <xdr:spPr>
        <a:xfrm flipH="1">
          <a:off x="7263058" y="3757448"/>
          <a:ext cx="396356" cy="1261230"/>
        </a:xfrm>
        <a:prstGeom prst="line">
          <a:avLst/>
        </a:prstGeom>
        <a:ln w="12700">
          <a:solidFill>
            <a:sysClr val="windowText" lastClr="00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13972</xdr:colOff>
      <xdr:row>24</xdr:row>
      <xdr:rowOff>141242</xdr:rowOff>
    </xdr:from>
    <xdr:to>
      <xdr:col>4</xdr:col>
      <xdr:colOff>367643</xdr:colOff>
      <xdr:row>26</xdr:row>
      <xdr:rowOff>137989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1083703" y="3855992"/>
          <a:ext cx="353671" cy="304478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rgbClr val="FF0000"/>
              </a:solidFill>
            </a:rPr>
            <a:t>BTS</a:t>
          </a:r>
        </a:p>
      </xdr:txBody>
    </xdr:sp>
    <xdr:clientData/>
  </xdr:twoCellAnchor>
  <xdr:twoCellAnchor>
    <xdr:from>
      <xdr:col>11</xdr:col>
      <xdr:colOff>57978</xdr:colOff>
      <xdr:row>24</xdr:row>
      <xdr:rowOff>39893</xdr:rowOff>
    </xdr:from>
    <xdr:to>
      <xdr:col>11</xdr:col>
      <xdr:colOff>200129</xdr:colOff>
      <xdr:row>25</xdr:row>
      <xdr:rowOff>49696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3D9459FA-1445-4DA4-B88B-3D1612AAD79E}"/>
            </a:ext>
          </a:extLst>
        </xdr:cNvPr>
        <xdr:cNvSpPr/>
      </xdr:nvSpPr>
      <xdr:spPr>
        <a:xfrm>
          <a:off x="3801717" y="3667676"/>
          <a:ext cx="142151" cy="15889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224195</xdr:colOff>
      <xdr:row>25</xdr:row>
      <xdr:rowOff>71963</xdr:rowOff>
    </xdr:from>
    <xdr:to>
      <xdr:col>13</xdr:col>
      <xdr:colOff>312561</xdr:colOff>
      <xdr:row>26</xdr:row>
      <xdr:rowOff>21257</xdr:rowOff>
    </xdr:to>
    <xdr:grpSp>
      <xdr:nvGrpSpPr>
        <xdr:cNvPr id="176" name="Group 175">
          <a:extLst>
            <a:ext uri="{FF2B5EF4-FFF2-40B4-BE49-F238E27FC236}">
              <a16:creationId xmlns:a16="http://schemas.microsoft.com/office/drawing/2014/main" id="{A8570CBA-19D9-4774-9B0D-8D50DBF16560}"/>
            </a:ext>
          </a:extLst>
        </xdr:cNvPr>
        <xdr:cNvGrpSpPr/>
      </xdr:nvGrpSpPr>
      <xdr:grpSpPr>
        <a:xfrm>
          <a:off x="4723936" y="3888532"/>
          <a:ext cx="88366" cy="1003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3" name="Oval 182">
            <a:extLst>
              <a:ext uri="{FF2B5EF4-FFF2-40B4-BE49-F238E27FC236}">
                <a16:creationId xmlns:a16="http://schemas.microsoft.com/office/drawing/2014/main" id="{5B28F82E-DD29-40FE-7AB8-1469CF155B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3A4B3F3A-5A93-A211-5EF8-CEE7D7CA570F}"/>
              </a:ext>
            </a:extLst>
          </xdr:cNvPr>
          <xdr:cNvCxnSpPr>
            <a:stCxn id="183" idx="1"/>
            <a:endCxn id="1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184">
            <a:extLst>
              <a:ext uri="{FF2B5EF4-FFF2-40B4-BE49-F238E27FC236}">
                <a16:creationId xmlns:a16="http://schemas.microsoft.com/office/drawing/2014/main" id="{7F7ADC67-897F-182D-781A-5848CE86DCB3}"/>
              </a:ext>
            </a:extLst>
          </xdr:cNvPr>
          <xdr:cNvCxnSpPr>
            <a:stCxn id="183" idx="3"/>
            <a:endCxn id="1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178250</xdr:colOff>
      <xdr:row>23</xdr:row>
      <xdr:rowOff>60833</xdr:rowOff>
    </xdr:from>
    <xdr:to>
      <xdr:col>11</xdr:col>
      <xdr:colOff>266616</xdr:colOff>
      <xdr:row>24</xdr:row>
      <xdr:rowOff>1107</xdr:rowOff>
    </xdr:to>
    <xdr:grpSp>
      <xdr:nvGrpSpPr>
        <xdr:cNvPr id="190" name="Group 189">
          <a:extLst>
            <a:ext uri="{FF2B5EF4-FFF2-40B4-BE49-F238E27FC236}">
              <a16:creationId xmlns:a16="http://schemas.microsoft.com/office/drawing/2014/main" id="{108E7204-E74D-4C02-BB85-9256A527ECA6}"/>
            </a:ext>
          </a:extLst>
        </xdr:cNvPr>
        <xdr:cNvGrpSpPr/>
      </xdr:nvGrpSpPr>
      <xdr:grpSpPr>
        <a:xfrm>
          <a:off x="3915991" y="3575230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1" name="Oval 190">
            <a:extLst>
              <a:ext uri="{FF2B5EF4-FFF2-40B4-BE49-F238E27FC236}">
                <a16:creationId xmlns:a16="http://schemas.microsoft.com/office/drawing/2014/main" id="{58BE2DCC-E1BB-4983-FECB-918E0615DF2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C1747A3E-9350-F373-C115-75007E2F6305}"/>
              </a:ext>
            </a:extLst>
          </xdr:cNvPr>
          <xdr:cNvCxnSpPr>
            <a:stCxn id="191" idx="1"/>
            <a:endCxn id="19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192">
            <a:extLst>
              <a:ext uri="{FF2B5EF4-FFF2-40B4-BE49-F238E27FC236}">
                <a16:creationId xmlns:a16="http://schemas.microsoft.com/office/drawing/2014/main" id="{CCEF1296-D2B3-02AA-DD18-3B4605E4D277}"/>
              </a:ext>
            </a:extLst>
          </xdr:cNvPr>
          <xdr:cNvCxnSpPr>
            <a:stCxn id="191" idx="3"/>
            <a:endCxn id="19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197664</xdr:colOff>
      <xdr:row>17</xdr:row>
      <xdr:rowOff>103869</xdr:rowOff>
    </xdr:from>
    <xdr:to>
      <xdr:col>6</xdr:col>
      <xdr:colOff>286030</xdr:colOff>
      <xdr:row>18</xdr:row>
      <xdr:rowOff>47071</xdr:rowOff>
    </xdr:to>
    <xdr:grpSp>
      <xdr:nvGrpSpPr>
        <xdr:cNvPr id="194" name="Group 193">
          <a:extLst>
            <a:ext uri="{FF2B5EF4-FFF2-40B4-BE49-F238E27FC236}">
              <a16:creationId xmlns:a16="http://schemas.microsoft.com/office/drawing/2014/main" id="{0BEB2CA7-FAE1-4216-B454-86D95AB96ED1}"/>
            </a:ext>
          </a:extLst>
        </xdr:cNvPr>
        <xdr:cNvGrpSpPr/>
      </xdr:nvGrpSpPr>
      <xdr:grpSpPr>
        <a:xfrm>
          <a:off x="2030405" y="2711748"/>
          <a:ext cx="88366" cy="9428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5" name="Oval 194">
            <a:extLst>
              <a:ext uri="{FF2B5EF4-FFF2-40B4-BE49-F238E27FC236}">
                <a16:creationId xmlns:a16="http://schemas.microsoft.com/office/drawing/2014/main" id="{3A9A7417-3DE1-1256-91DF-135137BC7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ED734F8D-B90C-2365-AE95-08F088C83F07}"/>
              </a:ext>
            </a:extLst>
          </xdr:cNvPr>
          <xdr:cNvCxnSpPr>
            <a:stCxn id="195" idx="1"/>
            <a:endCxn id="1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B5735C1E-0C63-10F6-9744-924DD2840E7C}"/>
              </a:ext>
            </a:extLst>
          </xdr:cNvPr>
          <xdr:cNvCxnSpPr>
            <a:stCxn id="195" idx="3"/>
            <a:endCxn id="1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156345</xdr:colOff>
      <xdr:row>17</xdr:row>
      <xdr:rowOff>55525</xdr:rowOff>
    </xdr:from>
    <xdr:to>
      <xdr:col>3</xdr:col>
      <xdr:colOff>244711</xdr:colOff>
      <xdr:row>18</xdr:row>
      <xdr:rowOff>1506</xdr:rowOff>
    </xdr:to>
    <xdr:grpSp>
      <xdr:nvGrpSpPr>
        <xdr:cNvPr id="198" name="Group 197">
          <a:extLst>
            <a:ext uri="{FF2B5EF4-FFF2-40B4-BE49-F238E27FC236}">
              <a16:creationId xmlns:a16="http://schemas.microsoft.com/office/drawing/2014/main" id="{63D31E2A-D9A9-4E69-8CE3-B5863046C98F}"/>
            </a:ext>
          </a:extLst>
        </xdr:cNvPr>
        <xdr:cNvGrpSpPr/>
      </xdr:nvGrpSpPr>
      <xdr:grpSpPr>
        <a:xfrm>
          <a:off x="846086" y="2663404"/>
          <a:ext cx="88366" cy="9706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9" name="Oval 198">
            <a:extLst>
              <a:ext uri="{FF2B5EF4-FFF2-40B4-BE49-F238E27FC236}">
                <a16:creationId xmlns:a16="http://schemas.microsoft.com/office/drawing/2014/main" id="{8551EEA2-4C4B-1784-1403-223454D00F0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82E12FE7-548B-914B-262F-A60D3E4DF8DA}"/>
              </a:ext>
            </a:extLst>
          </xdr:cNvPr>
          <xdr:cNvCxnSpPr>
            <a:stCxn id="199" idx="1"/>
            <a:endCxn id="19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F3F35516-3744-9567-70C6-1F8DA6F5AF23}"/>
              </a:ext>
            </a:extLst>
          </xdr:cNvPr>
          <xdr:cNvCxnSpPr>
            <a:stCxn id="199" idx="3"/>
            <a:endCxn id="19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286440</xdr:colOff>
      <xdr:row>21</xdr:row>
      <xdr:rowOff>22964</xdr:rowOff>
    </xdr:from>
    <xdr:to>
      <xdr:col>11</xdr:col>
      <xdr:colOff>178250</xdr:colOff>
      <xdr:row>23</xdr:row>
      <xdr:rowOff>106513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51233A44-8633-4795-93E0-258113A5A847}"/>
            </a:ext>
          </a:extLst>
        </xdr:cNvPr>
        <xdr:cNvCxnSpPr>
          <a:stCxn id="191" idx="2"/>
          <a:endCxn id="11" idx="5"/>
        </xdr:cNvCxnSpPr>
      </xdr:nvCxnSpPr>
      <xdr:spPr>
        <a:xfrm flipH="1" flipV="1">
          <a:off x="2881181" y="3235188"/>
          <a:ext cx="1034810" cy="385722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37487</xdr:colOff>
      <xdr:row>17</xdr:row>
      <xdr:rowOff>43036</xdr:rowOff>
    </xdr:from>
    <xdr:to>
      <xdr:col>6</xdr:col>
      <xdr:colOff>1911</xdr:colOff>
      <xdr:row>18</xdr:row>
      <xdr:rowOff>73040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BB047846-2D9E-4BDB-8527-7DC1A3640F12}"/>
            </a:ext>
          </a:extLst>
        </xdr:cNvPr>
        <xdr:cNvSpPr/>
      </xdr:nvSpPr>
      <xdr:spPr>
        <a:xfrm>
          <a:off x="1489228" y="2650915"/>
          <a:ext cx="345424" cy="181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12</xdr:col>
      <xdr:colOff>90080</xdr:colOff>
      <xdr:row>24</xdr:row>
      <xdr:rowOff>11553</xdr:rowOff>
    </xdr:from>
    <xdr:to>
      <xdr:col>13</xdr:col>
      <xdr:colOff>41471</xdr:colOff>
      <xdr:row>25</xdr:row>
      <xdr:rowOff>50282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5AD6609C-CE9A-4BA7-BC7D-754A023D9C51}"/>
            </a:ext>
          </a:extLst>
        </xdr:cNvPr>
        <xdr:cNvSpPr/>
      </xdr:nvSpPr>
      <xdr:spPr>
        <a:xfrm rot="1395175">
          <a:off x="4208821" y="3677036"/>
          <a:ext cx="332391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7</xdr:col>
      <xdr:colOff>349940</xdr:colOff>
      <xdr:row>14</xdr:row>
      <xdr:rowOff>107675</xdr:rowOff>
    </xdr:from>
    <xdr:to>
      <xdr:col>9</xdr:col>
      <xdr:colOff>132523</xdr:colOff>
      <xdr:row>17</xdr:row>
      <xdr:rowOff>106353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4D889499-611F-4F11-9AE1-84F637521993}"/>
            </a:ext>
          </a:extLst>
        </xdr:cNvPr>
        <xdr:cNvSpPr/>
      </xdr:nvSpPr>
      <xdr:spPr>
        <a:xfrm>
          <a:off x="2569679" y="2244588"/>
          <a:ext cx="544583" cy="445939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600">
              <a:solidFill>
                <a:schemeClr val="tx1"/>
              </a:solidFill>
            </a:rPr>
            <a:t>MUSHOLLA</a:t>
          </a:r>
        </a:p>
      </xdr:txBody>
    </xdr:sp>
    <xdr:clientData/>
  </xdr:twoCellAnchor>
  <xdr:twoCellAnchor>
    <xdr:from>
      <xdr:col>3</xdr:col>
      <xdr:colOff>244711</xdr:colOff>
      <xdr:row>17</xdr:row>
      <xdr:rowOff>104059</xdr:rowOff>
    </xdr:from>
    <xdr:to>
      <xdr:col>6</xdr:col>
      <xdr:colOff>197664</xdr:colOff>
      <xdr:row>17</xdr:row>
      <xdr:rowOff>151014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DA17C0A4-5D98-419F-BCC0-3366D53336A8}"/>
            </a:ext>
          </a:extLst>
        </xdr:cNvPr>
        <xdr:cNvCxnSpPr>
          <a:stCxn id="195" idx="2"/>
          <a:endCxn id="199" idx="6"/>
        </xdr:cNvCxnSpPr>
      </xdr:nvCxnSpPr>
      <xdr:spPr>
        <a:xfrm flipH="1" flipV="1">
          <a:off x="934452" y="2711938"/>
          <a:ext cx="1095953" cy="46955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211015</xdr:colOff>
      <xdr:row>20</xdr:row>
      <xdr:rowOff>92319</xdr:rowOff>
    </xdr:from>
    <xdr:to>
      <xdr:col>8</xdr:col>
      <xdr:colOff>299381</xdr:colOff>
      <xdr:row>21</xdr:row>
      <xdr:rowOff>36987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814928D0-D814-4378-B321-3A8BD5BA36C4}"/>
            </a:ext>
          </a:extLst>
        </xdr:cNvPr>
        <xdr:cNvGrpSpPr/>
      </xdr:nvGrpSpPr>
      <xdr:grpSpPr>
        <a:xfrm>
          <a:off x="2805756" y="3153457"/>
          <a:ext cx="88366" cy="957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C6CCEC40-A698-798B-33B9-685FD1F718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C56700C-4A43-0A18-A634-CD900A370644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7F7F7222-C154-21EF-3F17-B066256EBC3B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43962</xdr:colOff>
      <xdr:row>32</xdr:row>
      <xdr:rowOff>124558</xdr:rowOff>
    </xdr:from>
    <xdr:to>
      <xdr:col>20</xdr:col>
      <xdr:colOff>132328</xdr:colOff>
      <xdr:row>33</xdr:row>
      <xdr:rowOff>64831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BD366BA5-BF5D-4673-BEBA-A50B8E450378}"/>
            </a:ext>
          </a:extLst>
        </xdr:cNvPr>
        <xdr:cNvGrpSpPr/>
      </xdr:nvGrpSpPr>
      <xdr:grpSpPr>
        <a:xfrm>
          <a:off x="7210703" y="4992161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7C4E0CEE-0470-7396-0385-FD5A46DB39A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AF4E0EA2-F0F4-B52E-4C80-338B91A2E9BF}"/>
              </a:ext>
            </a:extLst>
          </xdr:cNvPr>
          <xdr:cNvCxnSpPr>
            <a:stCxn id="39" idx="1"/>
            <a:endCxn id="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B0A7F3A2-29C4-1DF4-9E11-DB39A57BA310}"/>
              </a:ext>
            </a:extLst>
          </xdr:cNvPr>
          <xdr:cNvCxnSpPr>
            <a:stCxn id="39" idx="3"/>
            <a:endCxn id="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36635</xdr:colOff>
      <xdr:row>28</xdr:row>
      <xdr:rowOff>73270</xdr:rowOff>
    </xdr:from>
    <xdr:to>
      <xdr:col>16</xdr:col>
      <xdr:colOff>125001</xdr:colOff>
      <xdr:row>29</xdr:row>
      <xdr:rowOff>13544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176E8093-C75A-4A9E-A4AF-631760330DDB}"/>
            </a:ext>
          </a:extLst>
        </xdr:cNvPr>
        <xdr:cNvGrpSpPr/>
      </xdr:nvGrpSpPr>
      <xdr:grpSpPr>
        <a:xfrm>
          <a:off x="5679376" y="4343098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21F18D5E-6CB4-F036-B846-D9EEAE96C3D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43E2477-896D-381E-2ABB-D20F65BB3E3E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78EDD126-D7CE-3C4A-B48D-2A1E539487B6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146539</xdr:colOff>
      <xdr:row>30</xdr:row>
      <xdr:rowOff>139212</xdr:rowOff>
    </xdr:from>
    <xdr:to>
      <xdr:col>18</xdr:col>
      <xdr:colOff>234905</xdr:colOff>
      <xdr:row>31</xdr:row>
      <xdr:rowOff>79485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187AAD0F-F1EC-4106-BACD-1AE473EAA595}"/>
            </a:ext>
          </a:extLst>
        </xdr:cNvPr>
        <xdr:cNvGrpSpPr/>
      </xdr:nvGrpSpPr>
      <xdr:grpSpPr>
        <a:xfrm>
          <a:off x="6551280" y="4704643"/>
          <a:ext cx="88366" cy="913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034A5EC7-11F3-3040-89B8-EAE8A049F94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C4DBB4DA-9ADE-E7CD-BBAD-D985BA1E4ADD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77BA836-3228-5D1B-1EA4-ABEF8BD9E53F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200528</xdr:colOff>
      <xdr:row>18</xdr:row>
      <xdr:rowOff>1506</xdr:rowOff>
    </xdr:from>
    <xdr:to>
      <xdr:col>3</xdr:col>
      <xdr:colOff>300944</xdr:colOff>
      <xdr:row>23</xdr:row>
      <xdr:rowOff>66261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AF18E2FE-5013-4AA3-9E20-B7EC723DBF0A}"/>
            </a:ext>
          </a:extLst>
        </xdr:cNvPr>
        <xdr:cNvCxnSpPr>
          <a:stCxn id="209" idx="0"/>
          <a:endCxn id="199" idx="4"/>
        </xdr:cNvCxnSpPr>
      </xdr:nvCxnSpPr>
      <xdr:spPr>
        <a:xfrm flipH="1" flipV="1">
          <a:off x="885137" y="2805428"/>
          <a:ext cx="100416" cy="838661"/>
        </a:xfrm>
        <a:prstGeom prst="line">
          <a:avLst/>
        </a:prstGeom>
        <a:ln w="635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281067</xdr:colOff>
      <xdr:row>24</xdr:row>
      <xdr:rowOff>61844</xdr:rowOff>
    </xdr:from>
    <xdr:to>
      <xdr:col>20</xdr:col>
      <xdr:colOff>71354</xdr:colOff>
      <xdr:row>33</xdr:row>
      <xdr:rowOff>93267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51A49F52-CBEF-417F-AB87-A66DFB9B399C}"/>
            </a:ext>
          </a:extLst>
        </xdr:cNvPr>
        <xdr:cNvCxnSpPr>
          <a:stCxn id="68" idx="6"/>
          <a:endCxn id="74" idx="1"/>
        </xdr:cNvCxnSpPr>
      </xdr:nvCxnSpPr>
      <xdr:spPr>
        <a:xfrm>
          <a:off x="4018808" y="3727327"/>
          <a:ext cx="3219287" cy="1384630"/>
        </a:xfrm>
        <a:prstGeom prst="line">
          <a:avLst/>
        </a:prstGeom>
        <a:ln w="12700">
          <a:solidFill>
            <a:srgbClr val="FF0000"/>
          </a:solidFill>
          <a:prstDash val="lgDash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351645</xdr:colOff>
      <xdr:row>33</xdr:row>
      <xdr:rowOff>139592</xdr:rowOff>
    </xdr:from>
    <xdr:to>
      <xdr:col>20</xdr:col>
      <xdr:colOff>96440</xdr:colOff>
      <xdr:row>34</xdr:row>
      <xdr:rowOff>142875</xdr:rowOff>
    </xdr:to>
    <xdr:sp macro="" textlink="">
      <xdr:nvSpPr>
        <xdr:cNvPr id="207" name="Isosceles Triangle 206">
          <a:extLst>
            <a:ext uri="{FF2B5EF4-FFF2-40B4-BE49-F238E27FC236}">
              <a16:creationId xmlns:a16="http://schemas.microsoft.com/office/drawing/2014/main" id="{7D34609B-A323-46E4-A893-EAF4AE5BEA5C}"/>
            </a:ext>
          </a:extLst>
        </xdr:cNvPr>
        <xdr:cNvSpPr/>
      </xdr:nvSpPr>
      <xdr:spPr>
        <a:xfrm>
          <a:off x="7132254" y="5253326"/>
          <a:ext cx="125795" cy="15806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198256</xdr:colOff>
      <xdr:row>24</xdr:row>
      <xdr:rowOff>133156</xdr:rowOff>
    </xdr:from>
    <xdr:to>
      <xdr:col>13</xdr:col>
      <xdr:colOff>375688</xdr:colOff>
      <xdr:row>26</xdr:row>
      <xdr:rowOff>90096</xdr:rowOff>
    </xdr:to>
    <xdr:grpSp>
      <xdr:nvGrpSpPr>
        <xdr:cNvPr id="222" name="Group 221">
          <a:extLst>
            <a:ext uri="{FF2B5EF4-FFF2-40B4-BE49-F238E27FC236}">
              <a16:creationId xmlns:a16="http://schemas.microsoft.com/office/drawing/2014/main" id="{2D149787-894F-F17E-00AE-75E205507C69}"/>
            </a:ext>
          </a:extLst>
        </xdr:cNvPr>
        <xdr:cNvGrpSpPr/>
      </xdr:nvGrpSpPr>
      <xdr:grpSpPr>
        <a:xfrm rot="1229398">
          <a:off x="4697997" y="3798639"/>
          <a:ext cx="177432" cy="259112"/>
          <a:chOff x="4197569" y="4644259"/>
          <a:chExt cx="137948" cy="144517"/>
        </a:xfrm>
      </xdr:grpSpPr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E30D9557-A9DB-4FEF-99C8-6CA7995B2462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FC158C5F-8505-4C0F-B8C1-203CB63A919B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273089</xdr:colOff>
      <xdr:row>18</xdr:row>
      <xdr:rowOff>33263</xdr:rowOff>
    </xdr:from>
    <xdr:to>
      <xdr:col>8</xdr:col>
      <xdr:colOff>223956</xdr:colOff>
      <xdr:row>20</xdr:row>
      <xdr:rowOff>106342</xdr:rowOff>
    </xdr:to>
    <xdr:cxnSp macro="">
      <xdr:nvCxnSpPr>
        <xdr:cNvPr id="227" name="Straight Connector 226">
          <a:extLst>
            <a:ext uri="{FF2B5EF4-FFF2-40B4-BE49-F238E27FC236}">
              <a16:creationId xmlns:a16="http://schemas.microsoft.com/office/drawing/2014/main" id="{28672CFA-11B5-445D-A1EC-8C9E8A836493}"/>
            </a:ext>
          </a:extLst>
        </xdr:cNvPr>
        <xdr:cNvCxnSpPr>
          <a:stCxn id="195" idx="5"/>
          <a:endCxn id="11" idx="1"/>
        </xdr:cNvCxnSpPr>
      </xdr:nvCxnSpPr>
      <xdr:spPr>
        <a:xfrm>
          <a:off x="2105830" y="2792229"/>
          <a:ext cx="712867" cy="375251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159091</xdr:colOff>
      <xdr:row>30</xdr:row>
      <xdr:rowOff>19091</xdr:rowOff>
    </xdr:from>
    <xdr:to>
      <xdr:col>16</xdr:col>
      <xdr:colOff>297040</xdr:colOff>
      <xdr:row>33</xdr:row>
      <xdr:rowOff>136922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E617BF3E-AA3B-477D-B54B-7CD72AC69967}"/>
            </a:ext>
          </a:extLst>
        </xdr:cNvPr>
        <xdr:cNvSpPr/>
      </xdr:nvSpPr>
      <xdr:spPr>
        <a:xfrm>
          <a:off x="5415700" y="4668482"/>
          <a:ext cx="518949" cy="582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CJ5-T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4779</xdr:colOff>
      <xdr:row>27</xdr:row>
      <xdr:rowOff>31855</xdr:rowOff>
    </xdr:from>
    <xdr:to>
      <xdr:col>6</xdr:col>
      <xdr:colOff>261221</xdr:colOff>
      <xdr:row>32</xdr:row>
      <xdr:rowOff>2548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8CC17CF3-EA34-45D2-B33D-56122ABF6F89}"/>
            </a:ext>
          </a:extLst>
        </xdr:cNvPr>
        <xdr:cNvSpPr/>
      </xdr:nvSpPr>
      <xdr:spPr>
        <a:xfrm>
          <a:off x="1081518" y="4106898"/>
          <a:ext cx="1018442" cy="707846"/>
        </a:xfrm>
        <a:prstGeom prst="rect">
          <a:avLst/>
        </a:prstGeom>
        <a:noFill/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ysClr val="windowText" lastClr="000000"/>
              </a:solidFill>
            </a:rPr>
            <a:t>KADANG AYAM</a:t>
          </a:r>
        </a:p>
      </xdr:txBody>
    </xdr:sp>
    <xdr:clientData/>
  </xdr:twoCellAnchor>
  <xdr:twoCellAnchor>
    <xdr:from>
      <xdr:col>13</xdr:col>
      <xdr:colOff>238646</xdr:colOff>
      <xdr:row>26</xdr:row>
      <xdr:rowOff>27294</xdr:rowOff>
    </xdr:from>
    <xdr:to>
      <xdr:col>13</xdr:col>
      <xdr:colOff>327012</xdr:colOff>
      <xdr:row>26</xdr:row>
      <xdr:rowOff>127674</xdr:rowOff>
    </xdr:to>
    <xdr:grpSp>
      <xdr:nvGrpSpPr>
        <xdr:cNvPr id="63" name="Group 62">
          <a:extLst>
            <a:ext uri="{FF2B5EF4-FFF2-40B4-BE49-F238E27FC236}">
              <a16:creationId xmlns:a16="http://schemas.microsoft.com/office/drawing/2014/main" id="{84A600F7-F7F4-4E14-A187-A50307BEEE54}"/>
            </a:ext>
          </a:extLst>
        </xdr:cNvPr>
        <xdr:cNvGrpSpPr/>
      </xdr:nvGrpSpPr>
      <xdr:grpSpPr>
        <a:xfrm>
          <a:off x="4738387" y="3994949"/>
          <a:ext cx="88366" cy="1003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4" name="Oval 63">
            <a:extLst>
              <a:ext uri="{FF2B5EF4-FFF2-40B4-BE49-F238E27FC236}">
                <a16:creationId xmlns:a16="http://schemas.microsoft.com/office/drawing/2014/main" id="{3902375F-F162-E696-3A68-AE0A95A2DF2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973E03E9-C8A5-A34D-343F-3F221DB3CC08}"/>
              </a:ext>
            </a:extLst>
          </xdr:cNvPr>
          <xdr:cNvCxnSpPr>
            <a:stCxn id="64" idx="1"/>
            <a:endCxn id="6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91CCD0F3-5FE6-2C61-D54A-A9AC891482A4}"/>
              </a:ext>
            </a:extLst>
          </xdr:cNvPr>
          <xdr:cNvCxnSpPr>
            <a:stCxn id="64" idx="3"/>
            <a:endCxn id="6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192701</xdr:colOff>
      <xdr:row>24</xdr:row>
      <xdr:rowOff>16164</xdr:rowOff>
    </xdr:from>
    <xdr:to>
      <xdr:col>11</xdr:col>
      <xdr:colOff>281067</xdr:colOff>
      <xdr:row>24</xdr:row>
      <xdr:rowOff>107524</xdr:rowOff>
    </xdr:to>
    <xdr:grpSp>
      <xdr:nvGrpSpPr>
        <xdr:cNvPr id="67" name="Group 66">
          <a:extLst>
            <a:ext uri="{FF2B5EF4-FFF2-40B4-BE49-F238E27FC236}">
              <a16:creationId xmlns:a16="http://schemas.microsoft.com/office/drawing/2014/main" id="{F707C5D1-5DF3-43A9-AB70-9552ED0704B3}"/>
            </a:ext>
          </a:extLst>
        </xdr:cNvPr>
        <xdr:cNvGrpSpPr/>
      </xdr:nvGrpSpPr>
      <xdr:grpSpPr>
        <a:xfrm>
          <a:off x="3930442" y="3681647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8" name="Oval 67">
            <a:extLst>
              <a:ext uri="{FF2B5EF4-FFF2-40B4-BE49-F238E27FC236}">
                <a16:creationId xmlns:a16="http://schemas.microsoft.com/office/drawing/2014/main" id="{DF7364C4-3C06-8626-8CDD-02D8388C22A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DC2FA017-53ED-188E-4925-E121945F0C98}"/>
              </a:ext>
            </a:extLst>
          </xdr:cNvPr>
          <xdr:cNvCxnSpPr>
            <a:stCxn id="68" idx="1"/>
            <a:endCxn id="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87715E31-F12E-C82C-F268-6D4DCA5AEF1D}"/>
              </a:ext>
            </a:extLst>
          </xdr:cNvPr>
          <xdr:cNvCxnSpPr>
            <a:stCxn id="68" idx="3"/>
            <a:endCxn id="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58413</xdr:colOff>
      <xdr:row>33</xdr:row>
      <xdr:rowOff>79888</xdr:rowOff>
    </xdr:from>
    <xdr:to>
      <xdr:col>20</xdr:col>
      <xdr:colOff>146779</xdr:colOff>
      <xdr:row>34</xdr:row>
      <xdr:rowOff>20162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2658A588-8ADE-47C5-A1A5-8A94F8C7D9ED}"/>
            </a:ext>
          </a:extLst>
        </xdr:cNvPr>
        <xdr:cNvGrpSpPr/>
      </xdr:nvGrpSpPr>
      <xdr:grpSpPr>
        <a:xfrm>
          <a:off x="7225154" y="5098578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4" name="Oval 73">
            <a:extLst>
              <a:ext uri="{FF2B5EF4-FFF2-40B4-BE49-F238E27FC236}">
                <a16:creationId xmlns:a16="http://schemas.microsoft.com/office/drawing/2014/main" id="{6E7082CF-4A90-5698-F509-1037B5B97FD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DE9CF8C9-907E-8AFE-3CB4-F5C844FA555E}"/>
              </a:ext>
            </a:extLst>
          </xdr:cNvPr>
          <xdr:cNvCxnSpPr>
            <a:stCxn id="74" idx="1"/>
            <a:endCxn id="7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26ACCECD-1A5E-7D94-02C3-9A84114516BE}"/>
              </a:ext>
            </a:extLst>
          </xdr:cNvPr>
          <xdr:cNvCxnSpPr>
            <a:stCxn id="74" idx="3"/>
            <a:endCxn id="7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51086</xdr:colOff>
      <xdr:row>29</xdr:row>
      <xdr:rowOff>28601</xdr:rowOff>
    </xdr:from>
    <xdr:to>
      <xdr:col>16</xdr:col>
      <xdr:colOff>139452</xdr:colOff>
      <xdr:row>29</xdr:row>
      <xdr:rowOff>119961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B98CF98-B9DF-48D8-8E46-CAC533E2CA83}"/>
            </a:ext>
          </a:extLst>
        </xdr:cNvPr>
        <xdr:cNvGrpSpPr/>
      </xdr:nvGrpSpPr>
      <xdr:grpSpPr>
        <a:xfrm>
          <a:off x="5693827" y="4449515"/>
          <a:ext cx="88366" cy="913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60E15966-BED4-0C2F-EF18-AC6CEEBEFEF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EFD5B914-71A4-A230-59F9-DC0955B3BAE1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EEAD16FA-9712-4F9B-0686-0C4D02AD3D2D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160990</xdr:colOff>
      <xdr:row>31</xdr:row>
      <xdr:rowOff>94543</xdr:rowOff>
    </xdr:from>
    <xdr:to>
      <xdr:col>18</xdr:col>
      <xdr:colOff>249356</xdr:colOff>
      <xdr:row>32</xdr:row>
      <xdr:rowOff>34816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67382A76-FEB1-4AD0-83DE-D34AA38E884C}"/>
            </a:ext>
          </a:extLst>
        </xdr:cNvPr>
        <xdr:cNvGrpSpPr/>
      </xdr:nvGrpSpPr>
      <xdr:grpSpPr>
        <a:xfrm>
          <a:off x="6565731" y="4811060"/>
          <a:ext cx="88366" cy="9135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9A6358E2-9096-BC63-A9D8-58CB79E612F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0D3E69E-EB72-3F5B-8F17-15F61085D04C}"/>
              </a:ext>
            </a:extLst>
          </xdr:cNvPr>
          <xdr:cNvCxnSpPr>
            <a:stCxn id="93" idx="1"/>
            <a:endCxn id="9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46F583E6-A3EA-AAF4-F08B-B7658D1C0FF8}"/>
              </a:ext>
            </a:extLst>
          </xdr:cNvPr>
          <xdr:cNvCxnSpPr>
            <a:stCxn id="93" idx="3"/>
            <a:endCxn id="9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266616</xdr:colOff>
      <xdr:row>23</xdr:row>
      <xdr:rowOff>106513</xdr:rowOff>
    </xdr:from>
    <xdr:to>
      <xdr:col>20</xdr:col>
      <xdr:colOff>43962</xdr:colOff>
      <xdr:row>33</xdr:row>
      <xdr:rowOff>19151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16A6BCC3-E1A3-496D-A301-141CEC9D15A2}"/>
            </a:ext>
          </a:extLst>
        </xdr:cNvPr>
        <xdr:cNvCxnSpPr>
          <a:stCxn id="39" idx="2"/>
          <a:endCxn id="191" idx="6"/>
        </xdr:cNvCxnSpPr>
      </xdr:nvCxnSpPr>
      <xdr:spPr>
        <a:xfrm flipH="1" flipV="1">
          <a:off x="3999225" y="3684341"/>
          <a:ext cx="3206346" cy="1448544"/>
        </a:xfrm>
        <a:prstGeom prst="line">
          <a:avLst/>
        </a:prstGeom>
        <a:ln w="635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78827</xdr:colOff>
      <xdr:row>18</xdr:row>
      <xdr:rowOff>137947</xdr:rowOff>
    </xdr:from>
    <xdr:to>
      <xdr:col>8</xdr:col>
      <xdr:colOff>43251</xdr:colOff>
      <xdr:row>20</xdr:row>
      <xdr:rowOff>16866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263A3A1D-545A-4D60-9B68-393CF917F78A}"/>
            </a:ext>
          </a:extLst>
        </xdr:cNvPr>
        <xdr:cNvSpPr/>
      </xdr:nvSpPr>
      <xdr:spPr>
        <a:xfrm rot="2131308">
          <a:off x="2292568" y="2896913"/>
          <a:ext cx="345424" cy="181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9</xdr:col>
      <xdr:colOff>303485</xdr:colOff>
      <xdr:row>22</xdr:row>
      <xdr:rowOff>7882</xdr:rowOff>
    </xdr:from>
    <xdr:to>
      <xdr:col>10</xdr:col>
      <xdr:colOff>267909</xdr:colOff>
      <xdr:row>23</xdr:row>
      <xdr:rowOff>37886</xdr:rowOff>
    </xdr:to>
    <xdr:sp macro="" textlink="">
      <xdr:nvSpPr>
        <xdr:cNvPr id="175" name="Rectangle 174">
          <a:extLst>
            <a:ext uri="{FF2B5EF4-FFF2-40B4-BE49-F238E27FC236}">
              <a16:creationId xmlns:a16="http://schemas.microsoft.com/office/drawing/2014/main" id="{24B06B3C-7EE3-444E-BB47-EBE2B43CD452}"/>
            </a:ext>
          </a:extLst>
        </xdr:cNvPr>
        <xdr:cNvSpPr/>
      </xdr:nvSpPr>
      <xdr:spPr>
        <a:xfrm rot="1380450">
          <a:off x="3279226" y="3371192"/>
          <a:ext cx="345424" cy="181091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14</xdr:col>
      <xdr:colOff>249621</xdr:colOff>
      <xdr:row>26</xdr:row>
      <xdr:rowOff>137948</xdr:rowOff>
    </xdr:from>
    <xdr:to>
      <xdr:col>15</xdr:col>
      <xdr:colOff>201012</xdr:colOff>
      <xdr:row>28</xdr:row>
      <xdr:rowOff>25590</xdr:rowOff>
    </xdr:to>
    <xdr:sp macro="" textlink="">
      <xdr:nvSpPr>
        <xdr:cNvPr id="177" name="Rectangle 176">
          <a:extLst>
            <a:ext uri="{FF2B5EF4-FFF2-40B4-BE49-F238E27FC236}">
              <a16:creationId xmlns:a16="http://schemas.microsoft.com/office/drawing/2014/main" id="{7DBF3B55-1E06-412A-9EDA-09BF8E948A55}"/>
            </a:ext>
          </a:extLst>
        </xdr:cNvPr>
        <xdr:cNvSpPr/>
      </xdr:nvSpPr>
      <xdr:spPr>
        <a:xfrm rot="1395175">
          <a:off x="5130362" y="4105603"/>
          <a:ext cx="332391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16</xdr:col>
      <xdr:colOff>374431</xdr:colOff>
      <xdr:row>29</xdr:row>
      <xdr:rowOff>65689</xdr:rowOff>
    </xdr:from>
    <xdr:to>
      <xdr:col>17</xdr:col>
      <xdr:colOff>325822</xdr:colOff>
      <xdr:row>30</xdr:row>
      <xdr:rowOff>110987</xdr:rowOff>
    </xdr:to>
    <xdr:sp macro="" textlink="">
      <xdr:nvSpPr>
        <xdr:cNvPr id="180" name="Rectangle 179">
          <a:extLst>
            <a:ext uri="{FF2B5EF4-FFF2-40B4-BE49-F238E27FC236}">
              <a16:creationId xmlns:a16="http://schemas.microsoft.com/office/drawing/2014/main" id="{B2D3134E-6E2C-4E11-B4CB-BB8B74982A16}"/>
            </a:ext>
          </a:extLst>
        </xdr:cNvPr>
        <xdr:cNvSpPr/>
      </xdr:nvSpPr>
      <xdr:spPr>
        <a:xfrm rot="1395175">
          <a:off x="6017172" y="4486603"/>
          <a:ext cx="332391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18</xdr:col>
      <xdr:colOff>321879</xdr:colOff>
      <xdr:row>31</xdr:row>
      <xdr:rowOff>72259</xdr:rowOff>
    </xdr:from>
    <xdr:to>
      <xdr:col>19</xdr:col>
      <xdr:colOff>273270</xdr:colOff>
      <xdr:row>32</xdr:row>
      <xdr:rowOff>110988</xdr:rowOff>
    </xdr:to>
    <xdr:sp macro="" textlink="">
      <xdr:nvSpPr>
        <xdr:cNvPr id="182" name="Rectangle 181">
          <a:extLst>
            <a:ext uri="{FF2B5EF4-FFF2-40B4-BE49-F238E27FC236}">
              <a16:creationId xmlns:a16="http://schemas.microsoft.com/office/drawing/2014/main" id="{FC6901B5-8476-4FD8-A8E9-4C4D545D7398}"/>
            </a:ext>
          </a:extLst>
        </xdr:cNvPr>
        <xdr:cNvSpPr/>
      </xdr:nvSpPr>
      <xdr:spPr>
        <a:xfrm rot="1395175">
          <a:off x="6726620" y="4788776"/>
          <a:ext cx="332391" cy="18981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ysClr val="windowText" lastClr="000000"/>
              </a:solidFill>
            </a:rPr>
            <a:t>///</a:t>
          </a:r>
        </a:p>
      </xdr:txBody>
    </xdr:sp>
    <xdr:clientData/>
  </xdr:twoCellAnchor>
  <xdr:twoCellAnchor>
    <xdr:from>
      <xdr:col>20</xdr:col>
      <xdr:colOff>45983</xdr:colOff>
      <xdr:row>27</xdr:row>
      <xdr:rowOff>144518</xdr:rowOff>
    </xdr:from>
    <xdr:to>
      <xdr:col>21</xdr:col>
      <xdr:colOff>177363</xdr:colOff>
      <xdr:row>38</xdr:row>
      <xdr:rowOff>98535</xdr:rowOff>
    </xdr:to>
    <xdr:cxnSp macro="">
      <xdr:nvCxnSpPr>
        <xdr:cNvPr id="188" name="Straight Connector 187">
          <a:extLst>
            <a:ext uri="{FF2B5EF4-FFF2-40B4-BE49-F238E27FC236}">
              <a16:creationId xmlns:a16="http://schemas.microsoft.com/office/drawing/2014/main" id="{E970AF74-2BE2-49AB-8D6A-4C9251A2891C}"/>
            </a:ext>
          </a:extLst>
        </xdr:cNvPr>
        <xdr:cNvCxnSpPr>
          <a:cxnSpLocks/>
        </xdr:cNvCxnSpPr>
      </xdr:nvCxnSpPr>
      <xdr:spPr>
        <a:xfrm flipV="1">
          <a:off x="7212724" y="4263259"/>
          <a:ext cx="512380" cy="163567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256761</xdr:colOff>
      <xdr:row>23</xdr:row>
      <xdr:rowOff>66261</xdr:rowOff>
    </xdr:from>
    <xdr:to>
      <xdr:col>3</xdr:col>
      <xdr:colOff>345127</xdr:colOff>
      <xdr:row>24</xdr:row>
      <xdr:rowOff>17554</xdr:rowOff>
    </xdr:to>
    <xdr:grpSp>
      <xdr:nvGrpSpPr>
        <xdr:cNvPr id="206" name="Group 205">
          <a:extLst>
            <a:ext uri="{FF2B5EF4-FFF2-40B4-BE49-F238E27FC236}">
              <a16:creationId xmlns:a16="http://schemas.microsoft.com/office/drawing/2014/main" id="{CF778B5B-01AA-4C1D-AEA4-3E42863C6AB0}"/>
            </a:ext>
          </a:extLst>
        </xdr:cNvPr>
        <xdr:cNvGrpSpPr/>
      </xdr:nvGrpSpPr>
      <xdr:grpSpPr>
        <a:xfrm>
          <a:off x="946502" y="3580658"/>
          <a:ext cx="88366" cy="10237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9" name="Oval 208">
            <a:extLst>
              <a:ext uri="{FF2B5EF4-FFF2-40B4-BE49-F238E27FC236}">
                <a16:creationId xmlns:a16="http://schemas.microsoft.com/office/drawing/2014/main" id="{90B59226-F89B-C0B3-BD7A-488DBD50026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827907DA-987D-E213-6F48-6C71FF157FA0}"/>
              </a:ext>
            </a:extLst>
          </xdr:cNvPr>
          <xdr:cNvCxnSpPr>
            <a:stCxn id="209" idx="1"/>
            <a:endCxn id="20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03304924-EAA3-D9CA-C375-6B77219FF97D}"/>
              </a:ext>
            </a:extLst>
          </xdr:cNvPr>
          <xdr:cNvCxnSpPr>
            <a:stCxn id="209" idx="3"/>
            <a:endCxn id="20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138255</xdr:colOff>
      <xdr:row>22</xdr:row>
      <xdr:rowOff>122814</xdr:rowOff>
    </xdr:from>
    <xdr:to>
      <xdr:col>11</xdr:col>
      <xdr:colOff>344563</xdr:colOff>
      <xdr:row>24</xdr:row>
      <xdr:rowOff>58728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6014A0D8-CA09-47EE-AAF7-D386EAAA8E3B}"/>
            </a:ext>
          </a:extLst>
        </xdr:cNvPr>
        <xdr:cNvGrpSpPr/>
      </xdr:nvGrpSpPr>
      <xdr:grpSpPr>
        <a:xfrm rot="1229398">
          <a:off x="3875996" y="3486124"/>
          <a:ext cx="206308" cy="238087"/>
          <a:chOff x="4197569" y="4644259"/>
          <a:chExt cx="137948" cy="144517"/>
        </a:xfrm>
      </xdr:grpSpPr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4C208E7E-37EC-42DA-A70D-F7D9D4E76479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216">
            <a:extLst>
              <a:ext uri="{FF2B5EF4-FFF2-40B4-BE49-F238E27FC236}">
                <a16:creationId xmlns:a16="http://schemas.microsoft.com/office/drawing/2014/main" id="{0C28201C-3C63-A9BF-C16F-4E676518322D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17860</xdr:colOff>
      <xdr:row>27</xdr:row>
      <xdr:rowOff>119063</xdr:rowOff>
    </xdr:from>
    <xdr:to>
      <xdr:col>16</xdr:col>
      <xdr:colOff>195292</xdr:colOff>
      <xdr:row>29</xdr:row>
      <xdr:rowOff>76003</xdr:rowOff>
    </xdr:to>
    <xdr:grpSp>
      <xdr:nvGrpSpPr>
        <xdr:cNvPr id="219" name="Group 218">
          <a:extLst>
            <a:ext uri="{FF2B5EF4-FFF2-40B4-BE49-F238E27FC236}">
              <a16:creationId xmlns:a16="http://schemas.microsoft.com/office/drawing/2014/main" id="{86CFD3BD-F9A6-491F-A832-617FB8EC66A0}"/>
            </a:ext>
          </a:extLst>
        </xdr:cNvPr>
        <xdr:cNvGrpSpPr/>
      </xdr:nvGrpSpPr>
      <xdr:grpSpPr>
        <a:xfrm rot="1229398">
          <a:off x="5660601" y="4237804"/>
          <a:ext cx="177432" cy="259113"/>
          <a:chOff x="4197569" y="4644259"/>
          <a:chExt cx="137948" cy="144517"/>
        </a:xfrm>
      </xdr:grpSpPr>
      <xdr:cxnSp macro="">
        <xdr:nvCxnSpPr>
          <xdr:cNvPr id="220" name="Straight Connector 219">
            <a:extLst>
              <a:ext uri="{FF2B5EF4-FFF2-40B4-BE49-F238E27FC236}">
                <a16:creationId xmlns:a16="http://schemas.microsoft.com/office/drawing/2014/main" id="{BCA07351-D5C7-82BE-84AF-FA5A1C5B6604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71C482FE-7C98-C465-FE20-7F2E84D56B61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113109</xdr:colOff>
      <xdr:row>30</xdr:row>
      <xdr:rowOff>23812</xdr:rowOff>
    </xdr:from>
    <xdr:to>
      <xdr:col>18</xdr:col>
      <xdr:colOff>290541</xdr:colOff>
      <xdr:row>31</xdr:row>
      <xdr:rowOff>135534</xdr:rowOff>
    </xdr:to>
    <xdr:grpSp>
      <xdr:nvGrpSpPr>
        <xdr:cNvPr id="223" name="Group 222">
          <a:extLst>
            <a:ext uri="{FF2B5EF4-FFF2-40B4-BE49-F238E27FC236}">
              <a16:creationId xmlns:a16="http://schemas.microsoft.com/office/drawing/2014/main" id="{30FFD2F4-E9F0-4782-AAC2-E83CB3EAF565}"/>
            </a:ext>
          </a:extLst>
        </xdr:cNvPr>
        <xdr:cNvGrpSpPr/>
      </xdr:nvGrpSpPr>
      <xdr:grpSpPr>
        <a:xfrm rot="1229398">
          <a:off x="6517850" y="4589243"/>
          <a:ext cx="177432" cy="262808"/>
          <a:chOff x="4197569" y="4644259"/>
          <a:chExt cx="137948" cy="144517"/>
        </a:xfrm>
      </xdr:grpSpPr>
      <xdr:cxnSp macro="">
        <xdr:nvCxnSpPr>
          <xdr:cNvPr id="224" name="Straight Connector 223">
            <a:extLst>
              <a:ext uri="{FF2B5EF4-FFF2-40B4-BE49-F238E27FC236}">
                <a16:creationId xmlns:a16="http://schemas.microsoft.com/office/drawing/2014/main" id="{E096A829-CE65-8213-3E5D-8B848EFC2D69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7CA72CF6-5F97-C5A3-721E-B5CA69D85FB5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29765</xdr:colOff>
      <xdr:row>32</xdr:row>
      <xdr:rowOff>29766</xdr:rowOff>
    </xdr:from>
    <xdr:to>
      <xdr:col>20</xdr:col>
      <xdr:colOff>207197</xdr:colOff>
      <xdr:row>33</xdr:row>
      <xdr:rowOff>141488</xdr:rowOff>
    </xdr:to>
    <xdr:grpSp>
      <xdr:nvGrpSpPr>
        <xdr:cNvPr id="226" name="Group 225">
          <a:extLst>
            <a:ext uri="{FF2B5EF4-FFF2-40B4-BE49-F238E27FC236}">
              <a16:creationId xmlns:a16="http://schemas.microsoft.com/office/drawing/2014/main" id="{BE1E3C8F-606A-4ECD-9CE4-88D5ED425D31}"/>
            </a:ext>
          </a:extLst>
        </xdr:cNvPr>
        <xdr:cNvGrpSpPr/>
      </xdr:nvGrpSpPr>
      <xdr:grpSpPr>
        <a:xfrm rot="476044">
          <a:off x="7196506" y="4897369"/>
          <a:ext cx="177432" cy="262809"/>
          <a:chOff x="4197569" y="4644259"/>
          <a:chExt cx="137948" cy="144517"/>
        </a:xfrm>
      </xdr:grpSpPr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4E71A461-1951-415E-1A3F-8EE081A0D08B}"/>
              </a:ext>
            </a:extLst>
          </xdr:cNvPr>
          <xdr:cNvCxnSpPr/>
        </xdr:nvCxnSpPr>
        <xdr:spPr>
          <a:xfrm flipV="1">
            <a:off x="4197569" y="4657397"/>
            <a:ext cx="135586" cy="111672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228">
            <a:extLst>
              <a:ext uri="{FF2B5EF4-FFF2-40B4-BE49-F238E27FC236}">
                <a16:creationId xmlns:a16="http://schemas.microsoft.com/office/drawing/2014/main" id="{ABF637C7-83FF-318B-4A6B-9F8665174993}"/>
              </a:ext>
            </a:extLst>
          </xdr:cNvPr>
          <xdr:cNvCxnSpPr/>
        </xdr:nvCxnSpPr>
        <xdr:spPr>
          <a:xfrm flipH="1" flipV="1">
            <a:off x="4197570" y="4644259"/>
            <a:ext cx="137947" cy="144517"/>
          </a:xfrm>
          <a:prstGeom prst="line">
            <a:avLst/>
          </a:prstGeom>
          <a:ln w="6350">
            <a:solidFill>
              <a:srgbClr val="FF0000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169614</xdr:colOff>
      <xdr:row>20</xdr:row>
      <xdr:rowOff>3025</xdr:rowOff>
    </xdr:from>
    <xdr:to>
      <xdr:col>3</xdr:col>
      <xdr:colOff>354399</xdr:colOff>
      <xdr:row>22</xdr:row>
      <xdr:rowOff>38886</xdr:rowOff>
    </xdr:to>
    <xdr:sp macro="" textlink="">
      <xdr:nvSpPr>
        <xdr:cNvPr id="238" name="Rectangle 237">
          <a:extLst>
            <a:ext uri="{FF2B5EF4-FFF2-40B4-BE49-F238E27FC236}">
              <a16:creationId xmlns:a16="http://schemas.microsoft.com/office/drawing/2014/main" id="{B9CBD89F-A432-4D0D-94C9-F169918559A1}"/>
            </a:ext>
          </a:extLst>
        </xdr:cNvPr>
        <xdr:cNvSpPr/>
      </xdr:nvSpPr>
      <xdr:spPr>
        <a:xfrm rot="5008302">
          <a:off x="773904" y="3196828"/>
          <a:ext cx="345424" cy="184785"/>
        </a:xfrm>
        <a:prstGeom prst="rect">
          <a:avLst/>
        </a:prstGeom>
        <a:noFill/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13</xdr:col>
      <xdr:colOff>41671</xdr:colOff>
      <xdr:row>27</xdr:row>
      <xdr:rowOff>71438</xdr:rowOff>
    </xdr:from>
    <xdr:to>
      <xdr:col>14</xdr:col>
      <xdr:colOff>179620</xdr:colOff>
      <xdr:row>31</xdr:row>
      <xdr:rowOff>46393</xdr:rowOff>
    </xdr:to>
    <xdr:sp macro="" textlink="">
      <xdr:nvSpPr>
        <xdr:cNvPr id="239" name="Rectangle 238">
          <a:extLst>
            <a:ext uri="{FF2B5EF4-FFF2-40B4-BE49-F238E27FC236}">
              <a16:creationId xmlns:a16="http://schemas.microsoft.com/office/drawing/2014/main" id="{D6AA9678-557B-4C04-8779-166AF0E37A06}"/>
            </a:ext>
          </a:extLst>
        </xdr:cNvPr>
        <xdr:cNvSpPr/>
      </xdr:nvSpPr>
      <xdr:spPr>
        <a:xfrm>
          <a:off x="4536280" y="4268391"/>
          <a:ext cx="518949" cy="582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CJ5-T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158353</xdr:colOff>
      <xdr:row>32</xdr:row>
      <xdr:rowOff>104775</xdr:rowOff>
    </xdr:from>
    <xdr:to>
      <xdr:col>18</xdr:col>
      <xdr:colOff>296302</xdr:colOff>
      <xdr:row>36</xdr:row>
      <xdr:rowOff>67824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04E86CCA-472B-4DC7-B67D-52FC649B9C31}"/>
            </a:ext>
          </a:extLst>
        </xdr:cNvPr>
        <xdr:cNvSpPr/>
      </xdr:nvSpPr>
      <xdr:spPr>
        <a:xfrm>
          <a:off x="6176962" y="5063728"/>
          <a:ext cx="518949" cy="582174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CJ5-T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CA1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CJ5-T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19</xdr:col>
      <xdr:colOff>196453</xdr:colOff>
      <xdr:row>35</xdr:row>
      <xdr:rowOff>65484</xdr:rowOff>
    </xdr:from>
    <xdr:to>
      <xdr:col>21</xdr:col>
      <xdr:colOff>5953</xdr:colOff>
      <xdr:row>41</xdr:row>
      <xdr:rowOff>95250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ADCF2F9F-C92D-4818-A852-F49BC934AFA8}"/>
            </a:ext>
          </a:extLst>
        </xdr:cNvPr>
        <xdr:cNvSpPr/>
      </xdr:nvSpPr>
      <xdr:spPr>
        <a:xfrm>
          <a:off x="6977062" y="5488781"/>
          <a:ext cx="571500" cy="970360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CJ5-T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CG105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P12C-2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C12-350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CA5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CG106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CM2-11M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267892</xdr:colOff>
      <xdr:row>25</xdr:row>
      <xdr:rowOff>101203</xdr:rowOff>
    </xdr:from>
    <xdr:to>
      <xdr:col>12</xdr:col>
      <xdr:colOff>84372</xdr:colOff>
      <xdr:row>31</xdr:row>
      <xdr:rowOff>17859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FE4F78B2-2A95-4A91-ACC7-90261D6CCAD4}"/>
            </a:ext>
          </a:extLst>
        </xdr:cNvPr>
        <xdr:cNvSpPr/>
      </xdr:nvSpPr>
      <xdr:spPr>
        <a:xfrm>
          <a:off x="3619501" y="3988594"/>
          <a:ext cx="578480" cy="833437"/>
        </a:xfrm>
        <a:prstGeom prst="rect">
          <a:avLst/>
        </a:prstGeom>
        <a:solidFill>
          <a:schemeClr val="bg1"/>
        </a:solidFill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C9-200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CJ5-T</a:t>
          </a:r>
        </a:p>
        <a:p>
          <a:pPr algn="l"/>
          <a:r>
            <a:rPr lang="en-US" sz="600" strike="sngStrike" baseline="0">
              <a:solidFill>
                <a:sysClr val="windowText" lastClr="000000"/>
              </a:solidFill>
            </a:rPr>
            <a:t>1 P12C-2</a:t>
          </a:r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C12-350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CA5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CG106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2 CM2-11M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145164</xdr:colOff>
      <xdr:row>22</xdr:row>
      <xdr:rowOff>41212</xdr:rowOff>
    </xdr:from>
    <xdr:to>
      <xdr:col>3</xdr:col>
      <xdr:colOff>227135</xdr:colOff>
      <xdr:row>28</xdr:row>
      <xdr:rowOff>146536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40C98DF1-C044-4F16-A340-16EF723729A1}"/>
            </a:ext>
          </a:extLst>
        </xdr:cNvPr>
        <xdr:cNvSpPr/>
      </xdr:nvSpPr>
      <xdr:spPr>
        <a:xfrm>
          <a:off x="335664" y="3448231"/>
          <a:ext cx="580202" cy="1028517"/>
        </a:xfrm>
        <a:prstGeom prst="rect">
          <a:avLst/>
        </a:prstGeom>
        <a:solidFill>
          <a:schemeClr val="bg1"/>
        </a:solidFill>
        <a:ln w="63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br>
            <a:rPr lang="en-US" sz="600">
              <a:solidFill>
                <a:sysClr val="windowText" lastClr="000000"/>
              </a:solidFill>
            </a:rPr>
          </a:br>
          <a:r>
            <a:rPr lang="en-US" sz="600">
              <a:solidFill>
                <a:srgbClr val="FF0000"/>
              </a:solidFill>
            </a:rPr>
            <a:t>1</a:t>
          </a:r>
          <a:r>
            <a:rPr lang="en-US" sz="600" baseline="0">
              <a:solidFill>
                <a:srgbClr val="FF0000"/>
              </a:solidFill>
            </a:rPr>
            <a:t> C12-200 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CE1-3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F1-3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600" baseline="0">
              <a:solidFill>
                <a:srgbClr val="FF0000"/>
              </a:solidFill>
            </a:rPr>
            <a:t>1 MJ6-T</a:t>
          </a:r>
          <a:endParaRPr lang="en-US" sz="6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300404</xdr:colOff>
      <xdr:row>24</xdr:row>
      <xdr:rowOff>109</xdr:rowOff>
    </xdr:from>
    <xdr:to>
      <xdr:col>3</xdr:col>
      <xdr:colOff>307731</xdr:colOff>
      <xdr:row>25</xdr:row>
      <xdr:rowOff>80596</xdr:rowOff>
    </xdr:to>
    <xdr:cxnSp macro="">
      <xdr:nvCxnSpPr>
        <xdr:cNvPr id="244" name="Straight Arrow Connector 243">
          <a:extLst>
            <a:ext uri="{FF2B5EF4-FFF2-40B4-BE49-F238E27FC236}">
              <a16:creationId xmlns:a16="http://schemas.microsoft.com/office/drawing/2014/main" id="{60C3EB01-572E-4D10-AD51-863790DA5798}"/>
            </a:ext>
          </a:extLst>
        </xdr:cNvPr>
        <xdr:cNvCxnSpPr/>
      </xdr:nvCxnSpPr>
      <xdr:spPr>
        <a:xfrm flipH="1">
          <a:off x="989135" y="3714859"/>
          <a:ext cx="7327" cy="2343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612321</xdr:colOff>
      <xdr:row>7</xdr:row>
      <xdr:rowOff>95250</xdr:rowOff>
    </xdr:from>
    <xdr:to>
      <xdr:col>22</xdr:col>
      <xdr:colOff>149678</xdr:colOff>
      <xdr:row>53</xdr:row>
      <xdr:rowOff>3617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D6FB05-8128-5CF3-62D9-55478222F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178" y="1387929"/>
          <a:ext cx="12015107" cy="74195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5" t="s">
        <v>1134</v>
      </c>
      <c r="C4" s="535"/>
      <c r="D4" s="535"/>
      <c r="E4" s="535"/>
      <c r="F4" s="535"/>
      <c r="G4" s="535"/>
      <c r="H4" s="53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6" t="s">
        <v>0</v>
      </c>
      <c r="C7" s="536" t="s">
        <v>1</v>
      </c>
      <c r="D7" s="537" t="s">
        <v>42</v>
      </c>
      <c r="E7" s="537" t="s">
        <v>43</v>
      </c>
      <c r="F7" s="537" t="s">
        <v>1135</v>
      </c>
      <c r="G7" s="538" t="s">
        <v>41</v>
      </c>
      <c r="H7" s="534" t="s">
        <v>1042</v>
      </c>
      <c r="I7" s="534" t="s">
        <v>1137</v>
      </c>
      <c r="J7" s="534" t="s">
        <v>1026</v>
      </c>
      <c r="K7" s="528" t="s">
        <v>1024</v>
      </c>
      <c r="L7" s="529"/>
    </row>
    <row r="8" spans="1:12" ht="15" customHeight="1">
      <c r="B8" s="536"/>
      <c r="C8" s="536"/>
      <c r="D8" s="537"/>
      <c r="E8" s="537"/>
      <c r="F8" s="537"/>
      <c r="G8" s="538"/>
      <c r="H8" s="534"/>
      <c r="I8" s="534"/>
      <c r="J8" s="534"/>
      <c r="K8" s="530"/>
      <c r="L8" s="531"/>
    </row>
    <row r="9" spans="1:12" ht="15" customHeight="1">
      <c r="B9" s="536"/>
      <c r="C9" s="536"/>
      <c r="D9" s="537"/>
      <c r="E9" s="537"/>
      <c r="F9" s="537"/>
      <c r="G9" s="538"/>
      <c r="H9" s="534"/>
      <c r="I9" s="534"/>
      <c r="J9" s="534"/>
      <c r="K9" s="532"/>
      <c r="L9" s="53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Line Post ) 20 KV Polymer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176900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Strainkap Porcelain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430000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150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420</v>
      </c>
      <c r="G19" s="41">
        <f ca="1">IF(ISERROR(OFFSET('HARGA SATUAN'!$I$6,MATCH(C19,'HARGA SATUAN'!$C$7:$C$1492,0),0)),"",OFFSET('HARGA SATUAN'!$I$6,MATCH(C19,'HARGA SATUAN'!$C$7:$C$1492,0),0))</f>
        <v>25300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2 x 70 + N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50</v>
      </c>
      <c r="G20" s="41">
        <f ca="1">IF(ISERROR(OFFSET('HARGA SATUAN'!$I$6,MATCH(C20,'HARGA SATUAN'!$C$7:$C$1492,0),0)),"",OFFSET('HARGA SATUAN'!$I$6,MATCH(C20,'HARGA SATUAN'!$C$7:$C$1492,0),0))</f>
        <v>53300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 2 x 16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35</v>
      </c>
      <c r="G21" s="41">
        <f ca="1">IF(ISERROR(OFFSET('HARGA SATUAN'!$I$6,MATCH(C21,'HARGA SATUAN'!$C$7:$C$1492,0),0)),"",OFFSET('HARGA SATUAN'!$I$6,MATCH(C21,'HARGA SATUAN'!$C$7:$C$1492,0),0))</f>
        <v>6600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SUMIFS(RAB!$F$14:$F$135,RAB!$C$14:$C$135,C714)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SUMIFS(RAB!$F$14:$F$135,RAB!$C$14:$C$135,C715)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SUMIFS(RAB!$F$14:$F$135,RAB!$C$14:$C$135,C716)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SUMIFS(RAB!$F$14:$F$135,RAB!$C$14:$C$135,C717)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SUMIFS(RAB!$F$14:$F$135,RAB!$C$14:$C$135,C718)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SUMIFS(RAB!$F$14:$F$135,RAB!$C$14:$C$135,C719)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SUMIFS(RAB!$F$14:$F$135,RAB!$C$14:$C$135,C720)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SUMIFS(RAB!$F$14:$F$135,RAB!$C$14:$C$135,C721)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SUMIFS(RAB!$F$14:$F$135,RAB!$C$14:$C$135,C722)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SUMIFS(RAB!$F$14:$F$135,RAB!$C$14:$C$135,C723)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SUMIFS(RAB!$F$14:$F$135,RAB!$C$14:$C$135,C724)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SUMIFS(RAB!$F$14:$F$135,RAB!$C$14:$C$135,C725)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SUMIFS(RAB!$F$14:$F$135,RAB!$C$14:$C$135,C726)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SUMIFS(RAB!$F$14:$F$135,RAB!$C$14:$C$135,C727)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SUMIFS(RAB!$F$14:$F$135,RAB!$C$14:$C$135,C728)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SUMIFS(RAB!$F$14:$F$135,RAB!$C$14:$C$135,C729)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SUMIFS(RAB!$F$14:$F$135,RAB!$C$14:$C$135,C730)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SUMIFS(RAB!$F$14:$F$135,RAB!$C$14:$C$135,C731)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SUMIFS(RAB!$F$14:$F$135,RAB!$C$14:$C$135,C732)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SUMIFS(RAB!$F$14:$F$135,RAB!$C$14:$C$135,C733)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SUMIFS(RAB!$F$14:$F$135,RAB!$C$14:$C$135,C734)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SUMIFS(RAB!$F$14:$F$135,RAB!$C$14:$C$135,C735)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SUMIFS(RAB!$F$14:$F$135,RAB!$C$14:$C$135,C736)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SUMIFS(RAB!$F$14:$F$135,RAB!$C$14:$C$135,C737)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SUMIFS(RAB!$F$14:$F$135,RAB!$C$14:$C$135,C738)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SUMIFS(RAB!$F$14:$F$135,RAB!$C$14:$C$135,C739)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SUMIFS(RAB!$F$14:$F$135,RAB!$C$14:$C$135,C740)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SUMIFS(RAB!$F$14:$F$135,RAB!$C$14:$C$135,C741)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SUMIFS(RAB!$F$14:$F$135,RAB!$C$14:$C$135,C742)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SUMIFS(RAB!$F$14:$F$135,RAB!$C$14:$C$135,C743)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SUMIFS(RAB!$F$14:$F$135,RAB!$C$14:$C$135,C744)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SUMIFS(RAB!$F$14:$F$135,RAB!$C$14:$C$135,C745)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SUMIFS(RAB!$F$14:$F$135,RAB!$C$14:$C$135,C746)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SUMIFS(RAB!$F$14:$F$135,RAB!$C$14:$C$135,C747)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SUMIFS(RAB!$F$14:$F$135,RAB!$C$14:$C$135,C748)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SUMIFS(RAB!$F$14:$F$135,RAB!$C$14:$C$135,C749)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SUMIFS(RAB!$F$14:$F$135,RAB!$C$14:$C$135,C750)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SUMIFS(RAB!$F$14:$F$135,RAB!$C$14:$C$135,C751)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SUMIFS(RAB!$F$14:$F$135,RAB!$C$14:$C$135,C752)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SUMIFS(RAB!$F$14:$F$135,RAB!$C$14:$C$135,C753)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SUMIFS(RAB!$F$14:$F$135,RAB!$C$14:$C$135,C754)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SUMIFS(RAB!$F$14:$F$135,RAB!$C$14:$C$135,C755)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SUMIFS(RAB!$F$14:$F$135,RAB!$C$14:$C$135,C756)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SUMIFS(RAB!$F$14:$F$135,RAB!$C$14:$C$135,C757)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SUMIFS(RAB!$F$14:$F$135,RAB!$C$14:$C$135,C758)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SUMIFS(RAB!$F$14:$F$135,RAB!$C$14:$C$135,C759)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SUMIFS(RAB!$F$14:$F$135,RAB!$C$14:$C$135,C760)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SUMIFS(RAB!$F$14:$F$135,RAB!$C$14:$C$135,C761)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SUMIFS(RAB!$F$14:$F$135,RAB!$C$14:$C$135,C762)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SUMIFS(RAB!$F$14:$F$135,RAB!$C$14:$C$135,C763)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SUMIFS(RAB!$F$14:$F$135,RAB!$C$14:$C$135,C764)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SUMIFS(RAB!$F$14:$F$135,RAB!$C$14:$C$135,C765)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SUMIFS(RAB!$F$14:$F$135,RAB!$C$14:$C$135,C766)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SUMIFS(RAB!$F$14:$F$135,RAB!$C$14:$C$135,C767)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SUMIFS(RAB!$F$14:$F$135,RAB!$C$14:$C$135,C768)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SUMIFS(RAB!$F$14:$F$135,RAB!$C$14:$C$135,C769)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SUMIFS(RAB!$F$14:$F$135,RAB!$C$14:$C$135,C770)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SUMIFS(RAB!$F$14:$F$135,RAB!$C$14:$C$135,C771)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SUMIFS(RAB!$F$14:$F$135,RAB!$C$14:$C$135,C772)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SUMIFS(RAB!$F$14:$F$135,RAB!$C$14:$C$135,C773)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SUMIFS(RAB!$F$14:$F$135,RAB!$C$14:$C$135,C774)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SUMIFS(RAB!$F$14:$F$135,RAB!$C$14:$C$135,C775)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SUMIFS(RAB!$F$14:$F$135,RAB!$C$14:$C$135,C776)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SUMIFS(RAB!$F$14:$F$135,RAB!$C$14:$C$135,C777)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SUMIFS(RAB!$F$14:$F$135,RAB!$C$14:$C$135,C778)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SUMIFS(RAB!$F$14:$F$135,RAB!$C$14:$C$135,C779)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SUMIFS(RAB!$F$14:$F$135,RAB!$C$14:$C$135,C780)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SUMIFS(RAB!$F$14:$F$135,RAB!$C$14:$C$135,C781)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SUMIFS(RAB!$F$14:$F$135,RAB!$C$14:$C$135,C782)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SUMIFS(RAB!$F$14:$F$135,RAB!$C$14:$C$135,C783)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SUMIFS(RAB!$F$14:$F$135,RAB!$C$14:$C$135,C784)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SUMIFS(RAB!$F$14:$F$135,RAB!$C$14:$C$135,C785)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SUMIFS(RAB!$F$14:$F$135,RAB!$C$14:$C$135,C786)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SUMIFS(RAB!$F$14:$F$135,RAB!$C$14:$C$135,C787)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SUMIFS(RAB!$F$14:$F$135,RAB!$C$14:$C$135,C788)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SUMIFS(RAB!$F$14:$F$135,RAB!$C$14:$C$135,C789)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SUMIFS(RAB!$F$14:$F$135,RAB!$C$14:$C$135,C790)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SUMIFS(RAB!$F$14:$F$135,RAB!$C$14:$C$135,C791)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SUMIFS(RAB!$F$14:$F$135,RAB!$C$14:$C$135,C792)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SUMIFS(RAB!$F$14:$F$135,RAB!$C$14:$C$135,C793)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SUMIFS(RAB!$F$14:$F$135,RAB!$C$14:$C$135,C794)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SUMIFS(RAB!$F$14:$F$135,RAB!$C$14:$C$135,C795)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SUMIFS(RAB!$F$14:$F$135,RAB!$C$14:$C$135,C796)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SUMIFS(RAB!$F$14:$F$135,RAB!$C$14:$C$135,C797)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SUMIFS(RAB!$F$14:$F$135,RAB!$C$14:$C$135,C798)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SUMIFS(RAB!$F$14:$F$135,RAB!$C$14:$C$135,C799)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SUMIFS(RAB!$F$14:$F$135,RAB!$C$14:$C$135,C800)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SUMIFS(RAB!$F$14:$F$135,RAB!$C$14:$C$135,C801)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SUMIFS(RAB!$F$14:$F$135,RAB!$C$14:$C$135,C802)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SUMIFS(RAB!$F$14:$F$135,RAB!$C$14:$C$135,C803)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SUMIFS(RAB!$F$14:$F$135,RAB!$C$14:$C$135,C804)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SUMIFS(RAB!$F$14:$F$135,RAB!$C$14:$C$135,C805)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SUMIFS(RAB!$F$14:$F$135,RAB!$C$14:$C$135,C806)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SUMIFS(RAB!$F$14:$F$135,RAB!$C$14:$C$135,C807)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SUMIFS(RAB!$F$14:$F$135,RAB!$C$14:$C$135,C808)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SUMIFS(RAB!$F$14:$F$135,RAB!$C$14:$C$135,C809)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SUMIFS(RAB!$F$14:$F$135,RAB!$C$14:$C$135,C810)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SUMIFS(RAB!$F$14:$F$135,RAB!$C$14:$C$135,C811)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SUMIFS(RAB!$F$14:$F$135,RAB!$C$14:$C$135,C812)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SUMIFS(RAB!$F$14:$F$135,RAB!$C$14:$C$135,C813)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SUMIFS(RAB!$F$14:$F$135,RAB!$C$14:$C$135,C814)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SUMIFS(RAB!$F$14:$F$135,RAB!$C$14:$C$135,C815)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SUMIFS(RAB!$F$14:$F$135,RAB!$C$14:$C$135,C816)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SUMIFS(RAB!$F$14:$F$135,RAB!$C$14:$C$135,C817)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SUMIFS(RAB!$F$14:$F$135,RAB!$C$14:$C$135,C818)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SUMIFS(RAB!$F$14:$F$135,RAB!$C$14:$C$135,C819)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SUMIFS(RAB!$F$14:$F$135,RAB!$C$14:$C$135,C820)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SUMIFS(RAB!$F$14:$F$135,RAB!$C$14:$C$135,C821)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SUMIFS(RAB!$F$14:$F$135,RAB!$C$14:$C$135,C822)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SUMIFS(RAB!$F$14:$F$135,RAB!$C$14:$C$135,C823)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SUMIFS(RAB!$F$14:$F$135,RAB!$C$14:$C$135,C824)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SUMIFS(RAB!$F$14:$F$135,RAB!$C$14:$C$135,C825)</f>
        <v>3</v>
      </c>
      <c r="E825" s="26">
        <f t="shared" ca="1" si="34"/>
        <v>1</v>
      </c>
      <c r="F825" s="26">
        <f ca="1">IF(D825=0,0,SUM($E$713:E825))</f>
        <v>5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SUMIFS(RAB!$F$14:$F$135,RAB!$C$14:$C$135,C826)</f>
        <v>3</v>
      </c>
      <c r="E826" s="26">
        <f t="shared" ca="1" si="34"/>
        <v>1</v>
      </c>
      <c r="F826" s="26">
        <f ca="1">IF(D826=0,0,SUM($E$713:E826))</f>
        <v>6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SUMIFS(RAB!$F$14:$F$135,RAB!$C$14:$C$135,C827)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SUMIFS(RAB!$F$14:$F$135,RAB!$C$14:$C$135,C828)</f>
        <v>2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SUMIFS(RAB!$F$14:$F$135,RAB!$C$14:$C$135,C829)</f>
        <v>420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SUMIFS(RAB!$F$14:$F$135,RAB!$C$14:$C$135,C830)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SUMIFS(RAB!$F$14:$F$135,RAB!$C$14:$C$135,C831)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SUMIFS(RAB!$F$14:$F$135,RAB!$C$14:$C$135,C832)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SUMIFS(RAB!$F$14:$F$135,RAB!$C$14:$C$135,C833)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SUMIFS(RAB!$F$14:$F$135,RAB!$C$14:$C$135,C834)</f>
        <v>50</v>
      </c>
      <c r="E834" s="26">
        <f t="shared" ca="1" si="34"/>
        <v>1</v>
      </c>
      <c r="F834" s="26">
        <f ca="1">IF(D834=0,0,SUM($E$713:E834))</f>
        <v>9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SUMIFS(RAB!$F$14:$F$135,RAB!$C$14:$C$135,C835)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SUMIFS(RAB!$F$14:$F$135,RAB!$C$14:$C$135,C836)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SUMIFS(RAB!$F$14:$F$135,RAB!$C$14:$C$135,C837)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SUMIFS(RAB!$F$14:$F$135,RAB!$C$14:$C$135,C838)</f>
        <v>35</v>
      </c>
      <c r="E838" s="26">
        <f t="shared" ca="1" si="34"/>
        <v>1</v>
      </c>
      <c r="F838" s="26">
        <f ca="1">IF(D838=0,0,SUM($E$713:E838))</f>
        <v>10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SUMIFS(RAB!$F$14:$F$135,RAB!$C$14:$C$135,C839)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SUMIFS(RAB!$F$14:$F$135,RAB!$C$14:$C$135,C840)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SUMIFS(RAB!$F$14:$F$135,RAB!$C$14:$C$135,C841)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SUMIFS(RAB!$F$14:$F$135,RAB!$C$14:$C$135,C842)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SUMIFS(RAB!$F$14:$F$135,RAB!$C$14:$C$135,C843)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SUMIFS(RAB!$F$14:$F$135,RAB!$C$14:$C$135,C844)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SUMIFS(RAB!$F$14:$F$135,RAB!$C$14:$C$135,C845)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SUMIFS(RAB!$F$14:$F$135,RAB!$C$14:$C$135,C846)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SUMIFS(RAB!$F$14:$F$135,RAB!$C$14:$C$135,C847)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SUMIFS(RAB!$F$14:$F$135,RAB!$C$14:$C$135,C848)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SUMIFS(RAB!$F$14:$F$135,RAB!$C$14:$C$135,C849)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SUMIFS(RAB!$F$14:$F$135,RAB!$C$14:$C$135,C850)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SUMIFS(RAB!$F$14:$F$135,RAB!$C$14:$C$135,C851)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SUMIFS(RAB!$F$14:$F$135,RAB!$C$14:$C$135,C852)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SUMIFS(RAB!$F$14:$F$135,RAB!$C$14:$C$135,C853)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SUMIFS(RAB!$F$14:$F$135,RAB!$C$14:$C$135,C854)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SUMIFS(RAB!$F$14:$F$135,RAB!$C$14:$C$135,C855)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SUMIFS(RAB!$F$14:$F$135,RAB!$C$14:$C$135,C856)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SUMIFS(RAB!$F$14:$F$135,RAB!$C$14:$C$135,C857)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SUMIFS(RAB!$F$14:$F$135,RAB!$C$14:$C$135,C858)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SUMIFS(RAB!$F$14:$F$135,RAB!$C$14:$C$135,C859)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SUMIFS(RAB!$F$14:$F$135,RAB!$C$14:$C$135,C860)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SUMIFS(RAB!$F$14:$F$135,RAB!$C$14:$C$135,C861)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SUMIFS(RAB!$F$14:$F$135,RAB!$C$14:$C$135,C862)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SUMIFS(RAB!$F$14:$F$135,RAB!$C$14:$C$135,C863)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SUMIFS(RAB!$F$14:$F$135,RAB!$C$14:$C$135,C864)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SUMIFS(RAB!$F$14:$F$135,RAB!$C$14:$C$135,C865)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SUMIFS(RAB!$F$14:$F$135,RAB!$C$14:$C$135,C866)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SUMIFS(RAB!$F$14:$F$135,RAB!$C$14:$C$135,C867)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SUMIFS(RAB!$F$14:$F$135,RAB!$C$14:$C$135,C868)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SUMIFS(RAB!$F$14:$F$135,RAB!$C$14:$C$135,C869)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SUMIFS(RAB!$F$14:$F$135,RAB!$C$14:$C$135,C870)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SUMIFS(RAB!$F$14:$F$135,RAB!$C$14:$C$135,C871)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SUMIFS(RAB!$F$14:$F$135,RAB!$C$14:$C$135,C872)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SUMIFS(RAB!$F$14:$F$135,RAB!$C$14:$C$135,C873)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SUMIFS(RAB!$F$14:$F$135,RAB!$C$14:$C$135,C874)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SUMIFS(RAB!$F$14:$F$135,RAB!$C$14:$C$135,C875)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SUMIFS(RAB!$F$14:$F$135,RAB!$C$14:$C$135,C876)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SUMIFS(RAB!$F$14:$F$135,RAB!$C$14:$C$135,C877)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SUMIFS(RAB!$F$14:$F$135,RAB!$C$14:$C$135,C878)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SUMIFS(RAB!$F$14:$F$135,RAB!$C$14:$C$135,C879)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SUMIFS(RAB!$F$14:$F$135,RAB!$C$14:$C$135,C880)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SUMIFS(RAB!$F$14:$F$135,RAB!$C$14:$C$135,C881)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SUMIFS(RAB!$F$14:$F$135,RAB!$C$14:$C$135,C882)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SUMIFS(RAB!$F$14:$F$135,RAB!$C$14:$C$135,C883)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SUMIFS(RAB!$F$14:$F$135,RAB!$C$14:$C$135,C884)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SUMIFS(RAB!$F$14:$F$135,RAB!$C$14:$C$135,C885)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SUMIFS(RAB!$F$14:$F$135,RAB!$C$14:$C$135,C886)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SUMIFS(RAB!$F$14:$F$135,RAB!$C$14:$C$135,C887)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SUMIFS(RAB!$F$14:$F$135,RAB!$C$14:$C$135,C888)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SUMIFS(RAB!$F$14:$F$135,RAB!$C$14:$C$135,C889)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SUMIFS(RAB!$F$14:$F$135,RAB!$C$14:$C$135,C890)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SUMIFS(RAB!$F$14:$F$135,RAB!$C$14:$C$135,C891)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SUMIFS(RAB!$F$14:$F$135,RAB!$C$14:$C$135,C892)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SUMIFS(RAB!$F$14:$F$135,RAB!$C$14:$C$135,C893)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SUMIFS(RAB!$F$14:$F$135,RAB!$C$14:$C$135,C894)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SUMIFS(RAB!$F$14:$F$135,RAB!$C$14:$C$135,C895)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SUMIFS(RAB!$F$14:$F$135,RAB!$C$14:$C$135,C896)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SUMIFS(RAB!$F$14:$F$135,RAB!$C$14:$C$135,C897)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SUMIFS(RAB!$F$14:$F$135,RAB!$C$14:$C$135,C898)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SUMIFS(RAB!$F$14:$F$135,RAB!$C$14:$C$135,C899)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SUMIFS(RAB!$F$14:$F$135,RAB!$C$14:$C$135,C900)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SUMIFS(RAB!$F$14:$F$135,RAB!$C$14:$C$135,C901)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SUMIFS(RAB!$F$14:$F$135,RAB!$C$14:$C$135,C902)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SUMIFS(RAB!$F$14:$F$135,RAB!$C$14:$C$135,C903)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SUMIFS(RAB!$F$14:$F$135,RAB!$C$14:$C$135,C904)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SUMIFS(RAB!$F$14:$F$135,RAB!$C$14:$C$135,C905)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SUMIFS(RAB!$F$14:$F$135,RAB!$C$14:$C$135,C906)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SUMIFS(RAB!$F$14:$F$135,RAB!$C$14:$C$135,C907)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SUMIFS(RAB!$F$14:$F$135,RAB!$C$14:$C$135,C908)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SUMIFS(RAB!$F$14:$F$135,RAB!$C$14:$C$135,C909)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SUMIFS(RAB!$F$14:$F$135,RAB!$C$14:$C$135,C910)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SUMIFS(RAB!$F$14:$F$135,RAB!$C$14:$C$135,C911)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SUMIFS(RAB!$F$14:$F$135,RAB!$C$14:$C$135,C912)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SUMIFS(RAB!$F$14:$F$135,RAB!$C$14:$C$135,C913)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SUMIFS(RAB!$F$14:$F$135,RAB!$C$14:$C$135,C914)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SUMIFS(RAB!$F$14:$F$135,RAB!$C$14:$C$135,C915)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SUMIFS(RAB!$F$14:$F$135,RAB!$C$14:$C$135,C916)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SUMIFS(RAB!$F$14:$F$135,RAB!$C$14:$C$135,C917)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SUMIFS(RAB!$F$14:$F$135,RAB!$C$14:$C$135,C918)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SUMIFS(RAB!$F$14:$F$135,RAB!$C$14:$C$135,C919)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SUMIFS(RAB!$F$14:$F$135,RAB!$C$14:$C$135,C920)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SUMIFS(RAB!$F$14:$F$135,RAB!$C$14:$C$135,C921)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SUMIFS(RAB!$F$14:$F$135,RAB!$C$14:$C$135,C922)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SUMIFS(RAB!$F$14:$F$135,RAB!$C$14:$C$135,C923)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SUMIFS(RAB!$F$14:$F$135,RAB!$C$14:$C$135,C924)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SUMIFS(RAB!$F$14:$F$135,RAB!$C$14:$C$135,C925)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SUMIFS(RAB!$F$14:$F$135,RAB!$C$14:$C$135,C926)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SUMIFS(RAB!$F$14:$F$135,RAB!$C$14:$C$135,C927)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SUMIFS(RAB!$F$14:$F$135,RAB!$C$14:$C$135,C928)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SUMIFS(RAB!$F$14:$F$135,RAB!$C$14:$C$135,C929)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SUMIFS(RAB!$F$14:$F$135,RAB!$C$14:$C$135,C930)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SUMIFS(RAB!$F$14:$F$135,RAB!$C$14:$C$135,C931)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SUMIFS(RAB!$F$14:$F$135,RAB!$C$14:$C$135,C932)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SUMIFS(RAB!$F$14:$F$135,RAB!$C$14:$C$135,C933)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SUMIFS(RAB!$F$14:$F$135,RAB!$C$14:$C$135,C934)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SUMIFS(RAB!$F$14:$F$135,RAB!$C$14:$C$135,C935)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SUMIFS(RAB!$F$14:$F$135,RAB!$C$14:$C$135,C936)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SUMIFS(RAB!$F$14:$F$135,RAB!$C$14:$C$135,C937)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SUMIFS(RAB!$F$14:$F$135,RAB!$C$14:$C$135,C938)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SUMIFS(RAB!$F$14:$F$135,RAB!$C$14:$C$135,C939)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SUMIFS(RAB!$F$14:$F$135,RAB!$C$14:$C$135,C940)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SUMIFS(RAB!$F$14:$F$135,RAB!$C$14:$C$135,C941)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SUMIFS(RAB!$F$14:$F$135,RAB!$C$14:$C$135,C942)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SUMIFS(RAB!$F$14:$F$135,RAB!$C$14:$C$135,C943)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SUMIFS(RAB!$F$14:$F$135,RAB!$C$14:$C$135,C944)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SUMIFS(RAB!$F$14:$F$135,RAB!$C$14:$C$135,C945)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SUMIFS(RAB!$F$14:$F$135,RAB!$C$14:$C$135,C946)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SUMIFS(RAB!$F$14:$F$135,RAB!$C$14:$C$135,C947)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SUMIFS(RAB!$F$14:$F$135,RAB!$C$14:$C$135,C948)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SUMIFS(RAB!$F$14:$F$135,RAB!$C$14:$C$135,C949)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SUMIFS(RAB!$F$14:$F$135,RAB!$C$14:$C$135,C950)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SUMIFS(RAB!$F$14:$F$135,RAB!$C$14:$C$135,C951)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SUMIFS(RAB!$F$14:$F$135,RAB!$C$14:$C$135,C952)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SUMIFS(RAB!$F$14:$F$135,RAB!$C$14:$C$135,C953)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SUMIFS(RAB!$F$14:$F$135,RAB!$C$14:$C$135,C954)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SUMIFS(RAB!$F$14:$F$135,RAB!$C$14:$C$135,C955)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SUMIFS(RAB!$F$14:$F$135,RAB!$C$14:$C$135,C956)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SUMIFS(RAB!$F$14:$F$135,RAB!$C$14:$C$135,C957)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SUMIFS(RAB!$F$14:$F$135,RAB!$C$14:$C$135,C958)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SUMIFS(RAB!$F$14:$F$135,RAB!$C$14:$C$135,C959)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SUMIFS(RAB!$F$14:$F$135,RAB!$C$14:$C$135,C960)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SUMIFS(RAB!$F$14:$F$135,RAB!$C$14:$C$135,C961)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SUMIFS(RAB!$F$14:$F$135,RAB!$C$14:$C$135,C962)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SUMIFS(RAB!$F$14:$F$135,RAB!$C$14:$C$135,C963)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SUMIFS(RAB!$F$14:$F$135,RAB!$C$14:$C$135,C964)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SUMIFS(RAB!$F$14:$F$135,RAB!$C$14:$C$135,C965)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SUMIFS(RAB!$F$14:$F$135,RAB!$C$14:$C$135,C966)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SUMIFS(RAB!$F$14:$F$135,RAB!$C$14:$C$135,C967)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SUMIFS(RAB!$F$14:$F$135,RAB!$C$14:$C$135,C968)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SUMIFS(RAB!$F$14:$F$135,RAB!$C$14:$C$135,C969)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SUMIFS(RAB!$F$14:$F$135,RAB!$C$14:$C$135,C970)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SUMIFS(RAB!$F$14:$F$135,RAB!$C$14:$C$135,C971)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SUMIFS(RAB!$F$14:$F$135,RAB!$C$14:$C$135,C972)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SUMIFS(RAB!$F$14:$F$135,RAB!$C$14:$C$135,C973)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SUMIFS(RAB!$F$14:$F$135,RAB!$C$14:$C$135,C974)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SUMIFS(RAB!$F$14:$F$135,RAB!$C$14:$C$135,C975)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SUMIFS(RAB!$F$14:$F$135,RAB!$C$14:$C$135,C976)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SUMIFS(RAB!$F$14:$F$135,RAB!$C$14:$C$135,C977)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SUMIFS(RAB!$F$14:$F$135,RAB!$C$14:$C$135,C978)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SUMIFS(RAB!$F$14:$F$135,RAB!$C$14:$C$135,C979)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SUMIFS(RAB!$F$14:$F$135,RAB!$C$14:$C$135,C980)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SUMIFS(RAB!$F$14:$F$135,RAB!$C$14:$C$135,C981)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SUMIFS(RAB!$F$14:$F$135,RAB!$C$14:$C$135,C982)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SUMIFS(RAB!$F$14:$F$135,RAB!$C$14:$C$135,C983)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SUMIFS(RAB!$F$14:$F$135,RAB!$C$14:$C$135,C984)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SUMIFS(RAB!$F$14:$F$135,RAB!$C$14:$C$135,C985)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SUMIFS(RAB!$F$14:$F$135,RAB!$C$14:$C$135,C986)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SUMIFS(RAB!$F$14:$F$135,RAB!$C$14:$C$135,C987)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SUMIFS(RAB!$F$14:$F$135,RAB!$C$14:$C$135,C988)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SUMIFS(RAB!$F$14:$F$135,RAB!$C$14:$C$135,C989)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SUMIFS(RAB!$F$14:$F$135,RAB!$C$14:$C$135,C990)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SUMIFS(RAB!$F$14:$F$135,RAB!$C$14:$C$135,C991)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SUMIFS(RAB!$F$14:$F$135,RAB!$C$14:$C$135,C992)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SUMIFS(RAB!$F$14:$F$135,RAB!$C$14:$C$135,C993)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SUMIFS(RAB!$F$14:$F$135,RAB!$C$14:$C$135,C994)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SUMIFS(RAB!$F$14:$F$135,RAB!$C$14:$C$135,C995)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SUMIFS(RAB!$F$14:$F$135,RAB!$C$14:$C$135,C996)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SUMIFS(RAB!$F$14:$F$135,RAB!$C$14:$C$135,C997)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SUMIFS(RAB!$F$14:$F$135,RAB!$C$14:$C$135,C998)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SUMIFS(RAB!$F$14:$F$135,RAB!$C$14:$C$135,C999)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SUMIFS(RAB!$F$14:$F$135,RAB!$C$14:$C$135,C1000)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SUMIFS(RAB!$F$14:$F$135,RAB!$C$14:$C$135,C1001)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SUMIFS(RAB!$F$14:$F$135,RAB!$C$14:$C$135,C1002)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SUMIFS(RAB!$F$14:$F$135,RAB!$C$14:$C$135,C1003)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SUMIFS(RAB!$F$14:$F$135,RAB!$C$14:$C$135,C1004)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SUMIFS(RAB!$F$14:$F$135,RAB!$C$14:$C$135,C1005)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SUMIFS(RAB!$F$14:$F$135,RAB!$C$14:$C$135,C1006)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SUMIFS(RAB!$F$14:$F$135,RAB!$C$14:$C$135,C1007)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SUMIFS(RAB!$F$14:$F$135,RAB!$C$14:$C$135,C1008)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SUMIFS(RAB!$F$14:$F$135,RAB!$C$14:$C$135,C1009)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SUMIFS(RAB!$F$14:$F$135,RAB!$C$14:$C$135,C1010)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SUMIFS(RAB!$F$14:$F$135,RAB!$C$14:$C$135,C1011)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SUMIFS(RAB!$F$14:$F$135,RAB!$C$14:$C$135,C1012)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SUMIFS(RAB!$F$14:$F$135,RAB!$C$14:$C$135,C1013)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SUMIFS(RAB!$F$14:$F$135,RAB!$C$14:$C$135,C1014)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SUMIFS(RAB!$F$14:$F$135,RAB!$C$14:$C$135,C1015)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SUMIFS(RAB!$F$14:$F$135,RAB!$C$14:$C$135,C1016)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SUMIFS(RAB!$F$14:$F$135,RAB!$C$14:$C$135,C1017)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SUMIFS(RAB!$F$14:$F$135,RAB!$C$14:$C$135,C1018)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SUMIFS(RAB!$F$14:$F$135,RAB!$C$14:$C$135,C1019)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SUMIFS(RAB!$F$14:$F$135,RAB!$C$14:$C$135,C1020)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SUMIFS(RAB!$F$14:$F$135,RAB!$C$14:$C$135,C1021)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SUMIFS(RAB!$F$14:$F$135,RAB!$C$14:$C$135,C1022)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SUMIFS(RAB!$F$14:$F$135,RAB!$C$14:$C$135,C1023)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SUMIFS(RAB!$F$14:$F$135,RAB!$C$14:$C$135,C1024)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SUMIFS(RAB!$F$14:$F$135,RAB!$C$14:$C$135,C1025)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SUMIFS(RAB!$F$14:$F$135,RAB!$C$14:$C$135,C1026)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SUMIFS(RAB!$F$14:$F$135,RAB!$C$14:$C$135,C1027)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SUMIFS(RAB!$F$14:$F$135,RAB!$C$14:$C$135,C1028)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SUMIFS(RAB!$F$14:$F$135,RAB!$C$14:$C$135,C1029)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SUMIFS(RAB!$F$14:$F$135,RAB!$C$14:$C$135,C1030)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SUMIFS(RAB!$F$14:$F$135,RAB!$C$14:$C$135,C1031)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SUMIFS(RAB!$F$14:$F$135,RAB!$C$14:$C$135,C1032)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SUMIFS(RAB!$F$14:$F$135,RAB!$C$14:$C$135,C1033)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SUMIFS(RAB!$F$14:$F$135,RAB!$C$14:$C$135,C1034)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SUMIFS(RAB!$F$14:$F$135,RAB!$C$14:$C$135,C1035)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SUMIFS(RAB!$F$14:$F$135,RAB!$C$14:$C$135,C1036)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SUMIFS(RAB!$F$14:$F$135,RAB!$C$14:$C$135,C1037)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SUMIFS(RAB!$F$14:$F$135,RAB!$C$14:$C$135,C1038)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SUMIFS(RAB!$F$14:$F$135,RAB!$C$14:$C$135,C1039)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SUMIFS(RAB!$F$14:$F$135,RAB!$C$14:$C$135,C1040)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SUMIFS(RAB!$F$14:$F$135,RAB!$C$14:$C$135,C1041)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SUMIFS(RAB!$F$14:$F$135,RAB!$C$14:$C$135,C1042)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SUMIFS(RAB!$F$14:$F$135,RAB!$C$14:$C$135,C1043)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SUMIFS(RAB!$F$14:$F$135,RAB!$C$14:$C$135,C1044)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SUMIFS(RAB!$F$14:$F$135,RAB!$C$14:$C$135,C1045)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SUMIFS(RAB!$F$14:$F$135,RAB!$C$14:$C$135,C1046)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SUMIFS(RAB!$F$14:$F$135,RAB!$C$14:$C$135,C1047)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SUMIFS(RAB!$F$14:$F$135,RAB!$C$14:$C$135,C1048)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SUMIFS(RAB!$F$14:$F$135,RAB!$C$14:$C$135,C1049)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SUMIFS(RAB!$F$14:$F$135,RAB!$C$14:$C$135,C1050)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SUMIFS(RAB!$F$14:$F$135,RAB!$C$14:$C$135,C1051)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SUMIFS(RAB!$F$14:$F$135,RAB!$C$14:$C$135,C1052)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SUMIFS(RAB!$F$14:$F$135,RAB!$C$14:$C$135,C1053)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SUMIFS(RAB!$F$14:$F$135,RAB!$C$14:$C$135,C1054)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SUMIFS(RAB!$F$14:$F$135,RAB!$C$14:$C$135,C1055)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SUMIFS(RAB!$F$14:$F$135,RAB!$C$14:$C$135,C1056)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SUMIFS(RAB!$F$14:$F$135,RAB!$C$14:$C$135,C1057)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SUMIFS(RAB!$F$14:$F$135,RAB!$C$14:$C$135,C1058)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SUMIFS(RAB!$F$14:$F$135,RAB!$C$14:$C$135,C1059)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SUMIFS(RAB!$F$14:$F$135,RAB!$C$14:$C$135,C1060)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SUMIFS(RAB!$F$14:$F$135,RAB!$C$14:$C$135,C1061)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SUMIFS(RAB!$F$14:$F$135,RAB!$C$14:$C$135,C1062)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SUMIFS(RAB!$F$14:$F$135,RAB!$C$14:$C$135,C1063)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SUMIFS(RAB!$F$14:$F$135,RAB!$C$14:$C$135,C1064)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SUMIFS(RAB!$F$14:$F$135,RAB!$C$14:$C$135,C1065)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SUMIFS(RAB!$F$14:$F$135,RAB!$C$14:$C$135,C1066)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SUMIFS(RAB!$F$14:$F$135,RAB!$C$14:$C$135,C1067)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SUMIFS(RAB!$F$14:$F$135,RAB!$C$14:$C$135,C1068)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SUMIFS(RAB!$F$14:$F$135,RAB!$C$14:$C$135,C1069)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SUMIFS(RAB!$F$14:$F$135,RAB!$C$14:$C$135,C1070)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SUMIFS(RAB!$F$14:$F$135,RAB!$C$14:$C$135,C1071)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SUMIFS(RAB!$F$14:$F$135,RAB!$C$14:$C$135,C1072)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SUMIFS(RAB!$F$14:$F$135,RAB!$C$14:$C$135,C1073)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SUMIFS(RAB!$F$14:$F$135,RAB!$C$14:$C$135,C1074)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SUMIFS(RAB!$F$14:$F$135,RAB!$C$14:$C$135,C1075)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SUMIFS(RAB!$F$14:$F$135,RAB!$C$14:$C$135,C1076)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SUMIFS(RAB!$F$14:$F$135,RAB!$C$14:$C$135,C1077)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SUMIFS(RAB!$F$14:$F$135,RAB!$C$14:$C$135,C1078)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SUMIFS(RAB!$F$14:$F$135,RAB!$C$14:$C$135,C1079)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SUMIFS(RAB!$F$14:$F$135,RAB!$C$14:$C$135,C1080)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SUMIFS(RAB!$F$14:$F$135,RAB!$C$14:$C$135,C1081)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SUMIFS(RAB!$F$14:$F$135,RAB!$C$14:$C$135,C1082)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SUMIFS(RAB!$F$14:$F$135,RAB!$C$14:$C$135,C1083)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SUMIFS(RAB!$F$14:$F$135,RAB!$C$14:$C$135,C1084)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SUMIFS(RAB!$F$14:$F$135,RAB!$C$14:$C$135,C1085)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SUMIFS(RAB!$F$14:$F$135,RAB!$C$14:$C$135,C1086)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SUMIFS(RAB!$F$14:$F$135,RAB!$C$14:$C$135,C1087)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SUMIFS(RAB!$F$14:$F$135,RAB!$C$14:$C$135,C1088)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SUMIFS(RAB!$F$14:$F$135,RAB!$C$14:$C$135,C1089)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SUMIFS(RAB!$F$14:$F$135,RAB!$C$14:$C$135,C1090)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SUMIFS(RAB!$F$14:$F$135,RAB!$C$14:$C$135,C1091)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SUMIFS(RAB!$F$14:$F$135,RAB!$C$14:$C$135,C1092)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SUMIFS(RAB!$F$14:$F$135,RAB!$C$14:$C$135,C1093)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SUMIFS(RAB!$F$14:$F$135,RAB!$C$14:$C$135,C1094)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SUMIFS(RAB!$F$14:$F$135,RAB!$C$14:$C$135,C1095)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SUMIFS(RAB!$F$14:$F$135,RAB!$C$14:$C$135,C1096)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SUMIFS(RAB!$F$14:$F$135,RAB!$C$14:$C$135,C1097)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SUMIFS(RAB!$F$14:$F$135,RAB!$C$14:$C$135,C1098)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SUMIFS(RAB!$F$14:$F$135,RAB!$C$14:$C$135,C1099)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SUMIFS(RAB!$F$14:$F$135,RAB!$C$14:$C$135,C1100)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SUMIFS(RAB!$F$14:$F$135,RAB!$C$14:$C$135,C1101)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SUMIFS(RAB!$F$14:$F$135,RAB!$C$14:$C$135,C1102)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SUMIFS(RAB!$F$14:$F$135,RAB!$C$14:$C$135,C1103)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SUMIFS(RAB!$F$14:$F$135,RAB!$C$14:$C$135,C1104)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SUMIFS(RAB!$F$14:$F$135,RAB!$C$14:$C$135,C1105)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SUMIFS(RAB!$F$14:$F$135,RAB!$C$14:$C$135,C1106)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SUMIFS(RAB!$F$14:$F$135,RAB!$C$14:$C$135,C1107)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SUMIFS(RAB!$F$14:$F$135,RAB!$C$14:$C$135,C1108)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SUMIFS(RAB!$F$14:$F$135,RAB!$C$14:$C$135,C1109)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SUMIFS(RAB!$F$14:$F$135,RAB!$C$14:$C$135,C1110)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SUMIFS(RAB!$F$14:$F$135,RAB!$C$14:$C$135,C1111)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SUMIFS(RAB!$F$14:$F$135,RAB!$C$14:$C$135,C1112)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SUMIFS(RAB!$F$14:$F$135,RAB!$C$14:$C$135,C1113)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SUMIFS(RAB!$F$14:$F$135,RAB!$C$14:$C$135,C1114)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SUMIFS(RAB!$F$14:$F$135,RAB!$C$14:$C$135,C1115)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SUMIFS(RAB!$F$14:$F$135,RAB!$C$14:$C$135,C1116)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SUMIFS(RAB!$F$14:$F$135,RAB!$C$14:$C$135,C1117)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SUMIFS(RAB!$F$14:$F$135,RAB!$C$14:$C$135,C1118)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SUMIFS(RAB!$F$14:$F$135,RAB!$C$14:$C$135,C1119)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SUMIFS(RAB!$F$14:$F$135,RAB!$C$14:$C$135,C1120)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SUMIFS(RAB!$F$14:$F$135,RAB!$C$14:$C$135,C1121)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SUMIFS(RAB!$F$14:$F$135,RAB!$C$14:$C$135,C1122)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SUMIFS(RAB!$F$14:$F$135,RAB!$C$14:$C$135,C1123)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SUMIFS(RAB!$F$14:$F$135,RAB!$C$14:$C$135,C1124)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SUMIFS(RAB!$F$14:$F$135,RAB!$C$14:$C$135,C1125)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SUMIFS(RAB!$F$14:$F$135,RAB!$C$14:$C$135,C1126)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SUMIFS(RAB!$F$14:$F$135,RAB!$C$14:$C$135,C1127)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SUMIFS(RAB!$F$14:$F$135,RAB!$C$14:$C$135,C1128)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SUMIFS(RAB!$F$14:$F$135,RAB!$C$14:$C$135,C1129)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SUMIFS(RAB!$F$14:$F$135,RAB!$C$14:$C$135,C1130)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SUMIFS(RAB!$F$14:$F$135,RAB!$C$14:$C$135,C1131)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SUMIFS(RAB!$F$14:$F$135,RAB!$C$14:$C$135,C1132)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SUMIFS(RAB!$F$14:$F$135,RAB!$C$14:$C$135,C1133)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SUMIFS(RAB!$F$14:$F$135,RAB!$C$14:$C$135,C1134)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SUMIFS(RAB!$F$14:$F$135,RAB!$C$14:$C$135,C1135)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SUMIFS(RAB!$F$14:$F$135,RAB!$C$14:$C$135,C1136)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SUMIFS(RAB!$F$14:$F$135,RAB!$C$14:$C$135,C1137)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SUMIFS(RAB!$F$14:$F$135,RAB!$C$14:$C$135,C1138)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SUMIFS(RAB!$F$14:$F$135,RAB!$C$14:$C$135,C1139)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SUMIFS(RAB!$F$14:$F$135,RAB!$C$14:$C$135,C1140)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SUMIFS(RAB!$F$14:$F$135,RAB!$C$14:$C$135,C1141)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SUMIFS(RAB!$F$14:$F$135,RAB!$C$14:$C$135,C1142)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SUMIFS(RAB!$F$14:$F$135,RAB!$C$14:$C$135,C1143)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SUMIFS(RAB!$F$14:$F$135,RAB!$C$14:$C$135,C1144)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SUMIFS(RAB!$F$14:$F$135,RAB!$C$14:$C$135,C1145)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SUMIFS(RAB!$F$14:$F$135,RAB!$C$14:$C$135,C1146)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SUMIFS(RAB!$F$14:$F$135,RAB!$C$14:$C$135,C1147)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SUMIFS(RAB!$F$14:$F$135,RAB!$C$14:$C$135,C1148)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SUMIFS(RAB!$F$14:$F$135,RAB!$C$14:$C$135,C1149)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SUMIFS(RAB!$F$14:$F$135,RAB!$C$14:$C$135,C1150)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SUMIFS(RAB!$F$14:$F$135,RAB!$C$14:$C$135,C1151)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SUMIFS(RAB!$F$14:$F$135,RAB!$C$14:$C$135,C1152)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SUMIFS(RAB!$F$14:$F$135,RAB!$C$14:$C$135,C1153)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SUMIFS(RAB!$F$14:$F$135,RAB!$C$14:$C$135,C1154)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SUMIFS(RAB!$F$14:$F$135,RAB!$C$14:$C$135,C1155)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SUMIFS(RAB!$F$14:$F$135,RAB!$C$14:$C$135,C1156)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SUMIFS(RAB!$F$14:$F$135,RAB!$C$14:$C$135,C1157)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SUMIFS(RAB!$F$14:$F$135,RAB!$C$14:$C$135,C1158)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SUMIFS(RAB!$F$14:$F$135,RAB!$C$14:$C$135,C1159)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SUMIFS(RAB!$F$14:$F$135,RAB!$C$14:$C$135,C1160)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SUMIFS(RAB!$F$14:$F$135,RAB!$C$14:$C$135,C1161)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SUMIFS(RAB!$F$14:$F$135,RAB!$C$14:$C$135,C1162)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SUMIFS(RAB!$F$14:$F$135,RAB!$C$14:$C$135,C1163)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SUMIFS(RAB!$F$14:$F$135,RAB!$C$14:$C$135,C1164)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SUMIFS(RAB!$F$14:$F$135,RAB!$C$14:$C$135,C1165)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SUMIFS(RAB!$F$14:$F$135,RAB!$C$14:$C$135,C1166)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SUMIFS(RAB!$F$14:$F$135,RAB!$C$14:$C$135,C1167)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SUMIFS(RAB!$F$14:$F$135,RAB!$C$14:$C$135,C1168)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SUMIFS(RAB!$F$14:$F$135,RAB!$C$14:$C$135,C1169)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SUMIFS(RAB!$F$14:$F$135,RAB!$C$14:$C$135,C1170)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SUMIFS(RAB!$F$14:$F$135,RAB!$C$14:$C$135,C1171)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SUMIFS(RAB!$F$14:$F$135,RAB!$C$14:$C$135,C1172)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SUMIFS(RAB!$F$14:$F$135,RAB!$C$14:$C$135,C1173)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SUMIFS(RAB!$F$14:$F$135,RAB!$C$14:$C$135,C1174)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SUMIFS(RAB!$F$14:$F$135,RAB!$C$14:$C$135,C1175)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SUMIFS(RAB!$F$14:$F$135,RAB!$C$14:$C$135,C1176)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SUMIFS(RAB!$F$14:$F$135,RAB!$C$14:$C$135,C1177)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SUMIFS(RAB!$F$14:$F$135,RAB!$C$14:$C$135,C1178)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SUMIFS(RAB!$F$14:$F$135,RAB!$C$14:$C$135,C1179)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SUMIFS(RAB!$F$14:$F$135,RAB!$C$14:$C$135,C1180)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SUMIFS(RAB!$F$14:$F$135,RAB!$C$14:$C$135,C1181)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SUMIFS(RAB!$F$14:$F$135,RAB!$C$14:$C$135,C1182)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SUMIFS(RAB!$F$14:$F$135,RAB!$C$14:$C$135,C1183)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SUMIFS(RAB!$F$14:$F$135,RAB!$C$14:$C$135,C1184)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SUMIFS(RAB!$F$14:$F$135,RAB!$C$14:$C$135,C1185)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SUMIFS(RAB!$F$14:$F$135,RAB!$C$14:$C$135,C1186)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SUMIFS(RAB!$F$14:$F$135,RAB!$C$14:$C$135,C1187)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SUMIFS(RAB!$F$14:$F$135,RAB!$C$14:$C$135,C1188)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SUMIFS(RAB!$F$14:$F$135,RAB!$C$14:$C$135,C1189)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SUMIFS(RAB!$F$14:$F$135,RAB!$C$14:$C$135,C1190)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SUMIFS(RAB!$F$14:$F$135,RAB!$C$14:$C$135,C1191)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SUMIFS(RAB!$F$14:$F$135,RAB!$C$14:$C$135,C1192)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SUMIFS(RAB!$F$14:$F$135,RAB!$C$14:$C$135,C1193)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SUMIFS(RAB!$F$14:$F$135,RAB!$C$14:$C$135,C1194)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SUMIFS(RAB!$F$14:$F$135,RAB!$C$14:$C$135,C1195)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SUMIFS(RAB!$F$14:$F$135,RAB!$C$14:$C$135,C1196)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SUMIFS(RAB!$F$14:$F$135,RAB!$C$14:$C$135,C1197)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SUMIFS(RAB!$F$14:$F$135,RAB!$C$14:$C$135,C1198)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SUMIFS(RAB!$F$14:$F$135,RAB!$C$14:$C$135,C1199)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SUMIFS(RAB!$F$14:$F$135,RAB!$C$14:$C$135,C1200)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SUMIFS(RAB!$F$14:$F$135,RAB!$C$14:$C$135,C1201)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SUMIFS(RAB!$F$14:$F$135,RAB!$C$14:$C$135,C1202)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SUMIFS(RAB!$F$14:$F$135,RAB!$C$14:$C$135,C1203)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SUMIFS(RAB!$F$14:$F$135,RAB!$C$14:$C$135,C1204)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SUMIFS(RAB!$F$14:$F$135,RAB!$C$14:$C$135,C1205)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SUMIFS(RAB!$F$14:$F$135,RAB!$C$14:$C$135,C1206)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SUMIFS(RAB!$F$14:$F$135,RAB!$C$14:$C$135,C1207)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SUMIFS(RAB!$F$14:$F$135,RAB!$C$14:$C$135,C1208)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SUMIFS(RAB!$F$14:$F$135,RAB!$C$14:$C$135,C1209)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SUMIFS(RAB!$F$14:$F$135,RAB!$C$14:$C$135,C1210)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SUMIFS(RAB!$F$14:$F$135,RAB!$C$14:$C$135,C1211)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SUMIFS(RAB!$F$14:$F$135,RAB!$C$14:$C$135,C1212)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SUMIFS(RAB!$F$14:$F$135,RAB!$C$14:$C$135,C1213)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SUMIFS(RAB!$F$14:$F$135,RAB!$C$14:$C$135,C1214)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SUMIFS(RAB!$F$14:$F$135,RAB!$C$14:$C$135,C1215)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SUMIFS(RAB!$F$14:$F$135,RAB!$C$14:$C$135,C1216)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SUMIFS(RAB!$F$14:$F$135,RAB!$C$14:$C$135,C1217)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SUMIFS(RAB!$F$14:$F$135,RAB!$C$14:$C$135,C1218)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SUMIFS(RAB!$F$14:$F$135,RAB!$C$14:$C$135,C1219)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SUMIFS(RAB!$F$14:$F$135,RAB!$C$14:$C$135,C1220)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SUMIFS(RAB!$F$14:$F$135,RAB!$C$14:$C$135,C1221)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SUMIFS(RAB!$F$14:$F$135,RAB!$C$14:$C$135,C1222)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SUMIFS(RAB!$F$14:$F$135,RAB!$C$14:$C$135,C1223)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SUMIFS(RAB!$F$14:$F$135,RAB!$C$14:$C$135,C1224)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SUMIFS(RAB!$F$14:$F$135,RAB!$C$14:$C$135,C1225)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SUMIFS(RAB!$F$14:$F$135,RAB!$C$14:$C$135,C1226)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SUMIFS(RAB!$F$14:$F$135,RAB!$C$14:$C$135,C1227)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SUMIFS(RAB!$F$14:$F$135,RAB!$C$14:$C$135,C1228)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SUMIFS(RAB!$F$14:$F$135,RAB!$C$14:$C$135,C1229)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SUMIFS(RAB!$F$14:$F$135,RAB!$C$14:$C$135,C1230)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SUMIFS(RAB!$F$14:$F$135,RAB!$C$14:$C$135,C1231)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SUMIFS(RAB!$F$14:$F$135,RAB!$C$14:$C$135,C1232)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SUMIFS(RAB!$F$14:$F$135,RAB!$C$14:$C$135,C1233)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SUMIFS(RAB!$F$14:$F$135,RAB!$C$14:$C$135,C1234)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SUMIFS(RAB!$F$14:$F$135,RAB!$C$14:$C$135,C1235)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SUMIFS(RAB!$F$14:$F$135,RAB!$C$14:$C$135,C1236)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SUMIFS(RAB!$F$14:$F$135,RAB!$C$14:$C$135,C1237)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SUMIFS(RAB!$F$14:$F$135,RAB!$C$14:$C$135,C1238)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SUMIFS(RAB!$F$14:$F$135,RAB!$C$14:$C$135,C1239)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SUMIFS(RAB!$F$14:$F$135,RAB!$C$14:$C$135,C1240)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SUMIFS(RAB!$F$14:$F$135,RAB!$C$14:$C$135,C1241)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SUMIFS(RAB!$F$14:$F$135,RAB!$C$14:$C$135,C1242)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SUMIFS(RAB!$F$14:$F$135,RAB!$C$14:$C$135,C1243)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SUMIFS(RAB!$F$14:$F$135,RAB!$C$14:$C$135,C1244)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SUMIFS(RAB!$F$14:$F$135,RAB!$C$14:$C$135,C1245)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SUMIFS(RAB!$F$14:$F$135,RAB!$C$14:$C$135,C1246)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SUMIFS(RAB!$F$14:$F$135,RAB!$C$14:$C$135,C1247)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SUMIFS(RAB!$F$14:$F$135,RAB!$C$14:$C$135,C1248)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SUMIFS(RAB!$F$14:$F$135,RAB!$C$14:$C$135,C1249)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SUMIFS(RAB!$F$14:$F$135,RAB!$C$14:$C$135,C1250)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SUMIFS(RAB!$F$14:$F$135,RAB!$C$14:$C$135,C1251)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SUMIFS(RAB!$F$14:$F$135,RAB!$C$14:$C$135,C1252)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SUMIFS(RAB!$F$14:$F$135,RAB!$C$14:$C$135,C1253)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SUMIFS(RAB!$F$14:$F$135,RAB!$C$14:$C$135,C1254)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SUMIFS(RAB!$F$14:$F$135,RAB!$C$14:$C$135,C1255)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SUMIFS(RAB!$F$14:$F$135,RAB!$C$14:$C$135,C1256)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SUMIFS(RAB!$F$14:$F$135,RAB!$C$14:$C$135,C1257)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SUMIFS(RAB!$F$14:$F$135,RAB!$C$14:$C$135,C1258)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SUMIFS(RAB!$F$14:$F$135,RAB!$C$14:$C$135,C1259)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SUMIFS(RAB!$F$14:$F$135,RAB!$C$14:$C$135,C1260)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SUMIFS(RAB!$F$14:$F$135,RAB!$C$14:$C$135,C1261)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SUMIFS(RAB!$F$14:$F$135,RAB!$C$14:$C$135,C1262)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SUMIFS(RAB!$F$14:$F$135,RAB!$C$14:$C$135,C1263)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SUMIFS(RAB!$F$14:$F$135,RAB!$C$14:$C$135,C1264)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SUMIFS(RAB!$F$14:$F$135,RAB!$C$14:$C$135,C1265)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SUMIFS(RAB!$F$14:$F$135,RAB!$C$14:$C$135,C1266)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SUMIFS(RAB!$F$14:$F$135,RAB!$C$14:$C$135,C1267)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SUMIFS(RAB!$F$14:$F$135,RAB!$C$14:$C$135,C1268)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SUMIFS(RAB!$F$14:$F$135,RAB!$C$14:$C$135,C1269)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SUMIFS(RAB!$F$14:$F$135,RAB!$C$14:$C$135,C1270)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SUMIFS(RAB!$F$14:$F$135,RAB!$C$14:$C$135,C1271)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SUMIFS(RAB!$F$14:$F$135,RAB!$C$14:$C$135,C1272)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SUMIFS(RAB!$F$14:$F$135,RAB!$C$14:$C$135,C1273)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SUMIFS(RAB!$F$14:$F$135,RAB!$C$14:$C$135,C1274)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SUMIFS(RAB!$F$14:$F$135,RAB!$C$14:$C$135,C1275)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SUMIFS(RAB!$F$14:$F$135,RAB!$C$14:$C$135,C1276)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SUMIFS(RAB!$F$14:$F$135,RAB!$C$14:$C$135,C1277)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SUMIFS(RAB!$F$14:$F$135,RAB!$C$14:$C$135,C1278)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SUMIFS(RAB!$F$14:$F$135,RAB!$C$14:$C$135,C1279)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SUMIFS(RAB!$F$14:$F$135,RAB!$C$14:$C$135,C1280)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SUMIFS(RAB!$F$14:$F$135,RAB!$C$14:$C$135,C1281)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SUMIFS(RAB!$F$14:$F$135,RAB!$C$14:$C$135,C1282)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SUMIFS(RAB!$F$14:$F$135,RAB!$C$14:$C$135,C1283)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SUMIFS(RAB!$F$14:$F$135,RAB!$C$14:$C$135,C1284)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SUMIFS(RAB!$F$14:$F$135,RAB!$C$14:$C$135,C1285)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SUMIFS(RAB!$F$14:$F$135,RAB!$C$14:$C$135,C1286)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SUMIFS(RAB!$F$14:$F$135,RAB!$C$14:$C$135,C1287)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SUMIFS(RAB!$F$14:$F$135,RAB!$C$14:$C$135,C1288)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SUMIFS(RAB!$F$14:$F$135,RAB!$C$14:$C$135,C1289)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SUMIFS(RAB!$F$14:$F$135,RAB!$C$14:$C$135,C1290)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SUMIFS(RAB!$F$14:$F$135,RAB!$C$14:$C$135,C1291)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SUMIFS(RAB!$F$14:$F$135,RAB!$C$14:$C$135,C1292)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SUMIFS(RAB!$F$14:$F$135,RAB!$C$14:$C$135,C1293)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SUMIFS(RAB!$F$14:$F$135,RAB!$C$14:$C$135,C1294)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SUMIFS(RAB!$F$14:$F$135,RAB!$C$14:$C$135,C1295)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SUMIFS(RAB!$F$14:$F$135,RAB!$C$14:$C$135,C1296)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SUMIFS(RAB!$F$14:$F$135,RAB!$C$14:$C$135,C1297)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SUMIFS(RAB!$F$14:$F$135,RAB!$C$14:$C$135,C1298)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SUMIFS(RAB!$F$14:$F$135,RAB!$C$14:$C$135,C1299)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SUMIFS(RAB!$F$14:$F$135,RAB!$C$14:$C$135,C1300)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SUMIFS(RAB!$F$14:$F$135,RAB!$C$14:$C$135,C1301)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SUMIFS(RAB!$F$14:$F$135,RAB!$C$14:$C$135,C1302)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SUMIFS(RAB!$F$14:$F$135,RAB!$C$14:$C$135,C1303)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SUMIFS(RAB!$F$14:$F$135,RAB!$C$14:$C$135,C1304)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SUMIFS(RAB!$F$14:$F$135,RAB!$C$14:$C$135,C1305)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SUMIFS(RAB!$F$14:$F$135,RAB!$C$14:$C$135,C1306)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SUMIFS(RAB!$F$14:$F$135,RAB!$C$14:$C$135,C1307)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SUMIFS(RAB!$F$14:$F$135,RAB!$C$14:$C$135,C1308)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SUMIFS(RAB!$F$14:$F$135,RAB!$C$14:$C$135,C1309)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SUMIFS(RAB!$F$14:$F$135,RAB!$C$14:$C$135,C1310)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SUMIFS(RAB!$F$14:$F$135,RAB!$C$14:$C$135,C1311)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SUMIFS(RAB!$F$14:$F$135,RAB!$C$14:$C$135,C1312)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SUMIFS(RAB!$F$14:$F$135,RAB!$C$14:$C$135,C1313)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SUMIFS(RAB!$F$14:$F$135,RAB!$C$14:$C$135,C1314)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SUMIFS(RAB!$F$14:$F$135,RAB!$C$14:$C$135,C1315)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SUMIFS(RAB!$F$14:$F$135,RAB!$C$14:$C$135,C1316)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SUMIFS(RAB!$F$14:$F$135,RAB!$C$14:$C$135,C1317)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SUMIFS(RAB!$F$14:$F$135,RAB!$C$14:$C$135,C1318)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SUMIFS(RAB!$F$14:$F$135,RAB!$C$14:$C$135,C1319)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SUMIFS(RAB!$F$14:$F$135,RAB!$C$14:$C$135,C1320)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2" priority="5" operator="equal">
      <formula>0</formula>
    </cfRule>
  </conditionalFormatting>
  <conditionalFormatting sqref="A10:L65536">
    <cfRule type="cellIs" dxfId="61" priority="1" operator="equal">
      <formula>0</formula>
    </cfRule>
  </conditionalFormatting>
  <conditionalFormatting sqref="C12:C711">
    <cfRule type="cellIs" dxfId="60" priority="66" stopIfTrue="1" operator="equal">
      <formula>0</formula>
    </cfRule>
  </conditionalFormatting>
  <conditionalFormatting sqref="E712:E65536">
    <cfRule type="cellIs" dxfId="59" priority="16" stopIfTrue="1" operator="equal">
      <formula>0</formula>
    </cfRule>
  </conditionalFormatting>
  <conditionalFormatting sqref="G1:G11 E6:E11 E1:E3 H7 H10:H11 F10:F711 G712:G65536">
    <cfRule type="cellIs" dxfId="58" priority="69" stopIfTrue="1" operator="equal">
      <formula>0</formula>
    </cfRule>
  </conditionalFormatting>
  <conditionalFormatting sqref="G12:H711">
    <cfRule type="cellIs" dxfId="57" priority="12" stopIfTrue="1" operator="equal">
      <formula>0</formula>
    </cfRule>
  </conditionalFormatting>
  <conditionalFormatting sqref="I7:K7">
    <cfRule type="cellIs" dxfId="56" priority="4" stopIfTrue="1" operator="equal">
      <formula>0</formula>
    </cfRule>
  </conditionalFormatting>
  <conditionalFormatting sqref="I10:L711">
    <cfRule type="cellIs" dxfId="55" priority="2" stopIfTrue="1" operator="equal">
      <formula>0</formula>
    </cfRule>
  </conditionalFormatting>
  <conditionalFormatting sqref="L1:L6">
    <cfRule type="cellIs" dxfId="54" priority="10" operator="equal">
      <formula>0</formula>
    </cfRule>
  </conditionalFormatting>
  <conditionalFormatting sqref="M1:IV1048576 A8:G9">
    <cfRule type="cellIs" dxfId="5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1127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IOH BUMI HARJO HUNTUR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BUMIHARJO KEC. GUNTUR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23200000</v>
      </c>
      <c r="J16" s="42">
        <f t="shared" ca="1" si="3"/>
        <v>0</v>
      </c>
      <c r="K16" s="43">
        <f t="shared" ca="1" si="0"/>
        <v>23200000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2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9" t="s">
        <v>1008</v>
      </c>
      <c r="D38" s="549"/>
      <c r="E38" s="549"/>
      <c r="F38" s="549"/>
      <c r="G38" s="77" t="s">
        <v>9</v>
      </c>
      <c r="H38" s="55">
        <f ca="1">SUM(H14:H37)</f>
        <v>0</v>
      </c>
      <c r="I38" s="55">
        <f ca="1">SUM(I14:I37)</f>
        <v>35348800</v>
      </c>
      <c r="J38" s="55">
        <f ca="1">SUM(J14:J37)</f>
        <v>0</v>
      </c>
      <c r="K38" s="55">
        <f ca="1">SUM(K14:K37)</f>
        <v>35348800</v>
      </c>
      <c r="L38" s="44"/>
      <c r="R38" s="99"/>
      <c r="S38" s="99"/>
      <c r="T38" s="99"/>
    </row>
    <row r="39" spans="1:20" s="36" customFormat="1">
      <c r="A39" s="30"/>
      <c r="B39" s="56"/>
      <c r="C39" s="550" t="s">
        <v>462</v>
      </c>
      <c r="D39" s="550"/>
      <c r="E39" s="550"/>
      <c r="F39" s="550"/>
      <c r="G39" s="59" t="s">
        <v>9</v>
      </c>
      <c r="H39" s="60">
        <f ca="1">H38*0.1</f>
        <v>0</v>
      </c>
      <c r="I39" s="60">
        <f ca="1">I38*0.1</f>
        <v>3534880</v>
      </c>
      <c r="J39" s="60">
        <f ca="1">J38*0.1</f>
        <v>0</v>
      </c>
      <c r="K39" s="60">
        <f ca="1">K38*0.1</f>
        <v>3534880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9" t="s">
        <v>463</v>
      </c>
      <c r="D40" s="539"/>
      <c r="E40" s="539"/>
      <c r="F40" s="539"/>
      <c r="G40" s="61" t="s">
        <v>9</v>
      </c>
      <c r="H40" s="78">
        <f ca="1">SUM(H38:H39)</f>
        <v>0</v>
      </c>
      <c r="I40" s="78">
        <f ca="1">SUM(I38:I39)</f>
        <v>38883680</v>
      </c>
      <c r="J40" s="61">
        <f ca="1">SUM(J38:J39)</f>
        <v>0</v>
      </c>
      <c r="K40" s="61">
        <f ca="1">SUM(K38:K39)</f>
        <v>38883680</v>
      </c>
      <c r="L40" s="44"/>
      <c r="R40" s="99"/>
      <c r="S40" s="99"/>
      <c r="T40" s="99"/>
    </row>
    <row r="41" spans="1:20" s="36" customFormat="1">
      <c r="A41" s="30"/>
      <c r="B41" s="542" t="e">
        <f ca="1">"Terbilang : ( "&amp;L42&amp;" Rupiah )"</f>
        <v>#NAME?</v>
      </c>
      <c r="C41" s="543"/>
      <c r="D41" s="543"/>
      <c r="E41" s="543"/>
      <c r="F41" s="543"/>
      <c r="G41" s="543"/>
      <c r="H41" s="543"/>
      <c r="I41" s="543"/>
      <c r="J41" s="543"/>
      <c r="K41" s="544"/>
      <c r="L41" s="44"/>
      <c r="R41" s="58"/>
      <c r="S41" s="58"/>
      <c r="T41" s="58"/>
    </row>
    <row r="42" spans="1:20" s="36" customFormat="1">
      <c r="A42" s="30"/>
      <c r="B42" s="545"/>
      <c r="C42" s="546"/>
      <c r="D42" s="546"/>
      <c r="E42" s="546"/>
      <c r="F42" s="546"/>
      <c r="G42" s="546"/>
      <c r="H42" s="546"/>
      <c r="I42" s="546"/>
      <c r="J42" s="546"/>
      <c r="K42" s="547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0"/>
      <c r="I45" s="540"/>
      <c r="J45" s="541"/>
      <c r="K45" s="54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0"/>
      <c r="I46" s="540"/>
      <c r="J46" s="541"/>
      <c r="K46" s="54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0"/>
      <c r="I47" s="540"/>
      <c r="J47" s="541"/>
      <c r="K47" s="54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0"/>
      <c r="I52" s="540"/>
      <c r="J52" s="541"/>
      <c r="K52" s="54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SUMIFS(RAB!$F$14:$F$135,RAB!$C$14:$C$135,'REKAP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SUMIFS(RAB!$F$14:$F$135,RAB!$C$14:$C$135,'REKAP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SUMIFS(RAB!$F$14:$F$135,RAB!$C$14:$C$135,'REKAP TIANG'!C59)</f>
        <v>4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SUMIFS(RAB!$F$14:$F$135,RAB!$C$14:$C$135,'REKAP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SUMIFS(RAB!$F$14:$F$135,RAB!$C$14:$C$135,'REKAP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SUMIFS(RAB!$F$14:$F$135,RAB!$C$14:$C$135,'REKAP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SUMIFS(RAB!$F$14:$F$135,RAB!$C$14:$C$135,'REKAP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SUMIFS(RAB!$F$14:$F$135,RAB!$C$14:$C$135,'REKAP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SUMIFS(RAB!$F$14:$F$135,RAB!$C$14:$C$135,'REKAP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SUMIFS(RAB!$F$14:$F$135,RAB!$C$14:$C$135,'REKAP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SUMIFS(RAB!$F$14:$F$135,RAB!$C$14:$C$135,'REKAP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SUMIFS(RAB!$F$14:$F$135,RAB!$C$14:$C$135,'REKAP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SUMIFS(RAB!$F$14:$F$135,RAB!$C$14:$C$135,'REKAP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SUMIFS(RAB!$F$14:$F$135,RAB!$C$14:$C$135,'REKAP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SUMIFS(RAB!$F$14:$F$135,RAB!$C$14:$C$135,'REKAP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SUMIFS(RAB!$F$14:$F$135,RAB!$C$14:$C$135,'REKAP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SUMIFS(RAB!$F$14:$F$135,RAB!$C$14:$C$135,'REKAP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SUMIFS(RAB!$F$14:$F$135,RAB!$C$14:$C$135,'REKAP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SUMIFS(RAB!$F$14:$F$135,RAB!$C$14:$C$135,'REKAP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SUMIFS(RAB!$F$14:$F$135,RAB!$C$14:$C$135,'REKAP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5" t="s">
        <v>1034</v>
      </c>
      <c r="C4" s="555"/>
      <c r="D4" s="555"/>
      <c r="E4" s="555"/>
      <c r="F4" s="555"/>
      <c r="G4" s="555"/>
      <c r="H4" s="555"/>
      <c r="I4" s="555"/>
      <c r="J4" s="555"/>
      <c r="K4" s="55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8" t="str">
        <f>RAB!G6</f>
        <v>IOH BUMI HARJO HUNTUR</v>
      </c>
      <c r="H6" s="548"/>
      <c r="I6" s="548"/>
      <c r="J6" s="548"/>
      <c r="K6" s="54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BUMIHARJO KEC. GUNTUR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6" t="s">
        <v>0</v>
      </c>
      <c r="C11" s="558" t="s">
        <v>1</v>
      </c>
      <c r="D11" s="561" t="s">
        <v>42</v>
      </c>
      <c r="E11" s="561" t="s">
        <v>43</v>
      </c>
      <c r="F11" s="561" t="s">
        <v>2</v>
      </c>
      <c r="G11" s="562" t="s">
        <v>41</v>
      </c>
      <c r="H11" s="561" t="s">
        <v>3</v>
      </c>
      <c r="I11" s="561"/>
      <c r="J11" s="561"/>
      <c r="K11" s="565"/>
      <c r="M11" s="33"/>
      <c r="N11" s="33"/>
      <c r="O11" s="33"/>
      <c r="P11" s="33"/>
      <c r="R11" s="34"/>
      <c r="S11" s="74"/>
      <c r="T11" s="74"/>
    </row>
    <row r="12" spans="1:21" ht="15" customHeight="1">
      <c r="B12" s="557"/>
      <c r="C12" s="559"/>
      <c r="D12" s="551"/>
      <c r="E12" s="551"/>
      <c r="F12" s="551"/>
      <c r="G12" s="563"/>
      <c r="H12" s="553" t="s">
        <v>46</v>
      </c>
      <c r="I12" s="553" t="s">
        <v>5</v>
      </c>
      <c r="J12" s="551" t="s">
        <v>47</v>
      </c>
      <c r="K12" s="55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7"/>
      <c r="C13" s="560"/>
      <c r="D13" s="551"/>
      <c r="E13" s="551"/>
      <c r="F13" s="551"/>
      <c r="G13" s="564"/>
      <c r="H13" s="554"/>
      <c r="I13" s="554"/>
      <c r="J13" s="551"/>
      <c r="K13" s="55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Line Post ) 20 KV Polymer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176900</v>
      </c>
      <c r="H20" s="42">
        <f t="shared" ca="1" si="1"/>
        <v>530700</v>
      </c>
      <c r="I20" s="42">
        <f t="shared" ca="1" si="2"/>
        <v>0</v>
      </c>
      <c r="J20" s="42">
        <f t="shared" ca="1" si="3"/>
        <v>0</v>
      </c>
      <c r="K20" s="43">
        <f t="shared" ca="1" si="0"/>
        <v>530700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Strainkap Porcelain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430000</v>
      </c>
      <c r="H21" s="42">
        <f t="shared" ca="1" si="1"/>
        <v>1290000</v>
      </c>
      <c r="I21" s="42">
        <f t="shared" ca="1" si="2"/>
        <v>0</v>
      </c>
      <c r="J21" s="42">
        <f t="shared" ca="1" si="3"/>
        <v>0</v>
      </c>
      <c r="K21" s="43">
        <f t="shared" ca="1" si="0"/>
        <v>1290000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28400</v>
      </c>
      <c r="I22" s="42">
        <f t="shared" ca="1" si="2"/>
        <v>0</v>
      </c>
      <c r="J22" s="42">
        <f t="shared" ca="1" si="3"/>
        <v>0</v>
      </c>
      <c r="K22" s="43">
        <f t="shared" ca="1" si="0"/>
        <v>28400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150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420</v>
      </c>
      <c r="G23" s="41">
        <f ca="1">IF(ISERROR(OFFSET('HARGA SATUAN'!$I$6,MATCH(C23,'HARGA SATUAN'!$C$7:$C$1492,0),0)),"",OFFSET('HARGA SATUAN'!$I$6,MATCH(C23,'HARGA SATUAN'!$C$7:$C$1492,0),0))</f>
        <v>25300</v>
      </c>
      <c r="H23" s="42">
        <f t="shared" ca="1" si="1"/>
        <v>10626000</v>
      </c>
      <c r="I23" s="42">
        <f t="shared" ca="1" si="2"/>
        <v>0</v>
      </c>
      <c r="J23" s="42">
        <f t="shared" ca="1" si="3"/>
        <v>0</v>
      </c>
      <c r="K23" s="43">
        <f t="shared" ca="1" si="0"/>
        <v>10626000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2 x 70 + N 70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50</v>
      </c>
      <c r="G24" s="41">
        <f ca="1">IF(ISERROR(OFFSET('HARGA SATUAN'!$I$6,MATCH(C24,'HARGA SATUAN'!$C$7:$C$1492,0),0)),"",OFFSET('HARGA SATUAN'!$I$6,MATCH(C24,'HARGA SATUAN'!$C$7:$C$1492,0),0))</f>
        <v>53300</v>
      </c>
      <c r="H24" s="42">
        <f t="shared" ca="1" si="1"/>
        <v>2665000</v>
      </c>
      <c r="I24" s="42">
        <f t="shared" ca="1" si="2"/>
        <v>0</v>
      </c>
      <c r="J24" s="42">
        <f t="shared" ca="1" si="3"/>
        <v>0</v>
      </c>
      <c r="K24" s="43">
        <f t="shared" ca="1" si="0"/>
        <v>2665000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 2 x 16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35</v>
      </c>
      <c r="G25" s="41">
        <f ca="1">IF(ISERROR(OFFSET('HARGA SATUAN'!$I$6,MATCH(C25,'HARGA SATUAN'!$C$7:$C$1492,0),0)),"",OFFSET('HARGA SATUAN'!$I$6,MATCH(C25,'HARGA SATUAN'!$C$7:$C$1492,0),0))</f>
        <v>6600</v>
      </c>
      <c r="H25" s="42">
        <f t="shared" ca="1" si="1"/>
        <v>231000</v>
      </c>
      <c r="I25" s="42">
        <f t="shared" ca="1" si="2"/>
        <v>0</v>
      </c>
      <c r="J25" s="42">
        <f t="shared" ca="1" si="3"/>
        <v>0</v>
      </c>
      <c r="K25" s="43">
        <f t="shared" ca="1" si="0"/>
        <v>231000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9" t="s">
        <v>1008</v>
      </c>
      <c r="D168" s="549"/>
      <c r="E168" s="549"/>
      <c r="F168" s="549"/>
      <c r="G168" s="77" t="s">
        <v>9</v>
      </c>
      <c r="H168" s="55">
        <f ca="1">SUM(H14:H167)</f>
        <v>45844500</v>
      </c>
      <c r="I168" s="55">
        <f ca="1">SUM(I14:I167)</f>
        <v>0</v>
      </c>
      <c r="J168" s="55">
        <f ca="1">SUM(J14:J167)</f>
        <v>0</v>
      </c>
      <c r="K168" s="55">
        <f ca="1">SUM(K14:K167)</f>
        <v>45844500</v>
      </c>
      <c r="L168" s="44"/>
      <c r="R168" s="99"/>
      <c r="S168" s="99"/>
      <c r="T168" s="99"/>
    </row>
    <row r="169" spans="1:20" s="36" customFormat="1">
      <c r="A169" s="30"/>
      <c r="B169" s="56"/>
      <c r="C169" s="550" t="s">
        <v>462</v>
      </c>
      <c r="D169" s="550"/>
      <c r="E169" s="550"/>
      <c r="F169" s="550"/>
      <c r="G169" s="59" t="s">
        <v>9</v>
      </c>
      <c r="H169" s="60">
        <f ca="1">H168*0.1</f>
        <v>4584450</v>
      </c>
      <c r="I169" s="60">
        <f ca="1">I168*0.1</f>
        <v>0</v>
      </c>
      <c r="J169" s="60">
        <f ca="1">J168*0.1</f>
        <v>0</v>
      </c>
      <c r="K169" s="60">
        <f ca="1">K168*0.1</f>
        <v>4584450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9" t="s">
        <v>463</v>
      </c>
      <c r="D170" s="539"/>
      <c r="E170" s="539"/>
      <c r="F170" s="539"/>
      <c r="G170" s="61" t="s">
        <v>9</v>
      </c>
      <c r="H170" s="78">
        <f ca="1">SUM(H168:H169)</f>
        <v>50428950</v>
      </c>
      <c r="I170" s="78">
        <f ca="1">SUM(I168:I169)</f>
        <v>0</v>
      </c>
      <c r="J170" s="61">
        <f ca="1">SUM(J168:J169)</f>
        <v>0</v>
      </c>
      <c r="K170" s="61">
        <f ca="1">SUM(K168:K169)</f>
        <v>50428950</v>
      </c>
      <c r="L170" s="44"/>
      <c r="R170" s="99"/>
      <c r="S170" s="99"/>
      <c r="T170" s="99"/>
    </row>
    <row r="171" spans="1:20" s="36" customFormat="1">
      <c r="A171" s="30"/>
      <c r="B171" s="542" t="e">
        <f ca="1">"Terbilang : ( "&amp;L172&amp;" Rupiah )"</f>
        <v>#NAME?</v>
      </c>
      <c r="C171" s="543"/>
      <c r="D171" s="543"/>
      <c r="E171" s="543"/>
      <c r="F171" s="543"/>
      <c r="G171" s="543"/>
      <c r="H171" s="543"/>
      <c r="I171" s="543"/>
      <c r="J171" s="543"/>
      <c r="K171" s="544"/>
      <c r="L171" s="44"/>
      <c r="R171" s="58"/>
      <c r="S171" s="58"/>
      <c r="T171" s="58"/>
    </row>
    <row r="172" spans="1:20" s="36" customFormat="1">
      <c r="A172" s="30"/>
      <c r="B172" s="545"/>
      <c r="C172" s="546"/>
      <c r="D172" s="546"/>
      <c r="E172" s="546"/>
      <c r="F172" s="546"/>
      <c r="G172" s="546"/>
      <c r="H172" s="546"/>
      <c r="I172" s="546"/>
      <c r="J172" s="546"/>
      <c r="K172" s="547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0"/>
      <c r="I175" s="540"/>
      <c r="J175" s="541"/>
      <c r="K175" s="54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0"/>
      <c r="I176" s="540"/>
      <c r="J176" s="541"/>
      <c r="K176" s="54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0"/>
      <c r="I177" s="540"/>
      <c r="J177" s="541"/>
      <c r="K177" s="54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0"/>
      <c r="I182" s="540"/>
      <c r="J182" s="541"/>
      <c r="K182" s="54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SUMIFS(RAB!$F$14:$F$135,RAB!$C$14:$C$135,C224)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SUMIFS(RAB!$F$14:$F$135,RAB!$C$14:$C$135,C225)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SUMIFS(RAB!$F$14:$F$135,RAB!$C$14:$C$135,C226)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SUMIFS(RAB!$F$14:$F$135,RAB!$C$14:$C$135,C227)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SUMIFS(RAB!$F$14:$F$135,RAB!$C$14:$C$135,C228)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SUMIFS(RAB!$F$14:$F$135,RAB!$C$14:$C$135,C229)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SUMIFS(RAB!$F$14:$F$135,RAB!$C$14:$C$135,C230)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SUMIFS(RAB!$F$14:$F$135,RAB!$C$14:$C$135,C231)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SUMIFS(RAB!$F$14:$F$135,RAB!$C$14:$C$135,C232)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SUMIFS(RAB!$F$14:$F$135,RAB!$C$14:$C$135,C233)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SUMIFS(RAB!$F$14:$F$135,RAB!$C$14:$C$135,C234)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SUMIFS(RAB!$F$14:$F$135,RAB!$C$14:$C$135,C235)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SUMIFS(RAB!$F$14:$F$135,RAB!$C$14:$C$135,C236)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SUMIFS(RAB!$F$14:$F$135,RAB!$C$14:$C$135,C237)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SUMIFS(RAB!$F$14:$F$135,RAB!$C$14:$C$135,C238)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SUMIFS(RAB!$F$14:$F$135,RAB!$C$14:$C$135,C239)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SUMIFS(RAB!$F$14:$F$135,RAB!$C$14:$C$135,C240)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SUMIFS(RAB!$F$14:$F$135,RAB!$C$14:$C$135,C241)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SUMIFS(RAB!$F$14:$F$135,RAB!$C$14:$C$135,C242)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SUMIFS(RAB!$F$14:$F$135,RAB!$C$14:$C$135,C243)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SUMIFS(RAB!$F$14:$F$135,RAB!$C$14:$C$135,C244)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SUMIFS(RAB!$F$14:$F$135,RAB!$C$14:$C$135,C245)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SUMIFS(RAB!$F$14:$F$135,RAB!$C$14:$C$135,C246)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SUMIFS(RAB!$F$14:$F$135,RAB!$C$14:$C$135,C247)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SUMIFS(RAB!$F$14:$F$135,RAB!$C$14:$C$135,C248)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SUMIFS(RAB!$F$14:$F$135,RAB!$C$14:$C$135,C249)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SUMIFS(RAB!$F$14:$F$135,RAB!$C$14:$C$135,C250)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SUMIFS(RAB!$F$14:$F$135,RAB!$C$14:$C$135,C251)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SUMIFS(RAB!$F$14:$F$135,RAB!$C$14:$C$135,C252)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SUMIFS(RAB!$F$14:$F$135,RAB!$C$14:$C$135,C253)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SUMIFS(RAB!$F$14:$F$135,RAB!$C$14:$C$135,C254)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SUMIFS(RAB!$F$14:$F$135,RAB!$C$14:$C$135,C255)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SUMIFS(RAB!$F$14:$F$135,RAB!$C$14:$C$135,C256)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SUMIFS(RAB!$F$14:$F$135,RAB!$C$14:$C$135,C257)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SUMIFS(RAB!$F$14:$F$135,RAB!$C$14:$C$135,C258)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SUMIFS(RAB!$F$14:$F$135,RAB!$C$14:$C$135,C259)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SUMIFS(RAB!$F$14:$F$135,RAB!$C$14:$C$135,C260)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SUMIFS(RAB!$F$14:$F$135,RAB!$C$14:$C$135,C261)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SUMIFS(RAB!$F$14:$F$135,RAB!$C$14:$C$135,C262)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SUMIFS(RAB!$F$14:$F$135,RAB!$C$14:$C$135,C263)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SUMIFS(RAB!$F$14:$F$135,RAB!$C$14:$C$135,C264)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SUMIFS(RAB!$F$14:$F$135,RAB!$C$14:$C$135,C265)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SUMIFS(RAB!$F$14:$F$135,RAB!$C$14:$C$135,C266)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SUMIFS(RAB!$F$14:$F$135,RAB!$C$14:$C$135,C267)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SUMIFS(RAB!$F$14:$F$135,RAB!$C$14:$C$135,C268)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SUMIFS(RAB!$F$14:$F$135,RAB!$C$14:$C$135,C269)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SUMIFS(RAB!$F$14:$F$135,RAB!$C$14:$C$135,C270)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SUMIFS(RAB!$F$14:$F$135,RAB!$C$14:$C$135,C271)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SUMIFS(RAB!$F$14:$F$135,RAB!$C$14:$C$135,C272)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SUMIFS(RAB!$F$14:$F$135,RAB!$C$14:$C$135,C273)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SUMIFS(RAB!$F$14:$F$135,RAB!$C$14:$C$135,C274)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SUMIFS(RAB!$F$14:$F$135,RAB!$C$14:$C$135,C275)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SUMIFS(RAB!$F$14:$F$135,RAB!$C$14:$C$135,C276)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SUMIFS(RAB!$F$14:$F$135,RAB!$C$14:$C$135,C277)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SUMIFS(RAB!$F$14:$F$135,RAB!$C$14:$C$135,C278)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SUMIFS(RAB!$F$14:$F$135,RAB!$C$14:$C$135,C279)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SUMIFS(RAB!$F$14:$F$135,RAB!$C$14:$C$135,C280)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SUMIFS(RAB!$F$14:$F$135,RAB!$C$14:$C$135,C281)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SUMIFS(RAB!$F$14:$F$135,RAB!$C$14:$C$135,C282)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SUMIFS(RAB!$F$14:$F$135,RAB!$C$14:$C$135,C283)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SUMIFS(RAB!$F$14:$F$135,RAB!$C$14:$C$135,C284)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SUMIFS(RAB!$F$14:$F$135,RAB!$C$14:$C$135,C285)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SUMIFS(RAB!$F$14:$F$135,RAB!$C$14:$C$135,C286)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SUMIFS(RAB!$F$14:$F$135,RAB!$C$14:$C$135,C287)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SUMIFS(RAB!$F$14:$F$135,RAB!$C$14:$C$135,C288)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SUMIFS(RAB!$F$14:$F$135,RAB!$C$14:$C$135,C289)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SUMIFS(RAB!$F$14:$F$135,RAB!$C$14:$C$135,C290)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SUMIFS(RAB!$F$14:$F$135,RAB!$C$14:$C$135,C291)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SUMIFS(RAB!$F$14:$F$135,RAB!$C$14:$C$135,C292)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SUMIFS(RAB!$F$14:$F$135,RAB!$C$14:$C$135,C293)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SUMIFS(RAB!$F$14:$F$135,RAB!$C$14:$C$135,C294)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SUMIFS(RAB!$F$14:$F$135,RAB!$C$14:$C$135,C295)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SUMIFS(RAB!$F$14:$F$135,RAB!$C$14:$C$135,C296)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SUMIFS(RAB!$F$14:$F$135,RAB!$C$14:$C$135,C297)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SUMIFS(RAB!$F$14:$F$135,RAB!$C$14:$C$135,C298)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SUMIFS(RAB!$F$14:$F$135,RAB!$C$14:$C$135,C299)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SUMIFS(RAB!$F$14:$F$135,RAB!$C$14:$C$135,C300)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SUMIFS(RAB!$F$14:$F$135,RAB!$C$14:$C$135,C301)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SUMIFS(RAB!$F$14:$F$135,RAB!$C$14:$C$135,C302)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SUMIFS(RAB!$F$14:$F$135,RAB!$C$14:$C$135,C303)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SUMIFS(RAB!$F$14:$F$135,RAB!$C$14:$C$135,C304)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SUMIFS(RAB!$F$14:$F$135,RAB!$C$14:$C$135,C305)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SUMIFS(RAB!$F$14:$F$135,RAB!$C$14:$C$135,C306)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SUMIFS(RAB!$F$14:$F$135,RAB!$C$14:$C$135,C307)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SUMIFS(RAB!$F$14:$F$135,RAB!$C$14:$C$135,C308)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SUMIFS(RAB!$F$14:$F$135,RAB!$C$14:$C$135,C309)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SUMIFS(RAB!$F$14:$F$135,RAB!$C$14:$C$135,C310)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SUMIFS(RAB!$F$14:$F$135,RAB!$C$14:$C$135,C311)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SUMIFS(RAB!$F$14:$F$135,RAB!$C$14:$C$135,C312)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SUMIFS(RAB!$F$14:$F$135,RAB!$C$14:$C$135,C313)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SUMIFS(RAB!$F$14:$F$135,RAB!$C$14:$C$135,C314)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SUMIFS(RAB!$F$14:$F$135,RAB!$C$14:$C$135,C315)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SUMIFS(RAB!$F$14:$F$135,RAB!$C$14:$C$135,C316)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SUMIFS(RAB!$F$14:$F$135,RAB!$C$14:$C$135,C317)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SUMIFS(RAB!$F$14:$F$135,RAB!$C$14:$C$135,C318)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SUMIFS(RAB!$F$14:$F$135,RAB!$C$14:$C$135,C319)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SUMIFS(RAB!$F$14:$F$135,RAB!$C$14:$C$135,C320)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SUMIFS(RAB!$F$14:$F$135,RAB!$C$14:$C$135,C321)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SUMIFS(RAB!$F$14:$F$135,RAB!$C$14:$C$135,C322)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SUMIFS(RAB!$F$14:$F$135,RAB!$C$14:$C$135,C323)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SUMIFS(RAB!$F$14:$F$135,RAB!$C$14:$C$135,C324)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SUMIFS(RAB!$F$14:$F$135,RAB!$C$14:$C$135,C325)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SUMIFS(RAB!$F$14:$F$135,RAB!$C$14:$C$135,C326)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SUMIFS(RAB!$F$14:$F$135,RAB!$C$14:$C$135,C327)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SUMIFS(RAB!$F$14:$F$135,RAB!$C$14:$C$135,C328)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SUMIFS(RAB!$F$14:$F$135,RAB!$C$14:$C$135,C329)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SUMIFS(RAB!$F$14:$F$135,RAB!$C$14:$C$135,C330)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SUMIFS(RAB!$F$14:$F$135,RAB!$C$14:$C$135,C331)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SUMIFS(RAB!$F$14:$F$135,RAB!$C$14:$C$135,C332)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SUMIFS(RAB!$F$14:$F$135,RAB!$C$14:$C$135,C333)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SUMIFS(RAB!$F$14:$F$135,RAB!$C$14:$C$135,C334)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SUMIFS(RAB!$F$14:$F$135,RAB!$C$14:$C$135,C335)</f>
        <v>3</v>
      </c>
      <c r="E335" s="24">
        <f t="shared" ca="1" si="22"/>
        <v>1</v>
      </c>
      <c r="F335" s="24">
        <f ca="1">IF(D335=0,0,SUM($E$223:E335))</f>
        <v>5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SUMIFS(RAB!$F$14:$F$135,RAB!$C$14:$C$135,C336)</f>
        <v>3</v>
      </c>
      <c r="E336" s="24">
        <f t="shared" ca="1" si="22"/>
        <v>1</v>
      </c>
      <c r="F336" s="24">
        <f ca="1">IF(D336=0,0,SUM($E$223:E336))</f>
        <v>6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SUMIFS(RAB!$F$14:$F$135,RAB!$C$14:$C$135,C337)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SUMIFS(RAB!$F$14:$F$135,RAB!$C$14:$C$135,C338)</f>
        <v>2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SUMIFS(RAB!$F$14:$F$135,RAB!$C$14:$C$135,C339)</f>
        <v>420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SUMIFS(RAB!$F$14:$F$135,RAB!$C$14:$C$135,C340)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SUMIFS(RAB!$F$14:$F$135,RAB!$C$14:$C$135,C341)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SUMIFS(RAB!$F$14:$F$135,RAB!$C$14:$C$135,C342)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SUMIFS(RAB!$F$14:$F$135,RAB!$C$14:$C$135,C343)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SUMIFS(RAB!$F$14:$F$135,RAB!$C$14:$C$135,C344)</f>
        <v>50</v>
      </c>
      <c r="E344" s="24">
        <f t="shared" ca="1" si="22"/>
        <v>1</v>
      </c>
      <c r="F344" s="24">
        <f ca="1">IF(D344=0,0,SUM($E$223:E344))</f>
        <v>9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SUMIFS(RAB!$F$14:$F$135,RAB!$C$14:$C$135,C345)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SUMIFS(RAB!$F$14:$F$135,RAB!$C$14:$C$135,C346)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SUMIFS(RAB!$F$14:$F$135,RAB!$C$14:$C$135,C347)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SUMIFS(RAB!$F$14:$F$135,RAB!$C$14:$C$135,C348)</f>
        <v>35</v>
      </c>
      <c r="E348" s="24">
        <f t="shared" ca="1" si="22"/>
        <v>1</v>
      </c>
      <c r="F348" s="24">
        <f ca="1">IF(D348=0,0,SUM($E$223:E348))</f>
        <v>10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SUMIFS(RAB!$F$14:$F$135,RAB!$C$14:$C$135,C349)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SUMIFS(RAB!$F$14:$F$135,RAB!$C$14:$C$135,C350)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SUMIFS(RAB!$F$14:$F$135,RAB!$C$14:$C$135,C351)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SUMIFS(RAB!$F$14:$F$135,RAB!$C$14:$C$135,C352)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SUMIFS(RAB!$F$14:$F$135,RAB!$C$14:$C$135,C353)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SUMIFS(RAB!$F$14:$F$135,RAB!$C$14:$C$135,C354)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SUMIFS(RAB!$F$14:$F$135,RAB!$C$14:$C$135,C355)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SUMIFS(RAB!$F$14:$F$135,RAB!$C$14:$C$135,C356)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SUMIFS(RAB!$F$14:$F$135,RAB!$C$14:$C$135,C357)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SUMIFS(RAB!$F$14:$F$135,RAB!$C$14:$C$135,C358)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SUMIFS(RAB!$F$14:$F$135,RAB!$C$14:$C$135,C359)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SUMIFS(RAB!$F$14:$F$135,RAB!$C$14:$C$135,C360)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SUMIFS(RAB!$F$14:$F$135,RAB!$C$14:$C$135,C361)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SUMIFS(RAB!$F$14:$F$135,RAB!$C$14:$C$135,C362)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SUMIFS(RAB!$F$14:$F$135,RAB!$C$14:$C$135,C363)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SUMIFS(RAB!$F$14:$F$135,RAB!$C$14:$C$135,C364)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SUMIFS(RAB!$F$14:$F$135,RAB!$C$14:$C$135,C365)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SUMIFS(RAB!$F$14:$F$135,RAB!$C$14:$C$135,C366)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SUMIFS(RAB!$F$14:$F$135,RAB!$C$14:$C$135,C367)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SUMIFS(RAB!$F$14:$F$135,RAB!$C$14:$C$135,C368)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SUMIFS(RAB!$F$14:$F$135,RAB!$C$14:$C$135,C369)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SUMIFS(RAB!$F$14:$F$135,RAB!$C$14:$C$135,C370)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SUMIFS(RAB!$F$14:$F$135,RAB!$C$14:$C$135,C371)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SUMIFS(RAB!$F$14:$F$135,RAB!$C$14:$C$135,C372)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SUMIFS(RAB!$F$14:$F$135,RAB!$C$14:$C$135,C373)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0" priority="5" operator="equal">
      <formula>0</formula>
    </cfRule>
  </conditionalFormatting>
  <conditionalFormatting sqref="C16:C165">
    <cfRule type="cellIs" dxfId="49" priority="4" stopIfTrue="1" operator="equal">
      <formula>0</formula>
    </cfRule>
  </conditionalFormatting>
  <conditionalFormatting sqref="C16:E165">
    <cfRule type="cellIs" dxfId="48" priority="1" operator="equal">
      <formula>0</formula>
    </cfRule>
  </conditionalFormatting>
  <conditionalFormatting sqref="D224:F373">
    <cfRule type="cellIs" dxfId="47" priority="8" operator="equal">
      <formula>0</formula>
    </cfRule>
  </conditionalFormatting>
  <conditionalFormatting sqref="E1:E3 G1:G115 E6:E15 H12:I12 N13 F14:F15 H14:K115 E166:K166 G166:G223 E167:F167 H167:K167">
    <cfRule type="cellIs" dxfId="46" priority="43" stopIfTrue="1" operator="equal">
      <formula>0</formula>
    </cfRule>
  </conditionalFormatting>
  <conditionalFormatting sqref="E171:E65536">
    <cfRule type="cellIs" dxfId="45" priority="9" stopIfTrue="1" operator="equal">
      <formula>0</formula>
    </cfRule>
  </conditionalFormatting>
  <conditionalFormatting sqref="G224">
    <cfRule type="cellIs" dxfId="44" priority="10" operator="equal">
      <formula>0</formula>
    </cfRule>
  </conditionalFormatting>
  <conditionalFormatting sqref="G225:G65536">
    <cfRule type="cellIs" dxfId="43" priority="14" stopIfTrue="1" operator="equal">
      <formula>0</formula>
    </cfRule>
  </conditionalFormatting>
  <conditionalFormatting sqref="R14:T166 G116:K165">
    <cfRule type="cellIs" dxfId="4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8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90" sqref="C139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7" t="s">
        <v>41</v>
      </c>
      <c r="C2" s="56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8" t="s">
        <v>23</v>
      </c>
      <c r="C4" s="569" t="s">
        <v>1012</v>
      </c>
      <c r="D4" s="569" t="s">
        <v>42</v>
      </c>
      <c r="E4" s="568" t="s">
        <v>43</v>
      </c>
      <c r="F4" s="108" t="s">
        <v>1609</v>
      </c>
      <c r="G4" s="108" t="s">
        <v>1608</v>
      </c>
      <c r="H4" s="56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8"/>
      <c r="C5" s="569"/>
      <c r="D5" s="569"/>
      <c r="E5" s="568"/>
      <c r="F5" s="93"/>
      <c r="G5" s="93"/>
      <c r="H5" s="56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1" priority="138" operator="equal">
      <formula>0</formula>
    </cfRule>
  </conditionalFormatting>
  <conditionalFormatting sqref="B8:C135">
    <cfRule type="cellIs" dxfId="40" priority="51" operator="equal">
      <formula>0</formula>
    </cfRule>
  </conditionalFormatting>
  <conditionalFormatting sqref="B150:G1493">
    <cfRule type="cellIs" dxfId="39" priority="1" operator="equal">
      <formula>0</formula>
    </cfRule>
  </conditionalFormatting>
  <conditionalFormatting sqref="C143:G149">
    <cfRule type="cellIs" dxfId="38" priority="5" operator="equal">
      <formula>0</formula>
    </cfRule>
  </conditionalFormatting>
  <conditionalFormatting sqref="D9:G142">
    <cfRule type="cellIs" dxfId="37" priority="11" operator="equal">
      <formula>0</formula>
    </cfRule>
  </conditionalFormatting>
  <conditionalFormatting sqref="D1:IV5 A1:C7 D6:K6 H1455:IV1457 H1458:XFD1485 H1486:H1493 I1486:XFD1494 A1494:H1494 A1495:XFD65536">
    <cfRule type="cellIs" dxfId="36" priority="163" operator="equal">
      <formula>0</formula>
    </cfRule>
  </conditionalFormatting>
  <conditionalFormatting sqref="D7:IV8 C136:C142 B136:B149">
    <cfRule type="cellIs" dxfId="35" priority="62" operator="equal">
      <formula>0</formula>
    </cfRule>
  </conditionalFormatting>
  <conditionalFormatting sqref="H9:H1418">
    <cfRule type="cellIs" dxfId="34" priority="129" operator="equal">
      <formula>0</formula>
    </cfRule>
  </conditionalFormatting>
  <conditionalFormatting sqref="H1419:I1454">
    <cfRule type="cellIs" dxfId="33" priority="128" operator="equal">
      <formula>0</formula>
    </cfRule>
  </conditionalFormatting>
  <conditionalFormatting sqref="I108:I1418">
    <cfRule type="cellIs" dxfId="32" priority="125" operator="equal">
      <formula>0</formula>
    </cfRule>
  </conditionalFormatting>
  <conditionalFormatting sqref="J108:IV1454">
    <cfRule type="cellIs" dxfId="31" priority="139" operator="equal">
      <formula>0</formula>
    </cfRule>
  </conditionalFormatting>
  <conditionalFormatting sqref="M6:IV6">
    <cfRule type="cellIs" dxfId="3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74" t="s">
        <v>1454</v>
      </c>
      <c r="C2" s="574"/>
      <c r="D2" s="574"/>
      <c r="E2" s="574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9" t="s">
        <v>1532</v>
      </c>
      <c r="C4" s="580"/>
      <c r="D4" s="580"/>
      <c r="E4" s="581"/>
      <c r="F4" s="442"/>
      <c r="G4" s="442"/>
      <c r="H4" s="443"/>
      <c r="I4" s="606" t="s">
        <v>1533</v>
      </c>
      <c r="J4" s="607"/>
      <c r="K4" s="607"/>
      <c r="L4" s="608"/>
    </row>
    <row r="5" spans="1:12" ht="34.5" customHeight="1">
      <c r="A5" s="204"/>
      <c r="B5" s="445" t="s">
        <v>1379</v>
      </c>
      <c r="C5" s="277" t="s">
        <v>9</v>
      </c>
      <c r="D5" s="575" t="str">
        <f>DATA!D14</f>
        <v>IOH BUMI HARJO HUNTUR</v>
      </c>
      <c r="E5" s="576"/>
      <c r="F5" s="208"/>
      <c r="G5" s="208"/>
      <c r="I5" s="446" t="s">
        <v>1379</v>
      </c>
      <c r="J5" s="277" t="s">
        <v>9</v>
      </c>
      <c r="K5" s="609" t="str">
        <f>D5</f>
        <v>IOH BUMI HARJO HUNTUR</v>
      </c>
      <c r="L5" s="610"/>
    </row>
    <row r="6" spans="1:12" ht="31.5" customHeight="1">
      <c r="A6" s="204"/>
      <c r="B6" s="445" t="s">
        <v>1529</v>
      </c>
      <c r="C6" s="277" t="s">
        <v>9</v>
      </c>
      <c r="D6" s="584">
        <f>DATA!D17*1000</f>
        <v>0</v>
      </c>
      <c r="E6" s="585"/>
      <c r="F6" s="208"/>
      <c r="G6" s="208"/>
      <c r="I6" s="446" t="s">
        <v>1530</v>
      </c>
      <c r="J6" s="277" t="s">
        <v>9</v>
      </c>
      <c r="K6" s="611">
        <f>DATA!D20*1000</f>
        <v>11000</v>
      </c>
      <c r="L6" s="612"/>
    </row>
    <row r="7" spans="1:12" ht="30.75" customHeight="1">
      <c r="A7" s="204"/>
      <c r="B7" s="445" t="s">
        <v>1441</v>
      </c>
      <c r="C7" s="277" t="s">
        <v>9</v>
      </c>
      <c r="D7" s="582">
        <f>DATA!D18</f>
        <v>1</v>
      </c>
      <c r="E7" s="583"/>
      <c r="F7" s="444" t="s">
        <v>1453</v>
      </c>
      <c r="I7" s="446" t="s">
        <v>1441</v>
      </c>
      <c r="J7" s="277" t="s">
        <v>9</v>
      </c>
      <c r="K7" s="613">
        <f>DATA!D21</f>
        <v>1</v>
      </c>
      <c r="L7" s="614"/>
    </row>
    <row r="8" spans="1:12" ht="51" customHeight="1">
      <c r="A8" s="204"/>
      <c r="B8" s="445" t="s">
        <v>1442</v>
      </c>
      <c r="C8" s="277" t="s">
        <v>9</v>
      </c>
      <c r="D8" s="582">
        <f>DATA!D19</f>
        <v>220</v>
      </c>
      <c r="E8" s="583"/>
      <c r="F8" s="444" t="s">
        <v>1453</v>
      </c>
      <c r="G8" s="439">
        <v>220</v>
      </c>
      <c r="I8" s="446" t="s">
        <v>1442</v>
      </c>
      <c r="J8" s="277" t="s">
        <v>9</v>
      </c>
      <c r="K8" s="613">
        <f>DATA!D22</f>
        <v>220</v>
      </c>
      <c r="L8" s="614"/>
    </row>
    <row r="9" spans="1:12" ht="30" customHeight="1" thickBot="1">
      <c r="A9" s="204"/>
      <c r="B9" s="451" t="s">
        <v>1541</v>
      </c>
      <c r="C9" s="441" t="s">
        <v>9</v>
      </c>
      <c r="D9" s="577">
        <f>IF(D7=1,D6/(380/3^0.5),(D6/(380*3^0.5)))</f>
        <v>0</v>
      </c>
      <c r="E9" s="578"/>
      <c r="F9" s="207"/>
      <c r="G9" s="440">
        <v>380</v>
      </c>
      <c r="I9" s="452" t="s">
        <v>1541</v>
      </c>
      <c r="J9" s="441" t="s">
        <v>9</v>
      </c>
      <c r="K9" s="615">
        <f>IF(K7=1,K6/(380/3^0.5),(K6/(380*3^0.5)))</f>
        <v>50.138312850678027</v>
      </c>
      <c r="L9" s="616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86"/>
      <c r="E12" s="587"/>
      <c r="F12" s="208"/>
      <c r="G12" s="208"/>
      <c r="I12" s="468" t="s">
        <v>1534</v>
      </c>
      <c r="J12" s="469" t="s">
        <v>9</v>
      </c>
      <c r="K12" s="586"/>
      <c r="L12" s="587"/>
    </row>
    <row r="13" spans="1:12" ht="31.5" customHeight="1">
      <c r="A13" s="204"/>
      <c r="B13" s="476" t="s">
        <v>1380</v>
      </c>
      <c r="C13" s="456" t="s">
        <v>9</v>
      </c>
      <c r="D13" s="590"/>
      <c r="E13" s="591"/>
      <c r="F13" s="208"/>
      <c r="G13" s="208"/>
      <c r="I13" s="470" t="s">
        <v>1380</v>
      </c>
      <c r="J13" s="456" t="s">
        <v>9</v>
      </c>
      <c r="K13" s="590"/>
      <c r="L13" s="591"/>
    </row>
    <row r="14" spans="1:12" ht="30.75" customHeight="1">
      <c r="A14" s="204"/>
      <c r="B14" s="476" t="s">
        <v>1535</v>
      </c>
      <c r="C14" s="456" t="s">
        <v>9</v>
      </c>
      <c r="D14" s="598"/>
      <c r="E14" s="599"/>
      <c r="F14" s="444" t="s">
        <v>1453</v>
      </c>
      <c r="G14" s="448">
        <v>50</v>
      </c>
      <c r="I14" s="470" t="s">
        <v>1535</v>
      </c>
      <c r="J14" s="456" t="s">
        <v>9</v>
      </c>
      <c r="K14" s="600"/>
      <c r="L14" s="601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602">
        <v>0</v>
      </c>
      <c r="E16" s="603"/>
      <c r="F16" s="444"/>
      <c r="G16" s="448">
        <v>160</v>
      </c>
      <c r="I16" s="470" t="s">
        <v>1537</v>
      </c>
      <c r="J16" s="456" t="s">
        <v>9</v>
      </c>
      <c r="K16" s="604">
        <f>K9</f>
        <v>50.138312850678027</v>
      </c>
      <c r="L16" s="605"/>
    </row>
    <row r="17" spans="1:12" ht="34.5" customHeight="1">
      <c r="A17" s="204"/>
      <c r="B17" s="476" t="s">
        <v>1538</v>
      </c>
      <c r="C17" s="456" t="s">
        <v>9</v>
      </c>
      <c r="D17" s="592">
        <f>IF(D15=1,D14/(20/3^0.5),(D14/(20*3^0.5)))</f>
        <v>0</v>
      </c>
      <c r="E17" s="593"/>
      <c r="F17" s="444" t="s">
        <v>1453</v>
      </c>
      <c r="G17" s="449">
        <v>200</v>
      </c>
      <c r="I17" s="470" t="s">
        <v>1538</v>
      </c>
      <c r="J17" s="456" t="s">
        <v>9</v>
      </c>
      <c r="K17" s="596">
        <f>IF(K15=1,K14/(20/3^0.5),(K14/(20*3^0.5)))</f>
        <v>0</v>
      </c>
      <c r="L17" s="597"/>
    </row>
    <row r="18" spans="1:12" ht="34.5" customHeight="1">
      <c r="A18" s="204"/>
      <c r="B18" s="476" t="s">
        <v>1539</v>
      </c>
      <c r="C18" s="456" t="s">
        <v>9</v>
      </c>
      <c r="D18" s="592">
        <f>IF(D15=1,D14/(380/3^0.5),(D14/(380*3^0.5)))*1000</f>
        <v>0</v>
      </c>
      <c r="E18" s="593"/>
      <c r="F18" s="444" t="s">
        <v>1453</v>
      </c>
      <c r="G18" s="449">
        <v>250</v>
      </c>
      <c r="I18" s="470" t="s">
        <v>1539</v>
      </c>
      <c r="J18" s="456" t="s">
        <v>9</v>
      </c>
      <c r="K18" s="596">
        <f>IF(K15=1,K14/(380/3^0.5),(K14/(380*3^0.5)))*1000</f>
        <v>0</v>
      </c>
      <c r="L18" s="597"/>
    </row>
    <row r="19" spans="1:12" ht="30" customHeight="1">
      <c r="A19" s="204"/>
      <c r="B19" s="477" t="s">
        <v>1531</v>
      </c>
      <c r="C19" s="455" t="s">
        <v>9</v>
      </c>
      <c r="D19" s="592">
        <f>IF(D15=1,D14/(380/3^0.5),(D14/(380*3^0.5)))</f>
        <v>0</v>
      </c>
      <c r="E19" s="593"/>
      <c r="F19" s="207"/>
      <c r="G19" s="440"/>
      <c r="I19" s="472" t="s">
        <v>1531</v>
      </c>
      <c r="J19" s="455" t="s">
        <v>9</v>
      </c>
      <c r="K19" s="596">
        <f>IF(K15=1,K14/(380/3^0.5),(K14/(380*3^0.5)))</f>
        <v>0</v>
      </c>
      <c r="L19" s="597"/>
    </row>
    <row r="20" spans="1:12" ht="30" customHeight="1" thickBot="1">
      <c r="A20" s="204"/>
      <c r="B20" s="478" t="s">
        <v>1540</v>
      </c>
      <c r="C20" s="474" t="s">
        <v>9</v>
      </c>
      <c r="D20" s="588" t="e">
        <f>D16/D18</f>
        <v>#DIV/0!</v>
      </c>
      <c r="E20" s="589"/>
      <c r="F20" s="207"/>
      <c r="G20" s="440"/>
      <c r="I20" s="473" t="s">
        <v>1531</v>
      </c>
      <c r="J20" s="474" t="s">
        <v>9</v>
      </c>
      <c r="K20" s="594" t="e">
        <f>K16/K18</f>
        <v>#DIV/0!</v>
      </c>
      <c r="L20" s="595"/>
    </row>
    <row r="21" spans="1:12" ht="9.75" customHeight="1">
      <c r="A21" s="204"/>
      <c r="B21" s="463" t="s">
        <v>1540</v>
      </c>
      <c r="C21" s="464" t="s">
        <v>9</v>
      </c>
      <c r="D21" s="573">
        <v>1</v>
      </c>
      <c r="E21" s="573"/>
      <c r="F21" s="465"/>
      <c r="G21" s="466"/>
      <c r="H21" s="467"/>
      <c r="I21" s="463" t="s">
        <v>1531</v>
      </c>
      <c r="J21" s="464" t="s">
        <v>9</v>
      </c>
      <c r="K21" s="573">
        <v>1</v>
      </c>
      <c r="L21" s="573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70"/>
      <c r="C24" s="571"/>
      <c r="D24" s="571"/>
      <c r="E24" s="572"/>
      <c r="I24" s="570"/>
      <c r="J24" s="571"/>
      <c r="K24" s="571"/>
      <c r="L24" s="572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9" priority="5" stopIfTrue="1" operator="greaterThan">
      <formula>0.89</formula>
    </cfRule>
    <cfRule type="cellIs" dxfId="2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L23" sqref="L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7"/>
      <c r="C1" s="617"/>
      <c r="D1" s="61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RAB!K141</f>
        <v>103443304.13373789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2068866.0826747578</v>
      </c>
    </row>
    <row r="12" spans="2:11" ht="9" customHeight="1">
      <c r="B12" s="618"/>
      <c r="C12" s="618"/>
      <c r="D12" s="618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1635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1632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11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9" t="s">
        <v>1357</v>
      </c>
      <c r="C3" s="619"/>
      <c r="D3" s="619"/>
      <c r="E3" s="619"/>
      <c r="F3" s="305" t="str">
        <f>DATA!D14</f>
        <v>IOH BUMI HARJO HUNTUR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20" t="s">
        <v>1349</v>
      </c>
      <c r="C5" s="620" t="s">
        <v>1358</v>
      </c>
      <c r="D5" s="621" t="s">
        <v>1359</v>
      </c>
      <c r="E5" s="621" t="s">
        <v>1360</v>
      </c>
      <c r="F5" s="620" t="s">
        <v>1361</v>
      </c>
      <c r="G5" s="620"/>
      <c r="H5" s="620"/>
      <c r="I5" s="620"/>
      <c r="J5" s="620"/>
      <c r="K5" s="620" t="s">
        <v>1362</v>
      </c>
      <c r="L5" s="620"/>
      <c r="M5" s="307"/>
      <c r="N5" s="624" t="s">
        <v>1363</v>
      </c>
      <c r="O5" s="621" t="s">
        <v>1364</v>
      </c>
      <c r="P5" s="621" t="s">
        <v>1365</v>
      </c>
      <c r="Q5" s="621" t="s">
        <v>1366</v>
      </c>
      <c r="R5" s="308"/>
      <c r="S5" s="309"/>
      <c r="T5" s="622" t="s">
        <v>1367</v>
      </c>
      <c r="U5" s="310"/>
    </row>
    <row r="6" spans="1:21" ht="20.100000000000001" customHeight="1">
      <c r="B6" s="620"/>
      <c r="C6" s="620"/>
      <c r="D6" s="620"/>
      <c r="E6" s="620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5"/>
      <c r="O6" s="620"/>
      <c r="P6" s="620"/>
      <c r="Q6" s="620"/>
      <c r="R6" s="308"/>
      <c r="S6" s="309"/>
      <c r="T6" s="620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103.4433041337379</v>
      </c>
      <c r="G7" s="318">
        <f ca="1">DATA!$D$11/1000000</f>
        <v>2.068866082674758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109.41415308156765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-93.669809081567649</v>
      </c>
      <c r="O7" s="314">
        <v>1</v>
      </c>
      <c r="P7" s="316">
        <f ca="1">O7*N7</f>
        <v>-93.669809081567649</v>
      </c>
      <c r="Q7" s="316">
        <f ca="1">P7</f>
        <v>-93.669809081567649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2.068866082674758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7.9218403804072484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-0.29382438040724868</v>
      </c>
      <c r="O8" s="315">
        <f>1/(1+'[93]Asumsi I'!$C$3)^(KKF!A8)</f>
        <v>0.89285714285714279</v>
      </c>
      <c r="P8" s="316">
        <f ca="1">O8*N8</f>
        <v>-0.26234319679218632</v>
      </c>
      <c r="Q8" s="316">
        <f ca="1">Q7+P8</f>
        <v>-93.932152278359837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2.068866082674758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7.9218403804072484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-0.29382438040724868</v>
      </c>
      <c r="O9" s="322">
        <f>1/(1+'[93]Asumsi I'!$C$3)^(KKF!A9)</f>
        <v>0.79719387755102034</v>
      </c>
      <c r="P9" s="316">
        <f t="shared" ref="P9:P32" ca="1" si="7">O9*N9</f>
        <v>-0.23423499713588061</v>
      </c>
      <c r="Q9" s="316">
        <f ca="1">Q8+P9</f>
        <v>-94.166387275495723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2.068866082674758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7.9218403804072484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-0.29382438040724868</v>
      </c>
      <c r="O10" s="315">
        <f>1/(1+'[93]Asumsi I'!$C$3)^(KKF!A10)</f>
        <v>0.71178024781341087</v>
      </c>
      <c r="P10" s="316">
        <f t="shared" ca="1" si="7"/>
        <v>-0.20913839029989337</v>
      </c>
      <c r="Q10" s="316">
        <f t="shared" ref="Q10:Q30" ca="1" si="9">Q9+P10</f>
        <v>-94.375525665795621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2.068866082674758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7.9218403804072484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-0.29382438040724868</v>
      </c>
      <c r="O11" s="315">
        <f>1/(1+'[93]Asumsi I'!$C$3)^(KKF!A11)</f>
        <v>0.63551807840483121</v>
      </c>
      <c r="P11" s="316">
        <f t="shared" ca="1" si="7"/>
        <v>-0.18673070562490482</v>
      </c>
      <c r="Q11" s="316">
        <f t="shared" ca="1" si="9"/>
        <v>-94.562256371420531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2.068866082674758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7.9218403804072484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-0.29382438040724868</v>
      </c>
      <c r="O12" s="315">
        <f>1/(1+'[93]Asumsi I'!$C$3)^(KKF!A12)</f>
        <v>0.56742685571859919</v>
      </c>
      <c r="P12" s="316">
        <f t="shared" ca="1" si="7"/>
        <v>-0.1667238443079507</v>
      </c>
      <c r="Q12" s="316">
        <f t="shared" ca="1" si="9"/>
        <v>-94.728980215728484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2.068866082674758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7.9218403804072484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-0.29382438040724868</v>
      </c>
      <c r="O13" s="315">
        <f>1/(1+'[93]Asumsi I'!$C$3)^(KKF!A13)</f>
        <v>0.50663112117732068</v>
      </c>
      <c r="P13" s="316">
        <f t="shared" ca="1" si="7"/>
        <v>-0.14886057527495597</v>
      </c>
      <c r="Q13" s="316">
        <f t="shared" ca="1" si="9"/>
        <v>-94.877840791003436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2.068866082674758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7.9218403804072484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-0.29382438040724868</v>
      </c>
      <c r="O14" s="315">
        <f>1/(1+'[93]Asumsi I'!$C$3)^(KKF!A14)</f>
        <v>0.45234921533689343</v>
      </c>
      <c r="P14" s="316">
        <f t="shared" ca="1" si="7"/>
        <v>-0.13291122792406782</v>
      </c>
      <c r="Q14" s="316">
        <f t="shared" ca="1" si="9"/>
        <v>-95.010752018927505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2.068866082674758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7.9218403804072484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-0.29382438040724868</v>
      </c>
      <c r="O15" s="315">
        <f>1/(1+'[93]Asumsi I'!$C$3)^(KKF!A15)</f>
        <v>0.4038832279793691</v>
      </c>
      <c r="P15" s="316">
        <f t="shared" ca="1" si="7"/>
        <v>-0.11867073921791768</v>
      </c>
      <c r="Q15" s="316">
        <f t="shared" ca="1" si="9"/>
        <v>-95.129422758145424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2.068866082674758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7.9218403804072484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-0.29382438040724868</v>
      </c>
      <c r="O16" s="315">
        <f>1/(1+'[93]Asumsi I'!$C$3)^(KKF!A16)</f>
        <v>0.36061002498157957</v>
      </c>
      <c r="P16" s="316">
        <f t="shared" ca="1" si="7"/>
        <v>-0.10595601715885508</v>
      </c>
      <c r="Q16" s="316">
        <f t="shared" ca="1" si="9"/>
        <v>-95.235378775304284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2.068866082674758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7.9218403804072484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-0.29382438040724868</v>
      </c>
      <c r="O17" s="315">
        <f>1/(1+'[93]Asumsi I'!$C$3)^(KKF!A17)</f>
        <v>0.32197323659069599</v>
      </c>
      <c r="P17" s="316">
        <f t="shared" ca="1" si="7"/>
        <v>-9.460358674897773E-2</v>
      </c>
      <c r="Q17" s="316">
        <f t="shared" ca="1" si="9"/>
        <v>-95.329982362053258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2.068866082674758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7.9218403804072484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-0.29382438040724868</v>
      </c>
      <c r="O18" s="315">
        <f>1/(1+'[93]Asumsi I'!$C$3)^(KKF!A18)</f>
        <v>0.28747610409883567</v>
      </c>
      <c r="P18" s="316">
        <f t="shared" ca="1" si="7"/>
        <v>-8.4467488168730107E-2</v>
      </c>
      <c r="Q18" s="316">
        <f t="shared" ca="1" si="9"/>
        <v>-95.414449850221985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2.068866082674758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7.9218403804072484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-0.29382438040724868</v>
      </c>
      <c r="O19" s="315">
        <f>1/(1+'[93]Asumsi I'!$C$3)^(KKF!A19)</f>
        <v>0.25667509294538904</v>
      </c>
      <c r="P19" s="316">
        <f t="shared" ca="1" si="7"/>
        <v>-7.5417400150651903E-2</v>
      </c>
      <c r="Q19" s="316">
        <f t="shared" ca="1" si="9"/>
        <v>-95.48986725037264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2.068866082674758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7.9218403804072484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-0.29382438040724868</v>
      </c>
      <c r="O20" s="315">
        <f>1/(1+'[93]Asumsi I'!$C$3)^(KKF!A20)</f>
        <v>0.22917419012981158</v>
      </c>
      <c r="P20" s="316">
        <f t="shared" ca="1" si="7"/>
        <v>-6.7336964420224896E-2</v>
      </c>
      <c r="Q20" s="316">
        <f t="shared" ca="1" si="9"/>
        <v>-95.557204214792861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2.068866082674758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7.9218403804072484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-0.29382438040724868</v>
      </c>
      <c r="O21" s="315">
        <f>1/(1+'[93]Asumsi I'!$C$3)^(KKF!A21)</f>
        <v>0.20461981261590317</v>
      </c>
      <c r="P21" s="316">
        <f t="shared" ca="1" si="7"/>
        <v>-6.0122289660915075E-2</v>
      </c>
      <c r="Q21" s="316">
        <f t="shared" ca="1" si="9"/>
        <v>-95.617326504453771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2.068866082674758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7.9218403804072484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-0.29382438040724868</v>
      </c>
      <c r="O22" s="315">
        <f>1/(1+'[93]Asumsi I'!$C$3)^(KKF!A22)</f>
        <v>0.18269626126419927</v>
      </c>
      <c r="P22" s="316">
        <f t="shared" ca="1" si="7"/>
        <v>-5.3680615768674181E-2</v>
      </c>
      <c r="Q22" s="316">
        <f t="shared" ca="1" si="9"/>
        <v>-95.671007120222441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2.068866082674758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7.9218403804072484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-0.29382438040724868</v>
      </c>
      <c r="O23" s="315">
        <f>1/(1+'[93]Asumsi I'!$C$3)^(KKF!A23)</f>
        <v>0.16312166184303503</v>
      </c>
      <c r="P23" s="316">
        <f t="shared" ca="1" si="7"/>
        <v>-4.7929121222030503E-2</v>
      </c>
      <c r="Q23" s="316">
        <f t="shared" ca="1" si="9"/>
        <v>-95.718936241444467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2.068866082674758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7.9218403804072484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-0.29382438040724868</v>
      </c>
      <c r="O24" s="315">
        <f>1/(1+'[93]Asumsi I'!$C$3)^(KKF!A24)</f>
        <v>0.14564434093128129</v>
      </c>
      <c r="P24" s="316">
        <f t="shared" ca="1" si="7"/>
        <v>-4.279385823395581E-2</v>
      </c>
      <c r="Q24" s="316">
        <f t="shared" ca="1" si="9"/>
        <v>-95.761730099678417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2.068866082674758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7.9218403804072484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-0.29382438040724868</v>
      </c>
      <c r="O25" s="315">
        <f>1/(1+'[93]Asumsi I'!$C$3)^(KKF!A25)</f>
        <v>0.13003959011721541</v>
      </c>
      <c r="P25" s="316">
        <f t="shared" ca="1" si="7"/>
        <v>-3.82088019946034E-2</v>
      </c>
      <c r="Q25" s="316">
        <f t="shared" ca="1" si="9"/>
        <v>-95.799938901673016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2.068866082674758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7.9218403804072484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-0.29382438040724868</v>
      </c>
      <c r="O26" s="315">
        <f>1/(1+'[93]Asumsi I'!$C$3)^(KKF!A26)</f>
        <v>0.1161067768903709</v>
      </c>
      <c r="P26" s="316">
        <f t="shared" ca="1" si="7"/>
        <v>-3.4115001780895889E-2</v>
      </c>
      <c r="Q26" s="316">
        <f t="shared" ca="1" si="9"/>
        <v>-95.834053903453906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2.068866082674758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7.9218403804072484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-0.29382438040724868</v>
      </c>
      <c r="O27" s="315">
        <f>1/(1+'[93]Asumsi I'!$C$3)^(KKF!A27)</f>
        <v>0.1036667650806883</v>
      </c>
      <c r="P27" s="316">
        <f t="shared" ca="1" si="7"/>
        <v>-3.0459823018657042E-2</v>
      </c>
      <c r="Q27" s="316">
        <f t="shared" ca="1" si="9"/>
        <v>-95.864513726472566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2.068866082674758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7.9218403804072484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-0.29382438040724868</v>
      </c>
      <c r="O28" s="315">
        <f>1/(1+'[93]Asumsi I'!$C$3)^(KKF!A28)</f>
        <v>9.2559611679185971E-2</v>
      </c>
      <c r="P28" s="316">
        <f t="shared" ca="1" si="7"/>
        <v>-2.7196270552372358E-2</v>
      </c>
      <c r="Q28" s="316">
        <f t="shared" ca="1" si="9"/>
        <v>-95.891709997024932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2.068866082674758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7.9218403804072484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-0.29382438040724868</v>
      </c>
      <c r="O29" s="315">
        <f>1/(1+'[93]Asumsi I'!$C$3)^(KKF!A29)</f>
        <v>8.2642510427844609E-2</v>
      </c>
      <c r="P29" s="316">
        <f t="shared" ca="1" si="7"/>
        <v>-2.4282384421761029E-2</v>
      </c>
      <c r="Q29" s="316">
        <f t="shared" ca="1" si="9"/>
        <v>-95.915992381446699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2.068866082674758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7.9218403804072484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-0.29382438040724868</v>
      </c>
      <c r="O30" s="315">
        <f>1/(1+'[93]Asumsi I'!$C$3)^(KKF!A30)</f>
        <v>7.3787955739146982E-2</v>
      </c>
      <c r="P30" s="316">
        <f t="shared" ca="1" si="7"/>
        <v>-2.168070037657235E-2</v>
      </c>
      <c r="Q30" s="316">
        <f t="shared" ca="1" si="9"/>
        <v>-95.937673081823277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2.068866082674758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7.9218403804072484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-0.29382438040724868</v>
      </c>
      <c r="O31" s="315">
        <f>1/(1+'[93]Asumsi I'!$C$3)^(KKF!A31)</f>
        <v>6.5882103338524081E-2</v>
      </c>
      <c r="P31" s="316">
        <f t="shared" ca="1" si="7"/>
        <v>-1.9357768193368166E-2</v>
      </c>
      <c r="Q31" s="316">
        <f ca="1">Q30+P31</f>
        <v>-95.95703085001665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2.068866082674758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7.9218403804072484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-0.29382438040724868</v>
      </c>
      <c r="O32" s="315">
        <f>1/(1+'[93]Asumsi I'!$C$3)^(KKF!A32)</f>
        <v>5.8823306552253637E-2</v>
      </c>
      <c r="P32" s="316">
        <f t="shared" ca="1" si="7"/>
        <v>-1.7283721601221578E-2</v>
      </c>
      <c r="Q32" s="316">
        <f ca="1">Q31+P32</f>
        <v>-95.974314571617867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23" t="s">
        <v>1374</v>
      </c>
      <c r="G33" s="623"/>
      <c r="H33" s="623"/>
      <c r="I33" s="324"/>
      <c r="J33" s="325">
        <f ca="1">SUM(J7:J32)</f>
        <v>307.460162591749</v>
      </c>
      <c r="K33" s="623" t="s">
        <v>1375</v>
      </c>
      <c r="L33" s="623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-372.37942246288964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0.67145200945633077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-85.691352296087373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7" priority="1" stopIfTrue="1" operator="greaterThanOrEqual">
      <formula>$F$7</formula>
    </cfRule>
    <cfRule type="cellIs" dxfId="26" priority="2" stopIfTrue="1" operator="lessThan">
      <formula>$F$7</formula>
    </cfRule>
  </conditionalFormatting>
  <conditionalFormatting sqref="Q7:Q32">
    <cfRule type="cellIs" dxfId="25" priority="3" operator="lessThan">
      <formula>0</formula>
    </cfRule>
    <cfRule type="cellIs" dxfId="24" priority="4" operator="lessThan">
      <formula>0</formula>
    </cfRule>
    <cfRule type="cellIs" dxfId="23" priority="5" operator="lessThan">
      <formula>-6395.81</formula>
    </cfRule>
    <cfRule type="cellIs" dxfId="2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6"/>
  <sheetViews>
    <sheetView showGridLines="0" tabSelected="1" zoomScale="70" zoomScaleNormal="70" zoomScaleSheetLayoutView="70" workbookViewId="0">
      <pane ySplit="13" topLeftCell="A116" activePane="bottomLeft" state="frozen"/>
      <selection activeCell="H1093" sqref="H1093"/>
      <selection pane="bottomLeft" activeCell="A134" sqref="A134:XFD135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8.8554687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6" t="s">
        <v>1036</v>
      </c>
      <c r="P3" s="626"/>
      <c r="Q3" s="346"/>
      <c r="T3" s="344"/>
      <c r="U3" s="345" t="s">
        <v>1041</v>
      </c>
      <c r="V3" s="344"/>
    </row>
    <row r="4" spans="1:22" ht="15.75" customHeight="1">
      <c r="B4" s="627" t="s">
        <v>1023</v>
      </c>
      <c r="C4" s="627"/>
      <c r="D4" s="627"/>
      <c r="E4" s="627"/>
      <c r="F4" s="627"/>
      <c r="G4" s="627"/>
      <c r="H4" s="627"/>
      <c r="I4" s="627"/>
      <c r="J4" s="627"/>
      <c r="K4" s="627"/>
      <c r="O4" s="626"/>
      <c r="P4" s="626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43" t="str">
        <f>DATA!D14</f>
        <v>IOH BUMI HARJO HUNTUR</v>
      </c>
      <c r="H6" s="643"/>
      <c r="I6" s="643"/>
      <c r="J6" s="643"/>
      <c r="K6" s="64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9" t="s">
        <v>0</v>
      </c>
      <c r="C11" s="631" t="s">
        <v>1</v>
      </c>
      <c r="D11" s="634" t="s">
        <v>42</v>
      </c>
      <c r="E11" s="634" t="s">
        <v>43</v>
      </c>
      <c r="F11" s="634" t="s">
        <v>2</v>
      </c>
      <c r="G11" s="636" t="s">
        <v>41</v>
      </c>
      <c r="H11" s="634" t="s">
        <v>3</v>
      </c>
      <c r="I11" s="634"/>
      <c r="J11" s="634"/>
      <c r="K11" s="653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0"/>
      <c r="C12" s="632"/>
      <c r="D12" s="635"/>
      <c r="E12" s="635"/>
      <c r="F12" s="635"/>
      <c r="G12" s="637"/>
      <c r="H12" s="639" t="s">
        <v>46</v>
      </c>
      <c r="I12" s="639" t="s">
        <v>5</v>
      </c>
      <c r="J12" s="635" t="s">
        <v>47</v>
      </c>
      <c r="K12" s="654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0"/>
      <c r="C13" s="633"/>
      <c r="D13" s="635"/>
      <c r="E13" s="635"/>
      <c r="F13" s="635"/>
      <c r="G13" s="638"/>
      <c r="H13" s="640"/>
      <c r="I13" s="640"/>
      <c r="J13" s="635"/>
      <c r="K13" s="654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461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Set</v>
      </c>
      <c r="F17" s="368">
        <v>2</v>
      </c>
      <c r="G17" s="360">
        <f ca="1">IF(ISERROR(OFFSET('HARGA SATUAN'!$I$6,MATCH(RAB!C17,'HARGA SATUAN'!$C$7:$C$1492,0),0)),0,OFFSET('HARGA SATUAN'!$I$6,MATCH(RAB!C17,'HARGA SATUAN'!$C$7:$C$1492,0),0))</f>
        <v>200000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400000</v>
      </c>
      <c r="J17" s="361">
        <f t="shared" ref="J17" ca="1" si="10">IF(D17="JASA",G17*F17,0)</f>
        <v>0</v>
      </c>
      <c r="K17" s="362">
        <f t="shared" ref="K17" ca="1" si="11">SUM(H17:J17)</f>
        <v>400000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2</v>
      </c>
      <c r="C18" s="109" t="s">
        <v>103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4</v>
      </c>
      <c r="G18" s="360">
        <f ca="1">IF(ISERROR(OFFSET('HARGA SATUAN'!$I$6,MATCH(RAB!C18,'HARGA SATUAN'!$C$7:$C$1492,0),0)),0,OFFSET('HARGA SATUAN'!$I$6,MATCH(RAB!C18,'HARGA SATUAN'!$C$7:$C$1492,0),0))</f>
        <v>5800000</v>
      </c>
      <c r="H18" s="361">
        <f t="shared" ref="H18:H23" ca="1" si="12">IF(OR(D18="MDU",D18="MDU-KD"),(IF($O$3="RAB NON MDU","PLN KD",G18*F18)),0)</f>
        <v>0</v>
      </c>
      <c r="I18" s="361">
        <f t="shared" ref="I18:I23" ca="1" si="13">IF(D18="HDW",G18*F18,0)</f>
        <v>23200000</v>
      </c>
      <c r="J18" s="361">
        <f t="shared" ref="J18:J23" ca="1" si="14">IF(D18="JASA",G18*F18,0)</f>
        <v>0</v>
      </c>
      <c r="K18" s="362">
        <f t="shared" ref="K18:K23" ca="1" si="15">SUM(H18:J18)</f>
        <v>23200000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3</v>
      </c>
      <c r="C19" s="109" t="s">
        <v>104</v>
      </c>
      <c r="D19" s="358" t="str">
        <f ca="1">IF(ISERROR(OFFSET('HARGA SATUAN'!$D$6,MATCH(RAB!C19,'HARGA SATUAN'!$C$7:$C$1492,0),0)),"",OFFSET('HARGA SATUAN'!$D$6,MATCH(RAB!C19,'HARGA SATUAN'!$C$7:$C$1492,0),0))</f>
        <v>HDW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v>2</v>
      </c>
      <c r="G19" s="360">
        <f ca="1">IF(ISERROR(OFFSET('HARGA SATUAN'!$I$6,MATCH(RAB!C19,'HARGA SATUAN'!$C$7:$C$1492,0),0)),0,OFFSET('HARGA SATUAN'!$I$6,MATCH(RAB!C19,'HARGA SATUAN'!$C$7:$C$1492,0),0))</f>
        <v>6074400</v>
      </c>
      <c r="H19" s="361">
        <f t="shared" ca="1" si="12"/>
        <v>0</v>
      </c>
      <c r="I19" s="361">
        <f t="shared" ca="1" si="13"/>
        <v>12148800</v>
      </c>
      <c r="J19" s="361">
        <f t="shared" ca="1" si="14"/>
        <v>0</v>
      </c>
      <c r="K19" s="362">
        <f t="shared" ca="1" si="15"/>
        <v>12148800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>
        <v>4</v>
      </c>
      <c r="C20" s="109" t="s">
        <v>6</v>
      </c>
      <c r="D20" s="358" t="str">
        <f ca="1">IF(ISERROR(OFFSET('HARGA SATUAN'!$D$6,MATCH(RAB!C20,'HARGA SATUAN'!$C$7:$C$1492,0),0)),"",OFFSET('HARGA SATUAN'!$D$6,MATCH(RAB!C20,'HARGA SATUAN'!$C$7:$C$1492,0),0))</f>
        <v>JASA</v>
      </c>
      <c r="E20" s="359" t="str">
        <f ca="1">IF(B20="+","Unit",IF(ISERROR(OFFSET('HARGA SATUAN'!$E$6,MATCH(RAB!C20,'HARGA SATUAN'!$C$7:$C$1492,0),0)),"",OFFSET('HARGA SATUAN'!$E$6,MATCH(RAB!C20,'HARGA SATUAN'!$C$7:$C$1492,0),0)))</f>
        <v>Btg</v>
      </c>
      <c r="F20" s="368">
        <f>F18+F19</f>
        <v>6</v>
      </c>
      <c r="G20" s="360">
        <f ca="1">IF(ISERROR(OFFSET('HARGA SATUAN'!$I$6,MATCH(RAB!C20,'HARGA SATUAN'!$C$7:$C$1492,0),0)),0,OFFSET('HARGA SATUAN'!$I$6,MATCH(RAB!C20,'HARGA SATUAN'!$C$7:$C$1492,0),0))</f>
        <v>10066.666666666668</v>
      </c>
      <c r="H20" s="361">
        <f t="shared" ca="1" si="12"/>
        <v>0</v>
      </c>
      <c r="I20" s="361">
        <f t="shared" ca="1" si="13"/>
        <v>0</v>
      </c>
      <c r="J20" s="361">
        <f t="shared" ca="1" si="14"/>
        <v>60400.000000000007</v>
      </c>
      <c r="K20" s="362">
        <f t="shared" ca="1" si="15"/>
        <v>60400.000000000007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71"/>
      <c r="C21" s="109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/>
      <c r="B22" s="366" t="s">
        <v>1613</v>
      </c>
      <c r="C22" s="367" t="s">
        <v>1647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12"/>
        <v>0</v>
      </c>
      <c r="I22" s="361">
        <f t="shared" ca="1" si="13"/>
        <v>0</v>
      </c>
      <c r="J22" s="361">
        <f t="shared" ca="1" si="14"/>
        <v>0</v>
      </c>
      <c r="K22" s="362">
        <f t="shared" ca="1" si="15"/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65" customFormat="1">
      <c r="A23" s="336"/>
      <c r="B23" s="519"/>
      <c r="C23" s="520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2"/>
        <v>0</v>
      </c>
      <c r="I23" s="361">
        <f t="shared" ca="1" si="13"/>
        <v>0</v>
      </c>
      <c r="J23" s="361">
        <f t="shared" ca="1" si="14"/>
        <v>0</v>
      </c>
      <c r="K23" s="362">
        <f t="shared" ca="1" si="15"/>
        <v>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22" t="s">
        <v>1035</v>
      </c>
      <c r="C24" s="523" t="s">
        <v>1633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27">
        <v>3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ref="H24:H38" ca="1" si="16">IF(OR(D24="MDU",D24="MDU-KD"),(IF($O$3="RAB NON MDU","PLN KD",G24*F24)),0)</f>
        <v>0</v>
      </c>
      <c r="I24" s="361">
        <f t="shared" ref="I24:I38" ca="1" si="17">IF(D24="HDW",G24*F24,0)</f>
        <v>0</v>
      </c>
      <c r="J24" s="361">
        <f t="shared" ref="J24:J38" ca="1" si="18">IF(D24="JASA",G24*F24,0)</f>
        <v>0</v>
      </c>
      <c r="K24" s="362">
        <f t="shared" ref="K24:K38" ca="1" si="19">SUM(H24:J24)</f>
        <v>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22">
        <v>1</v>
      </c>
      <c r="C25" s="109" t="s">
        <v>1129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27">
        <f>F24*1</f>
        <v>3</v>
      </c>
      <c r="G25" s="360">
        <f ca="1">IF(ISERROR(OFFSET('HARGA SATUAN'!$I$6,MATCH(RAB!C25,'HARGA SATUAN'!$C$7:$C$1492,0),0)),0,OFFSET('HARGA SATUAN'!$I$6,MATCH(RAB!C25,'HARGA SATUAN'!$C$7:$C$1492,0),0))</f>
        <v>176900</v>
      </c>
      <c r="H25" s="361">
        <f t="shared" ca="1" si="16"/>
        <v>530700</v>
      </c>
      <c r="I25" s="361">
        <f t="shared" ca="1" si="17"/>
        <v>0</v>
      </c>
      <c r="J25" s="361">
        <f t="shared" ca="1" si="18"/>
        <v>0</v>
      </c>
      <c r="K25" s="362">
        <f t="shared" ca="1" si="19"/>
        <v>530700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22">
        <v>2</v>
      </c>
      <c r="C26" s="523" t="s">
        <v>28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527">
        <f>F24*2</f>
        <v>6</v>
      </c>
      <c r="G26" s="360">
        <f ca="1">IF(ISERROR(OFFSET('HARGA SATUAN'!$I$6,MATCH(RAB!C26,'HARGA SATUAN'!$C$7:$C$1492,0),0)),0,OFFSET('HARGA SATUAN'!$I$6,MATCH(RAB!C26,'HARGA SATUAN'!$C$7:$C$1492,0),0))</f>
        <v>26500</v>
      </c>
      <c r="H26" s="361">
        <f t="shared" ca="1" si="16"/>
        <v>0</v>
      </c>
      <c r="I26" s="361">
        <f t="shared" ca="1" si="17"/>
        <v>159000</v>
      </c>
      <c r="J26" s="361">
        <f t="shared" ca="1" si="18"/>
        <v>0</v>
      </c>
      <c r="K26" s="362">
        <f t="shared" ca="1" si="19"/>
        <v>159000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22">
        <v>3</v>
      </c>
      <c r="C27" s="523" t="s">
        <v>178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F24*1</f>
        <v>3</v>
      </c>
      <c r="G27" s="360">
        <f ca="1">IF(ISERROR(OFFSET('HARGA SATUAN'!$I$6,MATCH(RAB!C27,'HARGA SATUAN'!$C$7:$C$1492,0),0)),0,OFFSET('HARGA SATUAN'!$I$6,MATCH(RAB!C27,'HARGA SATUAN'!$C$7:$C$1492,0),0))</f>
        <v>95000</v>
      </c>
      <c r="H27" s="361">
        <f t="shared" ca="1" si="16"/>
        <v>0</v>
      </c>
      <c r="I27" s="361">
        <f t="shared" ca="1" si="17"/>
        <v>285000</v>
      </c>
      <c r="J27" s="361">
        <f t="shared" ca="1" si="18"/>
        <v>0</v>
      </c>
      <c r="K27" s="362">
        <f t="shared" ca="1" si="19"/>
        <v>285000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522">
        <v>4</v>
      </c>
      <c r="C28" s="523" t="s">
        <v>217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F24*2</f>
        <v>6</v>
      </c>
      <c r="G28" s="360">
        <f ca="1">IF(ISERROR(OFFSET('HARGA SATUAN'!$I$6,MATCH(RAB!C28,'HARGA SATUAN'!$C$7:$C$1492,0),0)),0,OFFSET('HARGA SATUAN'!$I$6,MATCH(RAB!C28,'HARGA SATUAN'!$C$7:$C$1492,0),0))</f>
        <v>11400</v>
      </c>
      <c r="H28" s="361">
        <f t="shared" ca="1" si="16"/>
        <v>0</v>
      </c>
      <c r="I28" s="361">
        <f t="shared" ca="1" si="17"/>
        <v>68400</v>
      </c>
      <c r="J28" s="361">
        <f t="shared" ca="1" si="18"/>
        <v>0</v>
      </c>
      <c r="K28" s="362">
        <f t="shared" ca="1" si="19"/>
        <v>68400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522">
        <v>5</v>
      </c>
      <c r="C29" s="523" t="s">
        <v>254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F24*1</f>
        <v>3</v>
      </c>
      <c r="G29" s="360">
        <f ca="1">IF(ISERROR(OFFSET('HARGA SATUAN'!$I$6,MATCH(RAB!C29,'HARGA SATUAN'!$C$7:$C$1492,0),0)),0,OFFSET('HARGA SATUAN'!$I$6,MATCH(RAB!C29,'HARGA SATUAN'!$C$7:$C$1492,0),0))</f>
        <v>51100</v>
      </c>
      <c r="H29" s="361">
        <f t="shared" ca="1" si="16"/>
        <v>0</v>
      </c>
      <c r="I29" s="361">
        <f t="shared" ca="1" si="17"/>
        <v>153300</v>
      </c>
      <c r="J29" s="361">
        <f t="shared" ca="1" si="18"/>
        <v>0</v>
      </c>
      <c r="K29" s="362">
        <f t="shared" ca="1" si="19"/>
        <v>153300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522">
        <v>6</v>
      </c>
      <c r="C30" s="523" t="s">
        <v>264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F24*1</f>
        <v>3</v>
      </c>
      <c r="G30" s="360">
        <f ca="1">IF(ISERROR(OFFSET('HARGA SATUAN'!$I$6,MATCH(RAB!C30,'HARGA SATUAN'!$C$7:$C$1492,0),0)),0,OFFSET('HARGA SATUAN'!$I$6,MATCH(RAB!C30,'HARGA SATUAN'!$C$7:$C$1492,0),0))</f>
        <v>28000</v>
      </c>
      <c r="H30" s="361">
        <f t="shared" ca="1" si="16"/>
        <v>0</v>
      </c>
      <c r="I30" s="361">
        <f t="shared" ca="1" si="17"/>
        <v>84000</v>
      </c>
      <c r="J30" s="361">
        <f t="shared" ca="1" si="18"/>
        <v>0</v>
      </c>
      <c r="K30" s="362">
        <f t="shared" ca="1" si="19"/>
        <v>84000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524">
        <v>7</v>
      </c>
      <c r="C31" s="525" t="s">
        <v>38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501">
        <f>2.6*F24</f>
        <v>7.8000000000000007</v>
      </c>
      <c r="G31" s="360">
        <f ca="1">IF(ISERROR(OFFSET('HARGA SATUAN'!$I$6,MATCH(RAB!C31,'HARGA SATUAN'!$C$7:$C$1492,0),0)),0,OFFSET('HARGA SATUAN'!$I$6,MATCH(RAB!C31,'HARGA SATUAN'!$C$7:$C$1492,0),0))</f>
        <v>8550</v>
      </c>
      <c r="H31" s="361">
        <f t="shared" ca="1" si="16"/>
        <v>0</v>
      </c>
      <c r="I31" s="361">
        <f t="shared" ca="1" si="17"/>
        <v>66690</v>
      </c>
      <c r="J31" s="361">
        <f t="shared" ca="1" si="18"/>
        <v>0</v>
      </c>
      <c r="K31" s="362">
        <f t="shared" ca="1" si="19"/>
        <v>66690</v>
      </c>
      <c r="L31" s="342"/>
      <c r="M31" s="342"/>
      <c r="N31" s="369"/>
      <c r="O31" s="344"/>
      <c r="P31" s="397"/>
      <c r="Q31" s="344"/>
    </row>
    <row r="32" spans="1:22" s="365" customFormat="1">
      <c r="A32" s="336"/>
      <c r="B32" s="503">
        <v>8</v>
      </c>
      <c r="C32" s="526" t="s">
        <v>26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F24*2</f>
        <v>6</v>
      </c>
      <c r="G32" s="360">
        <f ca="1">IF(ISERROR(OFFSET('HARGA SATUAN'!$I$6,MATCH(RAB!C32,'HARGA SATUAN'!$C$7:$C$1492,0),0)),0,OFFSET('HARGA SATUAN'!$I$6,MATCH(RAB!C32,'HARGA SATUAN'!$C$7:$C$1492,0),0))</f>
        <v>2500</v>
      </c>
      <c r="H32" s="361">
        <f t="shared" ca="1" si="16"/>
        <v>0</v>
      </c>
      <c r="I32" s="361">
        <f t="shared" ca="1" si="17"/>
        <v>15000</v>
      </c>
      <c r="J32" s="361">
        <f t="shared" ca="1" si="18"/>
        <v>0</v>
      </c>
      <c r="K32" s="362">
        <f t="shared" ca="1" si="19"/>
        <v>15000</v>
      </c>
      <c r="L32" s="342"/>
      <c r="M32" s="342"/>
      <c r="N32" s="369"/>
      <c r="O32" s="344"/>
      <c r="P32" s="397"/>
      <c r="Q32" s="344"/>
    </row>
    <row r="33" spans="1:17" s="365" customFormat="1">
      <c r="A33" s="336"/>
      <c r="B33" s="503">
        <v>9</v>
      </c>
      <c r="C33" s="505" t="s">
        <v>641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527">
        <f>F24*1</f>
        <v>3</v>
      </c>
      <c r="G33" s="360">
        <f ca="1">IF(ISERROR(OFFSET('HARGA SATUAN'!$I$6,MATCH(RAB!C33,'HARGA SATUAN'!$C$7:$C$1492,0),0)),0,OFFSET('HARGA SATUAN'!$I$6,MATCH(RAB!C33,'HARGA SATUAN'!$C$7:$C$1492,0),0))</f>
        <v>53200</v>
      </c>
      <c r="H33" s="361">
        <f t="shared" ca="1" si="16"/>
        <v>0</v>
      </c>
      <c r="I33" s="361">
        <f t="shared" ca="1" si="17"/>
        <v>0</v>
      </c>
      <c r="J33" s="361">
        <f t="shared" ca="1" si="18"/>
        <v>159600</v>
      </c>
      <c r="K33" s="362">
        <f t="shared" ca="1" si="19"/>
        <v>159600</v>
      </c>
      <c r="L33" s="342"/>
      <c r="M33" s="342"/>
      <c r="N33" s="369"/>
      <c r="O33" s="344"/>
      <c r="P33" s="397"/>
      <c r="Q33" s="344"/>
    </row>
    <row r="34" spans="1:17" s="365" customFormat="1">
      <c r="A34" s="336"/>
      <c r="B34" s="519"/>
      <c r="C34" s="520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16"/>
        <v>0</v>
      </c>
      <c r="I34" s="361">
        <f t="shared" ca="1" si="17"/>
        <v>0</v>
      </c>
      <c r="J34" s="361">
        <f t="shared" ca="1" si="18"/>
        <v>0</v>
      </c>
      <c r="K34" s="362">
        <f t="shared" ca="1" si="19"/>
        <v>0</v>
      </c>
      <c r="L34" s="342"/>
      <c r="M34" s="342"/>
      <c r="N34" s="369"/>
      <c r="O34" s="344"/>
      <c r="P34" s="397"/>
      <c r="Q34" s="344"/>
    </row>
    <row r="35" spans="1:17" s="365" customFormat="1">
      <c r="A35" s="336"/>
      <c r="B35" s="725" t="s">
        <v>1035</v>
      </c>
      <c r="C35" s="505" t="s">
        <v>1640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726">
        <v>3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16"/>
        <v>0</v>
      </c>
      <c r="I35" s="361">
        <f t="shared" ca="1" si="17"/>
        <v>0</v>
      </c>
      <c r="J35" s="361">
        <f t="shared" ca="1" si="18"/>
        <v>0</v>
      </c>
      <c r="K35" s="362">
        <f t="shared" ca="1" si="19"/>
        <v>0</v>
      </c>
      <c r="L35" s="342"/>
      <c r="M35" s="342"/>
      <c r="N35" s="369"/>
      <c r="O35" s="344"/>
      <c r="P35" s="397"/>
      <c r="Q35" s="344"/>
    </row>
    <row r="36" spans="1:17" s="365" customFormat="1">
      <c r="A36" s="336"/>
      <c r="B36" s="725">
        <v>1</v>
      </c>
      <c r="C36" s="109" t="s">
        <v>1565</v>
      </c>
      <c r="D36" s="358" t="str">
        <f ca="1">IF(ISERROR(OFFSET('HARGA SATUAN'!$D$6,MATCH(RAB!C36,'HARGA SATUAN'!$C$7:$C$1492,0),0)),"",OFFSET('HARGA SATUAN'!$D$6,MATCH(RAB!C36,'HARGA SATUAN'!$C$7:$C$1492,0),0))</f>
        <v>MDU-KD</v>
      </c>
      <c r="E36" s="359" t="str">
        <f ca="1">IF(B36="+","Unit",IF(ISERROR(OFFSET('HARGA SATUAN'!$E$6,MATCH(RAB!C36,'HARGA SATUAN'!$C$7:$C$1492,0),0)),"",OFFSET('HARGA SATUAN'!$E$6,MATCH(RAB!C36,'HARGA SATUAN'!$C$7:$C$1492,0),0)))</f>
        <v>Set</v>
      </c>
      <c r="F36" s="726">
        <f>F35*1</f>
        <v>3</v>
      </c>
      <c r="G36" s="360">
        <f ca="1">IF(ISERROR(OFFSET('HARGA SATUAN'!$I$6,MATCH(RAB!C36,'HARGA SATUAN'!$C$7:$C$1492,0),0)),0,OFFSET('HARGA SATUAN'!$I$6,MATCH(RAB!C36,'HARGA SATUAN'!$C$7:$C$1492,0),0))</f>
        <v>430000</v>
      </c>
      <c r="H36" s="361">
        <f t="shared" ca="1" si="16"/>
        <v>1290000</v>
      </c>
      <c r="I36" s="361">
        <f t="shared" ca="1" si="17"/>
        <v>0</v>
      </c>
      <c r="J36" s="361">
        <f t="shared" ca="1" si="18"/>
        <v>0</v>
      </c>
      <c r="K36" s="362">
        <f t="shared" ca="1" si="19"/>
        <v>1290000</v>
      </c>
      <c r="L36" s="342"/>
      <c r="M36" s="342"/>
      <c r="N36" s="369"/>
      <c r="O36" s="344"/>
      <c r="P36" s="397"/>
      <c r="Q36" s="344"/>
    </row>
    <row r="37" spans="1:17" s="365" customFormat="1">
      <c r="A37" s="336"/>
      <c r="B37" s="725">
        <v>2</v>
      </c>
      <c r="C37" s="505" t="s">
        <v>152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Mtr</v>
      </c>
      <c r="F37" s="726">
        <f>F35*1</f>
        <v>3</v>
      </c>
      <c r="G37" s="360">
        <f ca="1">IF(ISERROR(OFFSET('HARGA SATUAN'!$I$6,MATCH(RAB!C37,'HARGA SATUAN'!$C$7:$C$1492,0),0)),0,OFFSET('HARGA SATUAN'!$I$6,MATCH(RAB!C37,'HARGA SATUAN'!$C$7:$C$1492,0),0))</f>
        <v>7789</v>
      </c>
      <c r="H37" s="361">
        <f t="shared" ca="1" si="16"/>
        <v>0</v>
      </c>
      <c r="I37" s="361">
        <f t="shared" ca="1" si="17"/>
        <v>23367</v>
      </c>
      <c r="J37" s="361">
        <f t="shared" ca="1" si="18"/>
        <v>0</v>
      </c>
      <c r="K37" s="362">
        <f t="shared" ca="1" si="19"/>
        <v>23367</v>
      </c>
      <c r="L37" s="342"/>
      <c r="M37" s="342"/>
      <c r="N37" s="369"/>
      <c r="O37" s="344"/>
      <c r="P37" s="397"/>
      <c r="Q37" s="344"/>
    </row>
    <row r="38" spans="1:17" s="365" customFormat="1">
      <c r="A38" s="336"/>
      <c r="B38" s="725">
        <v>3</v>
      </c>
      <c r="C38" s="505" t="s">
        <v>179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726">
        <f>F35*1</f>
        <v>3</v>
      </c>
      <c r="G38" s="360">
        <f ca="1">IF(ISERROR(OFFSET('HARGA SATUAN'!$I$6,MATCH(RAB!C38,'HARGA SATUAN'!$C$7:$C$1492,0),0)),0,OFFSET('HARGA SATUAN'!$I$6,MATCH(RAB!C38,'HARGA SATUAN'!$C$7:$C$1492,0),0))</f>
        <v>15500</v>
      </c>
      <c r="H38" s="361">
        <f t="shared" ca="1" si="16"/>
        <v>0</v>
      </c>
      <c r="I38" s="361">
        <f t="shared" ca="1" si="17"/>
        <v>46500</v>
      </c>
      <c r="J38" s="361">
        <f t="shared" ca="1" si="18"/>
        <v>0</v>
      </c>
      <c r="K38" s="362">
        <f t="shared" ca="1" si="19"/>
        <v>46500</v>
      </c>
      <c r="L38" s="342"/>
      <c r="M38" s="342"/>
      <c r="N38" s="369"/>
      <c r="O38" s="344"/>
      <c r="P38" s="397"/>
      <c r="Q38" s="344"/>
    </row>
    <row r="39" spans="1:17" s="365" customFormat="1">
      <c r="A39" s="336"/>
      <c r="B39" s="725">
        <v>4</v>
      </c>
      <c r="C39" s="505" t="s">
        <v>217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726">
        <f>F35*2</f>
        <v>6</v>
      </c>
      <c r="G39" s="360">
        <f ca="1">IF(ISERROR(OFFSET('HARGA SATUAN'!$I$6,MATCH(RAB!C39,'HARGA SATUAN'!$C$7:$C$1492,0),0)),0,OFFSET('HARGA SATUAN'!$I$6,MATCH(RAB!C39,'HARGA SATUAN'!$C$7:$C$1492,0),0))</f>
        <v>11400</v>
      </c>
      <c r="H39" s="361">
        <f t="shared" ref="H39:H46" ca="1" si="20">IF(OR(D39="MDU",D39="MDU-KD"),(IF($O$3="RAB NON MDU","PLN KD",G39*F39)),0)</f>
        <v>0</v>
      </c>
      <c r="I39" s="361">
        <f t="shared" ref="I39:I46" ca="1" si="21">IF(D39="HDW",G39*F39,0)</f>
        <v>68400</v>
      </c>
      <c r="J39" s="361">
        <f t="shared" ref="J39:J46" ca="1" si="22">IF(D39="JASA",G39*F39,0)</f>
        <v>0</v>
      </c>
      <c r="K39" s="362">
        <f t="shared" ref="K39:K46" ca="1" si="23">SUM(H39:J39)</f>
        <v>68400</v>
      </c>
      <c r="L39" s="342"/>
      <c r="M39" s="342"/>
      <c r="N39" s="369"/>
      <c r="O39" s="344"/>
      <c r="P39" s="397"/>
      <c r="Q39" s="344"/>
    </row>
    <row r="40" spans="1:17" s="365" customFormat="1">
      <c r="A40" s="336"/>
      <c r="B40" s="725">
        <v>5</v>
      </c>
      <c r="C40" s="505" t="s">
        <v>218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726">
        <f>F35*2</f>
        <v>6</v>
      </c>
      <c r="G40" s="360">
        <f ca="1">IF(ISERROR(OFFSET('HARGA SATUAN'!$I$6,MATCH(RAB!C40,'HARGA SATUAN'!$C$7:$C$1492,0),0)),0,OFFSET('HARGA SATUAN'!$I$6,MATCH(RAB!C40,'HARGA SATUAN'!$C$7:$C$1492,0),0))</f>
        <v>29600</v>
      </c>
      <c r="H40" s="361">
        <f t="shared" ca="1" si="20"/>
        <v>0</v>
      </c>
      <c r="I40" s="361">
        <f t="shared" ca="1" si="21"/>
        <v>177600</v>
      </c>
      <c r="J40" s="361">
        <f t="shared" ca="1" si="22"/>
        <v>0</v>
      </c>
      <c r="K40" s="362">
        <f t="shared" ca="1" si="23"/>
        <v>177600</v>
      </c>
      <c r="L40" s="342"/>
      <c r="M40" s="342"/>
      <c r="N40" s="369"/>
      <c r="O40" s="344"/>
      <c r="P40" s="397"/>
      <c r="Q40" s="344"/>
    </row>
    <row r="41" spans="1:17" s="365" customFormat="1">
      <c r="A41" s="336"/>
      <c r="B41" s="725">
        <v>6</v>
      </c>
      <c r="C41" s="505" t="s">
        <v>223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726">
        <f>F35*2</f>
        <v>6</v>
      </c>
      <c r="G41" s="360">
        <f ca="1">IF(ISERROR(OFFSET('HARGA SATUAN'!$I$6,MATCH(RAB!C41,'HARGA SATUAN'!$C$7:$C$1492,0),0)),0,OFFSET('HARGA SATUAN'!$I$6,MATCH(RAB!C41,'HARGA SATUAN'!$C$7:$C$1492,0),0))</f>
        <v>27815</v>
      </c>
      <c r="H41" s="361">
        <f t="shared" ca="1" si="20"/>
        <v>0</v>
      </c>
      <c r="I41" s="361">
        <f t="shared" ca="1" si="21"/>
        <v>166890</v>
      </c>
      <c r="J41" s="361">
        <f t="shared" ca="1" si="22"/>
        <v>0</v>
      </c>
      <c r="K41" s="362">
        <f t="shared" ca="1" si="23"/>
        <v>166890</v>
      </c>
      <c r="L41" s="342"/>
      <c r="M41" s="342"/>
      <c r="N41" s="369"/>
      <c r="O41" s="344"/>
      <c r="P41" s="397"/>
      <c r="Q41" s="344"/>
    </row>
    <row r="42" spans="1:17" s="365" customFormat="1">
      <c r="A42" s="336"/>
      <c r="B42" s="725">
        <v>7</v>
      </c>
      <c r="C42" s="505" t="s">
        <v>27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726">
        <f>F35*1</f>
        <v>3</v>
      </c>
      <c r="G42" s="360">
        <f ca="1">IF(ISERROR(OFFSET('HARGA SATUAN'!$I$6,MATCH(RAB!C42,'HARGA SATUAN'!$C$7:$C$1492,0),0)),0,OFFSET('HARGA SATUAN'!$I$6,MATCH(RAB!C42,'HARGA SATUAN'!$C$7:$C$1492,0),0))</f>
        <v>16000</v>
      </c>
      <c r="H42" s="361">
        <f t="shared" ca="1" si="20"/>
        <v>0</v>
      </c>
      <c r="I42" s="361">
        <f t="shared" ca="1" si="21"/>
        <v>48000</v>
      </c>
      <c r="J42" s="361">
        <f t="shared" ca="1" si="22"/>
        <v>0</v>
      </c>
      <c r="K42" s="362">
        <f t="shared" ca="1" si="23"/>
        <v>48000</v>
      </c>
      <c r="L42" s="342"/>
      <c r="M42" s="342"/>
      <c r="N42" s="369"/>
      <c r="O42" s="344"/>
      <c r="P42" s="397"/>
      <c r="Q42" s="344"/>
    </row>
    <row r="43" spans="1:17" s="365" customFormat="1">
      <c r="A43" s="336"/>
      <c r="B43" s="725">
        <v>8</v>
      </c>
      <c r="C43" s="505" t="s">
        <v>265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726">
        <f>F35*1</f>
        <v>3</v>
      </c>
      <c r="G43" s="360">
        <f ca="1">IF(ISERROR(OFFSET('HARGA SATUAN'!$I$6,MATCH(RAB!C43,'HARGA SATUAN'!$C$7:$C$1492,0),0)),0,OFFSET('HARGA SATUAN'!$I$6,MATCH(RAB!C43,'HARGA SATUAN'!$C$7:$C$1492,0),0))</f>
        <v>33501.866666666669</v>
      </c>
      <c r="H43" s="361">
        <f t="shared" ca="1" si="20"/>
        <v>0</v>
      </c>
      <c r="I43" s="361">
        <f t="shared" ca="1" si="21"/>
        <v>100505.60000000001</v>
      </c>
      <c r="J43" s="361">
        <f t="shared" ca="1" si="22"/>
        <v>0</v>
      </c>
      <c r="K43" s="362">
        <f t="shared" ca="1" si="23"/>
        <v>100505.60000000001</v>
      </c>
      <c r="L43" s="342"/>
      <c r="M43" s="342"/>
      <c r="N43" s="369"/>
      <c r="O43" s="344"/>
      <c r="P43" s="397"/>
      <c r="Q43" s="344"/>
    </row>
    <row r="44" spans="1:17" s="365" customFormat="1">
      <c r="A44" s="336"/>
      <c r="B44" s="725">
        <v>9</v>
      </c>
      <c r="C44" s="505" t="s">
        <v>26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726">
        <f>F35*2</f>
        <v>6</v>
      </c>
      <c r="G44" s="360">
        <f ca="1">IF(ISERROR(OFFSET('HARGA SATUAN'!$I$6,MATCH(RAB!C44,'HARGA SATUAN'!$C$7:$C$1492,0),0)),0,OFFSET('HARGA SATUAN'!$I$6,MATCH(RAB!C44,'HARGA SATUAN'!$C$7:$C$1492,0),0))</f>
        <v>2500</v>
      </c>
      <c r="H44" s="361">
        <f t="shared" ca="1" si="20"/>
        <v>0</v>
      </c>
      <c r="I44" s="361">
        <f t="shared" ca="1" si="21"/>
        <v>15000</v>
      </c>
      <c r="J44" s="361">
        <f t="shared" ca="1" si="22"/>
        <v>0</v>
      </c>
      <c r="K44" s="362">
        <f t="shared" ca="1" si="23"/>
        <v>15000</v>
      </c>
      <c r="L44" s="342"/>
      <c r="M44" s="342"/>
      <c r="N44" s="369"/>
      <c r="O44" s="344"/>
      <c r="P44" s="397"/>
      <c r="Q44" s="344"/>
    </row>
    <row r="45" spans="1:17" s="365" customFormat="1">
      <c r="A45" s="336"/>
      <c r="B45" s="725">
        <v>10</v>
      </c>
      <c r="C45" s="505" t="s">
        <v>655</v>
      </c>
      <c r="D45" s="358" t="str">
        <f ca="1">IF(ISERROR(OFFSET('HARGA SATUAN'!$D$6,MATCH(RAB!C45,'HARGA SATUAN'!$C$7:$C$1492,0),0)),"",OFFSET('HARGA SATUAN'!$D$6,MATCH(RAB!C45,'HARGA SATUAN'!$C$7:$C$1492,0),0))</f>
        <v>JASA</v>
      </c>
      <c r="E45" s="359" t="str">
        <f ca="1">IF(B45="+","Unit",IF(ISERROR(OFFSET('HARGA SATUAN'!$E$6,MATCH(RAB!C45,'HARGA SATUAN'!$C$7:$C$1492,0),0)),"",OFFSET('HARGA SATUAN'!$E$6,MATCH(RAB!C45,'HARGA SATUAN'!$C$7:$C$1492,0),0)))</f>
        <v>Unit</v>
      </c>
      <c r="F45" s="726">
        <f>F35*1</f>
        <v>3</v>
      </c>
      <c r="G45" s="360">
        <f ca="1">IF(ISERROR(OFFSET('HARGA SATUAN'!$I$6,MATCH(RAB!C45,'HARGA SATUAN'!$C$7:$C$1492,0),0)),0,OFFSET('HARGA SATUAN'!$I$6,MATCH(RAB!C45,'HARGA SATUAN'!$C$7:$C$1492,0),0))</f>
        <v>50100</v>
      </c>
      <c r="H45" s="361">
        <f t="shared" ca="1" si="20"/>
        <v>0</v>
      </c>
      <c r="I45" s="361">
        <f t="shared" ca="1" si="21"/>
        <v>0</v>
      </c>
      <c r="J45" s="361">
        <f t="shared" ca="1" si="22"/>
        <v>150300</v>
      </c>
      <c r="K45" s="362">
        <f t="shared" ca="1" si="23"/>
        <v>150300</v>
      </c>
      <c r="L45" s="342"/>
      <c r="M45" s="342"/>
      <c r="N45" s="369"/>
      <c r="O45" s="344"/>
      <c r="P45" s="397"/>
      <c r="Q45" s="344"/>
    </row>
    <row r="46" spans="1:17" s="365" customFormat="1">
      <c r="A46" s="336"/>
      <c r="B46" s="519"/>
      <c r="C46" s="520"/>
      <c r="D46" s="358" t="str">
        <f ca="1">IF(ISERROR(OFFSET('HARGA SATUAN'!$D$6,MATCH(RAB!C46,'HARGA SATUAN'!$C$7:$C$1492,0),0)),"",OFFSET('HARGA SATUAN'!$D$6,MATCH(RAB!C46,'HARGA SATUAN'!$C$7:$C$1492,0),0))</f>
        <v/>
      </c>
      <c r="E46" s="359" t="str">
        <f ca="1">IF(B46="+","Unit",IF(ISERROR(OFFSET('HARGA SATUAN'!$E$6,MATCH(RAB!C46,'HARGA SATUAN'!$C$7:$C$1492,0),0)),"",OFFSET('HARGA SATUAN'!$E$6,MATCH(RAB!C46,'HARGA SATUAN'!$C$7:$C$1492,0),0)))</f>
        <v/>
      </c>
      <c r="F46" s="368"/>
      <c r="G46" s="360">
        <f ca="1">IF(ISERROR(OFFSET('HARGA SATUAN'!$I$6,MATCH(RAB!C46,'HARGA SATUAN'!$C$7:$C$1492,0),0)),0,OFFSET('HARGA SATUAN'!$I$6,MATCH(RAB!C46,'HARGA SATUAN'!$C$7:$C$1492,0),0))</f>
        <v>0</v>
      </c>
      <c r="H46" s="361">
        <f t="shared" ca="1" si="20"/>
        <v>0</v>
      </c>
      <c r="I46" s="361">
        <f t="shared" ca="1" si="21"/>
        <v>0</v>
      </c>
      <c r="J46" s="361">
        <f t="shared" ca="1" si="22"/>
        <v>0</v>
      </c>
      <c r="K46" s="362">
        <f t="shared" ca="1" si="23"/>
        <v>0</v>
      </c>
      <c r="L46" s="342"/>
      <c r="M46" s="342"/>
      <c r="N46" s="369"/>
      <c r="O46" s="344"/>
      <c r="P46" s="397"/>
      <c r="Q46" s="344"/>
    </row>
    <row r="47" spans="1:17" s="365" customFormat="1">
      <c r="A47" s="336"/>
      <c r="B47" s="519">
        <v>1</v>
      </c>
      <c r="C47" s="109" t="s">
        <v>66</v>
      </c>
      <c r="D47" s="358" t="str">
        <f ca="1">IF(ISERROR(OFFSET('HARGA SATUAN'!$D$6,MATCH(RAB!C47,'HARGA SATUAN'!$C$7:$C$1492,0),0)),"",OFFSET('HARGA SATUAN'!$D$6,MATCH(RAB!C47,'HARGA SATUAN'!$C$7:$C$1492,0),0))</f>
        <v>MDU-KD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368">
        <v>420</v>
      </c>
      <c r="G47" s="360">
        <f ca="1">IF(ISERROR(OFFSET('HARGA SATUAN'!$I$6,MATCH(RAB!C47,'HARGA SATUAN'!$C$7:$C$1492,0),0)),0,OFFSET('HARGA SATUAN'!$I$6,MATCH(RAB!C47,'HARGA SATUAN'!$C$7:$C$1492,0),0))</f>
        <v>25300</v>
      </c>
      <c r="H47" s="361">
        <f t="shared" ref="H47:H64" ca="1" si="24">IF(OR(D47="MDU",D47="MDU-KD"),(IF($O$3="RAB NON MDU","PLN KD",G47*F47)),0)</f>
        <v>10626000</v>
      </c>
      <c r="I47" s="361">
        <f t="shared" ref="I47:I64" ca="1" si="25">IF(D47="HDW",G47*F47,0)</f>
        <v>0</v>
      </c>
      <c r="J47" s="361">
        <f t="shared" ref="J47:J64" ca="1" si="26">IF(D47="JASA",G47*F47,0)</f>
        <v>0</v>
      </c>
      <c r="K47" s="362">
        <f t="shared" ref="K47:K64" ca="1" si="27">SUM(H47:J47)</f>
        <v>10626000</v>
      </c>
      <c r="L47" s="342"/>
      <c r="M47" s="342"/>
      <c r="N47" s="369"/>
      <c r="O47" s="344"/>
      <c r="P47" s="397"/>
      <c r="Q47" s="344"/>
    </row>
    <row r="48" spans="1:17" s="365" customFormat="1">
      <c r="A48" s="336"/>
      <c r="B48" s="519">
        <v>2</v>
      </c>
      <c r="C48" s="109" t="s">
        <v>314</v>
      </c>
      <c r="D48" s="358" t="str">
        <f ca="1">IF(ISERROR(OFFSET('HARGA SATUAN'!$D$6,MATCH(RAB!C48,'HARGA SATUAN'!$C$7:$C$1492,0),0)),"",OFFSET('HARGA SATUAN'!$D$6,MATCH(RAB!C48,'HARGA SATUAN'!$C$7:$C$1492,0),0))</f>
        <v>JASA</v>
      </c>
      <c r="E48" s="359" t="str">
        <f ca="1">IF(B48="+","Unit",IF(ISERROR(OFFSET('HARGA SATUAN'!$E$6,MATCH(RAB!C48,'HARGA SATUAN'!$C$7:$C$1492,0),0)),"",OFFSET('HARGA SATUAN'!$E$6,MATCH(RAB!C48,'HARGA SATUAN'!$C$7:$C$1492,0),0)))</f>
        <v>Per 50 m</v>
      </c>
      <c r="F48" s="368">
        <f>F47/100</f>
        <v>4.2</v>
      </c>
      <c r="G48" s="360">
        <f ca="1">IF(ISERROR(OFFSET('HARGA SATUAN'!$I$6,MATCH(RAB!C48,'HARGA SATUAN'!$C$7:$C$1492,0),0)),0,OFFSET('HARGA SATUAN'!$I$6,MATCH(RAB!C48,'HARGA SATUAN'!$C$7:$C$1492,0),0))</f>
        <v>243400</v>
      </c>
      <c r="H48" s="361">
        <f t="shared" ca="1" si="24"/>
        <v>0</v>
      </c>
      <c r="I48" s="361">
        <f t="shared" ca="1" si="25"/>
        <v>0</v>
      </c>
      <c r="J48" s="361">
        <f t="shared" ca="1" si="26"/>
        <v>1022280</v>
      </c>
      <c r="K48" s="362">
        <f t="shared" ca="1" si="27"/>
        <v>1022280</v>
      </c>
      <c r="L48" s="342"/>
      <c r="M48" s="342"/>
      <c r="N48" s="369"/>
      <c r="O48" s="344"/>
      <c r="P48" s="397"/>
      <c r="Q48" s="344"/>
    </row>
    <row r="49" spans="1:17" s="365" customFormat="1">
      <c r="A49" s="336"/>
      <c r="B49" s="519"/>
      <c r="C49" s="520"/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368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4"/>
        <v>0</v>
      </c>
      <c r="I49" s="361">
        <f t="shared" ca="1" si="25"/>
        <v>0</v>
      </c>
      <c r="J49" s="361">
        <f t="shared" ca="1" si="26"/>
        <v>0</v>
      </c>
      <c r="K49" s="362">
        <f t="shared" ca="1" si="27"/>
        <v>0</v>
      </c>
      <c r="L49" s="342"/>
      <c r="M49" s="342"/>
      <c r="N49" s="369"/>
      <c r="O49" s="344"/>
      <c r="P49" s="397"/>
      <c r="Q49" s="344"/>
    </row>
    <row r="50" spans="1:17" s="365" customFormat="1">
      <c r="A50" s="336"/>
      <c r="B50" s="519"/>
      <c r="C50" s="514" t="s">
        <v>1648</v>
      </c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368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24"/>
        <v>0</v>
      </c>
      <c r="I50" s="361">
        <f t="shared" ca="1" si="25"/>
        <v>0</v>
      </c>
      <c r="J50" s="361">
        <f t="shared" ca="1" si="26"/>
        <v>0</v>
      </c>
      <c r="K50" s="362">
        <f t="shared" ca="1" si="27"/>
        <v>0</v>
      </c>
      <c r="L50" s="342"/>
      <c r="M50" s="342"/>
      <c r="N50" s="369"/>
      <c r="O50" s="344"/>
      <c r="P50" s="397"/>
      <c r="Q50" s="344"/>
    </row>
    <row r="51" spans="1:17" s="365" customFormat="1">
      <c r="A51" s="336"/>
      <c r="B51" s="725" t="s">
        <v>1035</v>
      </c>
      <c r="C51" s="727" t="s">
        <v>1630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1">
        <v>2</v>
      </c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4"/>
        <v>0</v>
      </c>
      <c r="I51" s="361">
        <f t="shared" ca="1" si="25"/>
        <v>0</v>
      </c>
      <c r="J51" s="361">
        <f t="shared" ca="1" si="26"/>
        <v>0</v>
      </c>
      <c r="K51" s="362">
        <f t="shared" ca="1" si="27"/>
        <v>0</v>
      </c>
      <c r="L51" s="342"/>
      <c r="M51" s="342"/>
      <c r="N51" s="369"/>
      <c r="O51" s="344"/>
      <c r="P51" s="397"/>
      <c r="Q51" s="344"/>
    </row>
    <row r="52" spans="1:17" s="365" customFormat="1">
      <c r="A52" s="336"/>
      <c r="B52" s="725">
        <v>1</v>
      </c>
      <c r="C52" s="727" t="s">
        <v>229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501">
        <f>F51*1</f>
        <v>2</v>
      </c>
      <c r="G52" s="360">
        <f ca="1">IF(ISERROR(OFFSET('HARGA SATUAN'!$I$6,MATCH(RAB!C52,'HARGA SATUAN'!$C$7:$C$1492,0),0)),0,OFFSET('HARGA SATUAN'!$I$6,MATCH(RAB!C52,'HARGA SATUAN'!$C$7:$C$1492,0),0))</f>
        <v>4212</v>
      </c>
      <c r="H52" s="361">
        <f t="shared" ca="1" si="24"/>
        <v>0</v>
      </c>
      <c r="I52" s="361">
        <f t="shared" ca="1" si="25"/>
        <v>8424</v>
      </c>
      <c r="J52" s="361">
        <f t="shared" ca="1" si="26"/>
        <v>0</v>
      </c>
      <c r="K52" s="362">
        <f t="shared" ca="1" si="27"/>
        <v>8424</v>
      </c>
      <c r="L52" s="342"/>
      <c r="M52" s="342"/>
      <c r="N52" s="369"/>
      <c r="O52" s="344"/>
      <c r="P52" s="397"/>
      <c r="Q52" s="344"/>
    </row>
    <row r="53" spans="1:17" s="365" customFormat="1">
      <c r="A53" s="336"/>
      <c r="B53" s="725">
        <v>2</v>
      </c>
      <c r="C53" s="727" t="s">
        <v>266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Mtr</v>
      </c>
      <c r="F53" s="501">
        <f>F51*1</f>
        <v>2</v>
      </c>
      <c r="G53" s="360">
        <f ca="1">IF(ISERROR(OFFSET('HARGA SATUAN'!$I$6,MATCH(RAB!C53,'HARGA SATUAN'!$C$7:$C$1492,0),0)),0,OFFSET('HARGA SATUAN'!$I$6,MATCH(RAB!C53,'HARGA SATUAN'!$C$7:$C$1492,0),0))</f>
        <v>23310</v>
      </c>
      <c r="H53" s="361">
        <f t="shared" ca="1" si="24"/>
        <v>0</v>
      </c>
      <c r="I53" s="361">
        <f t="shared" ca="1" si="25"/>
        <v>46620</v>
      </c>
      <c r="J53" s="361">
        <f t="shared" ca="1" si="26"/>
        <v>0</v>
      </c>
      <c r="K53" s="362">
        <f t="shared" ca="1" si="27"/>
        <v>46620</v>
      </c>
      <c r="L53" s="342"/>
      <c r="M53" s="342"/>
      <c r="N53" s="369"/>
      <c r="O53" s="344"/>
      <c r="P53" s="397"/>
      <c r="Q53" s="344"/>
    </row>
    <row r="54" spans="1:17" s="365" customFormat="1">
      <c r="A54" s="336"/>
      <c r="B54" s="725">
        <v>3</v>
      </c>
      <c r="C54" s="727" t="s">
        <v>35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501">
        <f>F51*1</f>
        <v>2</v>
      </c>
      <c r="G54" s="360">
        <f ca="1">IF(ISERROR(OFFSET('HARGA SATUAN'!$I$6,MATCH(RAB!C54,'HARGA SATUAN'!$C$7:$C$1492,0),0)),0,OFFSET('HARGA SATUAN'!$I$6,MATCH(RAB!C54,'HARGA SATUAN'!$C$7:$C$1492,0),0))</f>
        <v>2300</v>
      </c>
      <c r="H54" s="361">
        <f t="shared" ca="1" si="24"/>
        <v>0</v>
      </c>
      <c r="I54" s="361">
        <f t="shared" ca="1" si="25"/>
        <v>4600</v>
      </c>
      <c r="J54" s="361">
        <f t="shared" ca="1" si="26"/>
        <v>0</v>
      </c>
      <c r="K54" s="362">
        <f t="shared" ca="1" si="27"/>
        <v>4600</v>
      </c>
      <c r="L54" s="342"/>
      <c r="M54" s="342"/>
      <c r="N54" s="369"/>
      <c r="O54" s="344"/>
      <c r="P54" s="397"/>
      <c r="Q54" s="344"/>
    </row>
    <row r="55" spans="1:17" s="365" customFormat="1">
      <c r="A55" s="336"/>
      <c r="B55" s="725">
        <v>4</v>
      </c>
      <c r="C55" s="727" t="s">
        <v>609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F51*1</f>
        <v>2</v>
      </c>
      <c r="G55" s="360">
        <f ca="1">IF(ISERROR(OFFSET('HARGA SATUAN'!$I$6,MATCH(RAB!C55,'HARGA SATUAN'!$C$7:$C$1492,0),0)),0,OFFSET('HARGA SATUAN'!$I$6,MATCH(RAB!C55,'HARGA SATUAN'!$C$7:$C$1492,0),0))</f>
        <v>71000</v>
      </c>
      <c r="H55" s="361">
        <f t="shared" ca="1" si="24"/>
        <v>0</v>
      </c>
      <c r="I55" s="361">
        <f t="shared" ca="1" si="25"/>
        <v>142000</v>
      </c>
      <c r="J55" s="361">
        <f t="shared" ca="1" si="26"/>
        <v>0</v>
      </c>
      <c r="K55" s="362">
        <f t="shared" ca="1" si="27"/>
        <v>142000</v>
      </c>
      <c r="L55" s="342"/>
      <c r="M55" s="342"/>
      <c r="N55" s="369"/>
      <c r="O55" s="344"/>
      <c r="P55" s="397"/>
      <c r="Q55" s="344"/>
    </row>
    <row r="56" spans="1:17" s="365" customFormat="1">
      <c r="A56" s="336"/>
      <c r="B56" s="725">
        <v>5</v>
      </c>
      <c r="C56" s="727" t="s">
        <v>629</v>
      </c>
      <c r="D56" s="358" t="str">
        <f ca="1">IF(ISERROR(OFFSET('HARGA SATUAN'!$D$6,MATCH(RAB!C56,'HARGA SATUAN'!$C$7:$C$1492,0),0)),"",OFFSET('HARGA SATUAN'!$D$6,MATCH(RAB!C56,'HARGA SATUAN'!$C$7:$C$1492,0),0))</f>
        <v>JASA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501">
        <f>F51*1</f>
        <v>2</v>
      </c>
      <c r="G56" s="360">
        <f ca="1">IF(ISERROR(OFFSET('HARGA SATUAN'!$I$6,MATCH(RAB!C56,'HARGA SATUAN'!$C$7:$C$1492,0),0)),0,OFFSET('HARGA SATUAN'!$I$6,MATCH(RAB!C56,'HARGA SATUAN'!$C$7:$C$1492,0),0))</f>
        <v>29400</v>
      </c>
      <c r="H56" s="361">
        <f t="shared" ca="1" si="24"/>
        <v>0</v>
      </c>
      <c r="I56" s="361">
        <f t="shared" ca="1" si="25"/>
        <v>0</v>
      </c>
      <c r="J56" s="361">
        <f t="shared" ca="1" si="26"/>
        <v>58800</v>
      </c>
      <c r="K56" s="362">
        <f t="shared" ca="1" si="27"/>
        <v>58800</v>
      </c>
      <c r="L56" s="342"/>
      <c r="M56" s="342"/>
      <c r="N56" s="369"/>
      <c r="O56" s="344"/>
      <c r="P56" s="397"/>
      <c r="Q56" s="344"/>
    </row>
    <row r="57" spans="1:17" s="365" customFormat="1">
      <c r="A57" s="336"/>
      <c r="B57" s="519"/>
      <c r="C57" s="520"/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368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4"/>
        <v>0</v>
      </c>
      <c r="I57" s="361">
        <f t="shared" ca="1" si="25"/>
        <v>0</v>
      </c>
      <c r="J57" s="361">
        <f t="shared" ca="1" si="26"/>
        <v>0</v>
      </c>
      <c r="K57" s="362">
        <f t="shared" ca="1" si="27"/>
        <v>0</v>
      </c>
      <c r="L57" s="342"/>
      <c r="M57" s="342"/>
      <c r="N57" s="369"/>
      <c r="O57" s="344"/>
      <c r="P57" s="397"/>
      <c r="Q57" s="344"/>
    </row>
    <row r="58" spans="1:17" s="365" customFormat="1">
      <c r="A58" s="336"/>
      <c r="B58" s="725" t="s">
        <v>1035</v>
      </c>
      <c r="C58" s="727" t="s">
        <v>1641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501">
        <v>1</v>
      </c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4"/>
        <v>0</v>
      </c>
      <c r="I58" s="361">
        <f t="shared" ca="1" si="25"/>
        <v>0</v>
      </c>
      <c r="J58" s="361">
        <f t="shared" ca="1" si="26"/>
        <v>0</v>
      </c>
      <c r="K58" s="362">
        <f t="shared" ca="1" si="27"/>
        <v>0</v>
      </c>
      <c r="L58" s="342"/>
      <c r="M58" s="342"/>
      <c r="N58" s="369"/>
      <c r="O58" s="344"/>
      <c r="P58" s="397"/>
      <c r="Q58" s="344"/>
    </row>
    <row r="59" spans="1:17" s="365" customFormat="1">
      <c r="A59" s="336"/>
      <c r="B59" s="725">
        <v>1</v>
      </c>
      <c r="C59" s="727" t="s">
        <v>598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F58*1</f>
        <v>1</v>
      </c>
      <c r="G59" s="360">
        <f ca="1">IF(ISERROR(OFFSET('HARGA SATUAN'!$I$6,MATCH(RAB!C59,'HARGA SATUAN'!$C$7:$C$1492,0),0)),0,OFFSET('HARGA SATUAN'!$I$6,MATCH(RAB!C59,'HARGA SATUAN'!$C$7:$C$1492,0),0))</f>
        <v>3965</v>
      </c>
      <c r="H59" s="361">
        <f t="shared" ca="1" si="24"/>
        <v>0</v>
      </c>
      <c r="I59" s="361">
        <f t="shared" ca="1" si="25"/>
        <v>3965</v>
      </c>
      <c r="J59" s="361">
        <f t="shared" ca="1" si="26"/>
        <v>0</v>
      </c>
      <c r="K59" s="362">
        <f t="shared" ca="1" si="27"/>
        <v>3965</v>
      </c>
      <c r="L59" s="342"/>
      <c r="M59" s="342"/>
      <c r="N59" s="369"/>
      <c r="O59" s="344"/>
      <c r="P59" s="397"/>
      <c r="Q59" s="344"/>
    </row>
    <row r="60" spans="1:17" s="365" customFormat="1">
      <c r="A60" s="336"/>
      <c r="B60" s="725">
        <v>2</v>
      </c>
      <c r="C60" s="727" t="s">
        <v>474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F58*1</f>
        <v>1</v>
      </c>
      <c r="G60" s="360">
        <f ca="1">IF(ISERROR(OFFSET('HARGA SATUAN'!$I$6,MATCH(RAB!C60,'HARGA SATUAN'!$C$7:$C$1492,0),0)),0,OFFSET('HARGA SATUAN'!$I$6,MATCH(RAB!C60,'HARGA SATUAN'!$C$7:$C$1492,0),0))</f>
        <v>3711.24</v>
      </c>
      <c r="H60" s="361">
        <f t="shared" ca="1" si="24"/>
        <v>0</v>
      </c>
      <c r="I60" s="361">
        <f t="shared" ca="1" si="25"/>
        <v>3711.24</v>
      </c>
      <c r="J60" s="361">
        <f t="shared" ca="1" si="26"/>
        <v>0</v>
      </c>
      <c r="K60" s="362">
        <f t="shared" ca="1" si="27"/>
        <v>3711.24</v>
      </c>
      <c r="L60" s="342"/>
      <c r="M60" s="342"/>
      <c r="N60" s="369"/>
      <c r="O60" s="344"/>
      <c r="P60" s="397"/>
      <c r="Q60" s="344"/>
    </row>
    <row r="61" spans="1:17" s="365" customFormat="1">
      <c r="A61" s="336"/>
      <c r="B61" s="725">
        <v>3</v>
      </c>
      <c r="C61" s="727" t="s">
        <v>266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Mtr</v>
      </c>
      <c r="F61" s="501">
        <f>F58*1</f>
        <v>1</v>
      </c>
      <c r="G61" s="360">
        <f ca="1">IF(ISERROR(OFFSET('HARGA SATUAN'!$I$6,MATCH(RAB!C61,'HARGA SATUAN'!$C$7:$C$1492,0),0)),0,OFFSET('HARGA SATUAN'!$I$6,MATCH(RAB!C61,'HARGA SATUAN'!$C$7:$C$1492,0),0))</f>
        <v>23310</v>
      </c>
      <c r="H61" s="361">
        <f t="shared" ca="1" si="24"/>
        <v>0</v>
      </c>
      <c r="I61" s="361">
        <f t="shared" ca="1" si="25"/>
        <v>23310</v>
      </c>
      <c r="J61" s="361">
        <f t="shared" ca="1" si="26"/>
        <v>0</v>
      </c>
      <c r="K61" s="362">
        <f t="shared" ca="1" si="27"/>
        <v>23310</v>
      </c>
      <c r="L61" s="342"/>
      <c r="M61" s="342"/>
      <c r="N61" s="369"/>
      <c r="O61" s="344"/>
      <c r="P61" s="397"/>
      <c r="Q61" s="344"/>
    </row>
    <row r="62" spans="1:17" s="365" customFormat="1">
      <c r="A62" s="336"/>
      <c r="B62" s="725">
        <v>4</v>
      </c>
      <c r="C62" s="727" t="s">
        <v>35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F58*1</f>
        <v>1</v>
      </c>
      <c r="G62" s="360">
        <f ca="1">IF(ISERROR(OFFSET('HARGA SATUAN'!$I$6,MATCH(RAB!C62,'HARGA SATUAN'!$C$7:$C$1492,0),0)),0,OFFSET('HARGA SATUAN'!$I$6,MATCH(RAB!C62,'HARGA SATUAN'!$C$7:$C$1492,0),0))</f>
        <v>2300</v>
      </c>
      <c r="H62" s="361">
        <f t="shared" ca="1" si="24"/>
        <v>0</v>
      </c>
      <c r="I62" s="361">
        <f t="shared" ca="1" si="25"/>
        <v>2300</v>
      </c>
      <c r="J62" s="361">
        <f t="shared" ca="1" si="26"/>
        <v>0</v>
      </c>
      <c r="K62" s="362">
        <f t="shared" ca="1" si="27"/>
        <v>2300</v>
      </c>
      <c r="L62" s="342"/>
      <c r="M62" s="342"/>
      <c r="N62" s="369"/>
      <c r="O62" s="344"/>
      <c r="P62" s="397"/>
      <c r="Q62" s="344"/>
    </row>
    <row r="63" spans="1:17" s="365" customFormat="1">
      <c r="A63" s="336"/>
      <c r="B63" s="725">
        <v>5</v>
      </c>
      <c r="C63" s="727" t="s">
        <v>632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1">
        <f>F58*1</f>
        <v>1</v>
      </c>
      <c r="G63" s="360">
        <f ca="1">IF(ISERROR(OFFSET('HARGA SATUAN'!$I$6,MATCH(RAB!C63,'HARGA SATUAN'!$C$7:$C$1492,0),0)),0,OFFSET('HARGA SATUAN'!$I$6,MATCH(RAB!C63,'HARGA SATUAN'!$C$7:$C$1492,0),0))</f>
        <v>22700</v>
      </c>
      <c r="H63" s="361">
        <f t="shared" ca="1" si="24"/>
        <v>0</v>
      </c>
      <c r="I63" s="361">
        <f t="shared" ca="1" si="25"/>
        <v>0</v>
      </c>
      <c r="J63" s="361">
        <f t="shared" ca="1" si="26"/>
        <v>22700</v>
      </c>
      <c r="K63" s="362">
        <f t="shared" ca="1" si="27"/>
        <v>22700</v>
      </c>
      <c r="L63" s="342"/>
      <c r="M63" s="342"/>
      <c r="N63" s="369"/>
      <c r="O63" s="344"/>
      <c r="P63" s="397"/>
      <c r="Q63" s="344"/>
    </row>
    <row r="64" spans="1:17" s="365" customFormat="1">
      <c r="A64" s="336"/>
      <c r="B64" s="519"/>
      <c r="C64" s="520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368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4"/>
        <v>0</v>
      </c>
      <c r="I64" s="361">
        <f t="shared" ca="1" si="25"/>
        <v>0</v>
      </c>
      <c r="J64" s="361">
        <f t="shared" ca="1" si="26"/>
        <v>0</v>
      </c>
      <c r="K64" s="362">
        <f t="shared" ca="1" si="27"/>
        <v>0</v>
      </c>
      <c r="L64" s="342"/>
      <c r="M64" s="342"/>
      <c r="N64" s="369"/>
      <c r="O64" s="344"/>
      <c r="P64" s="397"/>
      <c r="Q64" s="344"/>
    </row>
    <row r="65" spans="1:17" s="365" customFormat="1">
      <c r="A65" s="336"/>
      <c r="B65" s="519" t="s">
        <v>1035</v>
      </c>
      <c r="C65" s="520" t="s">
        <v>1622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01">
        <v>5</v>
      </c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ref="H65:H71" ca="1" si="28">IF(OR(D65="MDU",D65="MDU-KD"),(IF($O$3="RAB NON MDU","PLN KD",G65*F65)),0)</f>
        <v>0</v>
      </c>
      <c r="I65" s="361">
        <f t="shared" ref="I65:I71" ca="1" si="29">IF(D65="HDW",G65*F65,0)</f>
        <v>0</v>
      </c>
      <c r="J65" s="361">
        <f t="shared" ref="J65:J71" ca="1" si="30">IF(D65="JASA",G65*F65,0)</f>
        <v>0</v>
      </c>
      <c r="K65" s="362">
        <f t="shared" ref="K65:K71" ca="1" si="31">SUM(H65:J65)</f>
        <v>0</v>
      </c>
      <c r="L65" s="342"/>
      <c r="M65" s="342"/>
      <c r="N65" s="369"/>
      <c r="O65" s="344"/>
      <c r="P65" s="397"/>
      <c r="Q65" s="344"/>
    </row>
    <row r="66" spans="1:17" s="365" customFormat="1">
      <c r="A66" s="336"/>
      <c r="B66" s="519">
        <v>1</v>
      </c>
      <c r="C66" s="520" t="s">
        <v>595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F65*1</f>
        <v>5</v>
      </c>
      <c r="G66" s="360">
        <f ca="1">IF(ISERROR(OFFSET('HARGA SATUAN'!$I$6,MATCH(RAB!C66,'HARGA SATUAN'!$C$7:$C$1492,0),0)),0,OFFSET('HARGA SATUAN'!$I$6,MATCH(RAB!C66,'HARGA SATUAN'!$C$7:$C$1492,0),0))</f>
        <v>78500</v>
      </c>
      <c r="H66" s="361">
        <f t="shared" ca="1" si="28"/>
        <v>0</v>
      </c>
      <c r="I66" s="361">
        <f t="shared" ca="1" si="29"/>
        <v>392500</v>
      </c>
      <c r="J66" s="361">
        <f t="shared" ca="1" si="30"/>
        <v>0</v>
      </c>
      <c r="K66" s="362">
        <f t="shared" ca="1" si="31"/>
        <v>392500</v>
      </c>
      <c r="L66" s="342"/>
      <c r="M66" s="342"/>
      <c r="N66" s="369"/>
      <c r="O66" s="344"/>
      <c r="P66" s="397"/>
      <c r="Q66" s="344"/>
    </row>
    <row r="67" spans="1:17" s="365" customFormat="1">
      <c r="A67" s="336"/>
      <c r="B67" s="519">
        <v>2</v>
      </c>
      <c r="C67" s="520" t="s">
        <v>229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F65*1</f>
        <v>5</v>
      </c>
      <c r="G67" s="360">
        <f ca="1">IF(ISERROR(OFFSET('HARGA SATUAN'!$I$6,MATCH(RAB!C67,'HARGA SATUAN'!$C$7:$C$1492,0),0)),0,OFFSET('HARGA SATUAN'!$I$6,MATCH(RAB!C67,'HARGA SATUAN'!$C$7:$C$1492,0),0))</f>
        <v>4212</v>
      </c>
      <c r="H67" s="361">
        <f t="shared" ca="1" si="28"/>
        <v>0</v>
      </c>
      <c r="I67" s="361">
        <f t="shared" ca="1" si="29"/>
        <v>21060</v>
      </c>
      <c r="J67" s="361">
        <f t="shared" ca="1" si="30"/>
        <v>0</v>
      </c>
      <c r="K67" s="362">
        <f t="shared" ca="1" si="31"/>
        <v>21060</v>
      </c>
      <c r="L67" s="342"/>
      <c r="M67" s="342"/>
      <c r="N67" s="369"/>
      <c r="O67" s="344"/>
      <c r="P67" s="397"/>
      <c r="Q67" s="344"/>
    </row>
    <row r="68" spans="1:17" s="365" customFormat="1">
      <c r="A68" s="336"/>
      <c r="B68" s="519">
        <v>3</v>
      </c>
      <c r="C68" s="520" t="s">
        <v>266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501">
        <f>F65*1</f>
        <v>5</v>
      </c>
      <c r="G68" s="360">
        <f ca="1">IF(ISERROR(OFFSET('HARGA SATUAN'!$I$6,MATCH(RAB!C68,'HARGA SATUAN'!$C$7:$C$1492,0),0)),0,OFFSET('HARGA SATUAN'!$I$6,MATCH(RAB!C68,'HARGA SATUAN'!$C$7:$C$1492,0),0))</f>
        <v>23310</v>
      </c>
      <c r="H68" s="361">
        <f t="shared" ca="1" si="28"/>
        <v>0</v>
      </c>
      <c r="I68" s="361">
        <f t="shared" ca="1" si="29"/>
        <v>116550</v>
      </c>
      <c r="J68" s="361">
        <f t="shared" ca="1" si="30"/>
        <v>0</v>
      </c>
      <c r="K68" s="362">
        <f t="shared" ca="1" si="31"/>
        <v>116550</v>
      </c>
      <c r="L68" s="342"/>
      <c r="M68" s="342"/>
      <c r="N68" s="369"/>
      <c r="O68" s="344"/>
      <c r="P68" s="397"/>
      <c r="Q68" s="344"/>
    </row>
    <row r="69" spans="1:17" s="365" customFormat="1">
      <c r="A69" s="336"/>
      <c r="B69" s="519">
        <v>4</v>
      </c>
      <c r="C69" s="520" t="s">
        <v>35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1">
        <f>F65*1</f>
        <v>5</v>
      </c>
      <c r="G69" s="360">
        <f ca="1">IF(ISERROR(OFFSET('HARGA SATUAN'!$I$6,MATCH(RAB!C69,'HARGA SATUAN'!$C$7:$C$1492,0),0)),0,OFFSET('HARGA SATUAN'!$I$6,MATCH(RAB!C69,'HARGA SATUAN'!$C$7:$C$1492,0),0))</f>
        <v>2300</v>
      </c>
      <c r="H69" s="361">
        <f t="shared" ca="1" si="28"/>
        <v>0</v>
      </c>
      <c r="I69" s="361">
        <f t="shared" ca="1" si="29"/>
        <v>11500</v>
      </c>
      <c r="J69" s="361">
        <f t="shared" ca="1" si="30"/>
        <v>0</v>
      </c>
      <c r="K69" s="362">
        <f t="shared" ca="1" si="31"/>
        <v>11500</v>
      </c>
      <c r="L69" s="342"/>
      <c r="M69" s="342"/>
      <c r="N69" s="369"/>
      <c r="O69" s="344"/>
      <c r="P69" s="397"/>
      <c r="Q69" s="344"/>
    </row>
    <row r="70" spans="1:17" s="365" customFormat="1">
      <c r="A70" s="336"/>
      <c r="B70" s="519">
        <v>5</v>
      </c>
      <c r="C70" s="520" t="s">
        <v>630</v>
      </c>
      <c r="D70" s="358" t="str">
        <f ca="1">IF(ISERROR(OFFSET('HARGA SATUAN'!$D$6,MATCH(RAB!C70,'HARGA SATUAN'!$C$7:$C$1492,0),0)),"",OFFSET('HARGA SATUAN'!$D$6,MATCH(RAB!C70,'HARGA SATUAN'!$C$7:$C$1492,0),0))</f>
        <v>JASA</v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501">
        <f>F65*1</f>
        <v>5</v>
      </c>
      <c r="G70" s="360">
        <f ca="1">IF(ISERROR(OFFSET('HARGA SATUAN'!$I$6,MATCH(RAB!C70,'HARGA SATUAN'!$C$7:$C$1492,0),0)),0,OFFSET('HARGA SATUAN'!$I$6,MATCH(RAB!C70,'HARGA SATUAN'!$C$7:$C$1492,0),0))</f>
        <v>35700</v>
      </c>
      <c r="H70" s="361">
        <f t="shared" ca="1" si="28"/>
        <v>0</v>
      </c>
      <c r="I70" s="361">
        <f t="shared" ca="1" si="29"/>
        <v>0</v>
      </c>
      <c r="J70" s="361">
        <f t="shared" ca="1" si="30"/>
        <v>178500</v>
      </c>
      <c r="K70" s="362">
        <f t="shared" ca="1" si="31"/>
        <v>178500</v>
      </c>
      <c r="L70" s="342"/>
      <c r="M70" s="342"/>
      <c r="N70" s="369"/>
      <c r="O70" s="344"/>
      <c r="P70" s="397"/>
      <c r="Q70" s="344"/>
    </row>
    <row r="71" spans="1:17" s="365" customFormat="1">
      <c r="A71" s="336"/>
      <c r="B71" s="519"/>
      <c r="C71" s="520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501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ca="1" si="28"/>
        <v>0</v>
      </c>
      <c r="I71" s="361">
        <f t="shared" ca="1" si="29"/>
        <v>0</v>
      </c>
      <c r="J71" s="361">
        <f t="shared" ca="1" si="30"/>
        <v>0</v>
      </c>
      <c r="K71" s="362">
        <f t="shared" ca="1" si="31"/>
        <v>0</v>
      </c>
      <c r="L71" s="342"/>
      <c r="M71" s="342"/>
      <c r="N71" s="369"/>
      <c r="O71" s="344"/>
      <c r="P71" s="397"/>
      <c r="Q71" s="344"/>
    </row>
    <row r="72" spans="1:17" s="365" customFormat="1">
      <c r="A72" s="336"/>
      <c r="B72" s="498"/>
      <c r="C72" s="514" t="s">
        <v>1623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501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ref="H72" ca="1" si="32">IF(OR(D72="MDU",D72="MDU-KD"),(IF($O$3="RAB NON MDU","PLN KD",G72*F72)),0)</f>
        <v>0</v>
      </c>
      <c r="I72" s="361">
        <f t="shared" ref="I72" ca="1" si="33">IF(D72="HDW",G72*F72,0)</f>
        <v>0</v>
      </c>
      <c r="J72" s="361">
        <f t="shared" ref="J72" ca="1" si="34">IF(D72="JASA",G72*F72,0)</f>
        <v>0</v>
      </c>
      <c r="K72" s="362">
        <f t="shared" ref="K72" ca="1" si="35">SUM(H72:J72)</f>
        <v>0</v>
      </c>
      <c r="L72" s="342"/>
      <c r="M72" s="342"/>
      <c r="N72" s="369"/>
      <c r="O72" s="344"/>
      <c r="P72" s="397"/>
      <c r="Q72" s="344"/>
    </row>
    <row r="73" spans="1:17" s="365" customFormat="1">
      <c r="A73" s="336"/>
      <c r="B73" s="498">
        <v>1</v>
      </c>
      <c r="C73" s="109" t="s">
        <v>1402</v>
      </c>
      <c r="D73" s="358" t="str">
        <f ca="1">IF(ISERROR(OFFSET('HARGA SATUAN'!$D$6,MATCH(RAB!C73,'HARGA SATUAN'!$C$7:$C$1492,0),0)),"",OFFSET('HARGA SATUAN'!$D$6,MATCH(RAB!C73,'HARGA SATUAN'!$C$7:$C$1492,0),0))</f>
        <v>MDU-KD</v>
      </c>
      <c r="E73" s="359" t="str">
        <f ca="1">IF(B73="+","Unit",IF(ISERROR(OFFSET('HARGA SATUAN'!$E$6,MATCH(RAB!C73,'HARGA SATUAN'!$C$7:$C$1492,0),0)),"",OFFSET('HARGA SATUAN'!$E$6,MATCH(RAB!C73,'HARGA SATUAN'!$C$7:$C$1492,0),0)))</f>
        <v>Mtr</v>
      </c>
      <c r="F73" s="501">
        <v>50</v>
      </c>
      <c r="G73" s="360">
        <f ca="1">IF(ISERROR(OFFSET('HARGA SATUAN'!$I$6,MATCH(RAB!C73,'HARGA SATUAN'!$C$7:$C$1492,0),0)),0,OFFSET('HARGA SATUAN'!$I$6,MATCH(RAB!C73,'HARGA SATUAN'!$C$7:$C$1492,0),0))</f>
        <v>53300</v>
      </c>
      <c r="H73" s="361">
        <f t="shared" ref="H73:H74" ca="1" si="36">IF(OR(D73="MDU",D73="MDU-KD"),(IF($O$3="RAB NON MDU","PLN KD",G73*F73)),0)</f>
        <v>2665000</v>
      </c>
      <c r="I73" s="361">
        <f t="shared" ref="I73:I74" ca="1" si="37">IF(D73="HDW",G73*F73,0)</f>
        <v>0</v>
      </c>
      <c r="J73" s="361">
        <f t="shared" ref="J73:J74" ca="1" si="38">IF(D73="JASA",G73*F73,0)</f>
        <v>0</v>
      </c>
      <c r="K73" s="362">
        <f t="shared" ref="K73:K74" ca="1" si="39">SUM(H73:J73)</f>
        <v>2665000</v>
      </c>
      <c r="L73" s="342"/>
      <c r="M73" s="342"/>
      <c r="N73" s="369"/>
      <c r="O73" s="344"/>
      <c r="P73" s="397"/>
      <c r="Q73" s="344"/>
    </row>
    <row r="74" spans="1:17" s="365" customFormat="1">
      <c r="A74" s="336"/>
      <c r="B74" s="498">
        <v>2</v>
      </c>
      <c r="C74" s="109" t="s">
        <v>347</v>
      </c>
      <c r="D74" s="511" t="s">
        <v>47</v>
      </c>
      <c r="E74" s="512" t="s">
        <v>297</v>
      </c>
      <c r="F74" s="512">
        <f>F73/50</f>
        <v>1</v>
      </c>
      <c r="G74" s="513">
        <v>85000</v>
      </c>
      <c r="H74" s="361">
        <f t="shared" si="36"/>
        <v>0</v>
      </c>
      <c r="I74" s="361">
        <f t="shared" si="37"/>
        <v>0</v>
      </c>
      <c r="J74" s="361">
        <f t="shared" si="38"/>
        <v>85000</v>
      </c>
      <c r="K74" s="362">
        <f t="shared" si="39"/>
        <v>85000</v>
      </c>
      <c r="L74" s="342"/>
      <c r="M74" s="342"/>
      <c r="N74" s="369"/>
      <c r="O74" s="344"/>
      <c r="P74" s="397"/>
      <c r="Q74" s="344"/>
    </row>
    <row r="75" spans="1:17" s="365" customFormat="1">
      <c r="A75" s="336"/>
      <c r="B75" s="498"/>
      <c r="C75" s="499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501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ref="H75:H77" ca="1" si="40">IF(OR(D75="MDU",D75="MDU-KD"),(IF($O$3="RAB NON MDU","PLN KD",G75*F75)),0)</f>
        <v>0</v>
      </c>
      <c r="I75" s="361">
        <f t="shared" ref="I75:I77" ca="1" si="41">IF(D75="HDW",G75*F75,0)</f>
        <v>0</v>
      </c>
      <c r="J75" s="361">
        <f t="shared" ref="J75:J77" ca="1" si="42">IF(D75="JASA",G75*F75,0)</f>
        <v>0</v>
      </c>
      <c r="K75" s="362">
        <f t="shared" ref="K75:K77" ca="1" si="43">SUM(H75:J75)</f>
        <v>0</v>
      </c>
      <c r="L75" s="342"/>
      <c r="M75" s="342"/>
      <c r="N75" s="369"/>
      <c r="O75" s="344"/>
      <c r="P75" s="397"/>
      <c r="Q75" s="344"/>
    </row>
    <row r="76" spans="1:17">
      <c r="B76" s="366" t="s">
        <v>1614</v>
      </c>
      <c r="C76" s="367" t="s">
        <v>1616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501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40"/>
        <v>0</v>
      </c>
      <c r="I76" s="361">
        <f t="shared" ca="1" si="41"/>
        <v>0</v>
      </c>
      <c r="J76" s="361">
        <f t="shared" ca="1" si="42"/>
        <v>0</v>
      </c>
      <c r="K76" s="362">
        <f t="shared" ca="1" si="43"/>
        <v>0</v>
      </c>
    </row>
    <row r="77" spans="1:17">
      <c r="B77" s="494"/>
      <c r="C77" s="497"/>
      <c r="D77" s="358" t="str">
        <f ca="1">IF(ISERROR(OFFSET('HARGA SATUAN'!$D$6,MATCH(RAB!C77,'HARGA SATUAN'!$C$7:$C$1492,0),0)),"",OFFSET('HARGA SATUAN'!$D$6,MATCH(RAB!C77,'HARGA SATUAN'!$C$7:$C$1492,0),0))</f>
        <v/>
      </c>
      <c r="E77" s="359" t="str">
        <f ca="1">IF(B77="+","Unit",IF(ISERROR(OFFSET('HARGA SATUAN'!$E$6,MATCH(RAB!C77,'HARGA SATUAN'!$C$7:$C$1492,0),0)),"",OFFSET('HARGA SATUAN'!$E$6,MATCH(RAB!C77,'HARGA SATUAN'!$C$7:$C$1492,0),0)))</f>
        <v/>
      </c>
      <c r="F77" s="501"/>
      <c r="G77" s="360">
        <f ca="1">IF(ISERROR(OFFSET('HARGA SATUAN'!$I$6,MATCH(RAB!C77,'HARGA SATUAN'!$C$7:$C$1492,0),0)),0,OFFSET('HARGA SATUAN'!$I$6,MATCH(RAB!C77,'HARGA SATUAN'!$C$7:$C$1492,0),0))</f>
        <v>0</v>
      </c>
      <c r="H77" s="361">
        <f t="shared" ca="1" si="40"/>
        <v>0</v>
      </c>
      <c r="I77" s="361">
        <f t="shared" ca="1" si="41"/>
        <v>0</v>
      </c>
      <c r="J77" s="361">
        <f t="shared" ca="1" si="42"/>
        <v>0</v>
      </c>
      <c r="K77" s="362">
        <f t="shared" ca="1" si="43"/>
        <v>0</v>
      </c>
    </row>
    <row r="78" spans="1:17">
      <c r="B78" s="515" t="s">
        <v>1035</v>
      </c>
      <c r="C78" s="516" t="s">
        <v>1629</v>
      </c>
      <c r="D78" s="358" t="str">
        <f ca="1">IF(ISERROR(OFFSET('HARGA SATUAN'!$D$6,MATCH(RAB!C78,'HARGA SATUAN'!$C$7:$C$1492,0),0)),"",OFFSET('HARGA SATUAN'!$D$6,MATCH(RAB!C78,'HARGA SATUAN'!$C$7:$C$1492,0),0))</f>
        <v/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02">
        <v>1</v>
      </c>
      <c r="G78" s="360">
        <f ca="1">IF(ISERROR(OFFSET('HARGA SATUAN'!$I$6,MATCH(RAB!C78,'HARGA SATUAN'!$C$7:$C$1492,0),0)),0,OFFSET('HARGA SATUAN'!$I$6,MATCH(RAB!C78,'HARGA SATUAN'!$C$7:$C$1492,0),0))</f>
        <v>0</v>
      </c>
      <c r="H78" s="361">
        <f t="shared" ref="H78:H84" ca="1" si="44">IF(OR(D78="MDU",D78="MDU-KD"),(IF($O$3="RAB NON MDU","PLN KD",G78*F78)),0)</f>
        <v>0</v>
      </c>
      <c r="I78" s="361">
        <f t="shared" ref="I78:I84" ca="1" si="45">IF(D78="HDW",G78*F78,0)</f>
        <v>0</v>
      </c>
      <c r="J78" s="361">
        <f t="shared" ref="J78:J84" ca="1" si="46">IF(D78="JASA",G78*F78,0)</f>
        <v>0</v>
      </c>
      <c r="K78" s="362">
        <f t="shared" ref="K78:K84" ca="1" si="47">SUM(H78:J78)</f>
        <v>0</v>
      </c>
    </row>
    <row r="79" spans="1:17">
      <c r="B79" s="515">
        <v>1</v>
      </c>
      <c r="C79" s="516" t="s">
        <v>535</v>
      </c>
      <c r="D79" s="358" t="str">
        <f ca="1">IF(ISERROR(OFFSET('HARGA SATUAN'!$D$6,MATCH(RAB!C79,'HARGA SATUAN'!$C$7:$C$1492,0),0)),"",OFFSET('HARGA SATUAN'!$D$6,MATCH(RAB!C79,'HARGA SATUAN'!$C$7:$C$1492,0),0))</f>
        <v>MDU-KD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502">
        <f>F78*1</f>
        <v>1</v>
      </c>
      <c r="G79" s="360">
        <f ca="1">IF(ISERROR(OFFSET('HARGA SATUAN'!$I$6,MATCH(RAB!C79,'HARGA SATUAN'!$C$7:$C$1492,0),0)),0,OFFSET('HARGA SATUAN'!$I$6,MATCH(RAB!C79,'HARGA SATUAN'!$C$7:$C$1492,0),0))</f>
        <v>848250</v>
      </c>
      <c r="H79" s="361">
        <f t="shared" ca="1" si="44"/>
        <v>848250</v>
      </c>
      <c r="I79" s="361">
        <f t="shared" ca="1" si="45"/>
        <v>0</v>
      </c>
      <c r="J79" s="361">
        <f t="shared" ca="1" si="46"/>
        <v>0</v>
      </c>
      <c r="K79" s="362">
        <f t="shared" ca="1" si="47"/>
        <v>848250</v>
      </c>
    </row>
    <row r="80" spans="1:17">
      <c r="B80" s="515">
        <v>2</v>
      </c>
      <c r="C80" s="109" t="s">
        <v>62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502">
        <f>F78*1</f>
        <v>1</v>
      </c>
      <c r="G80" s="360">
        <f ca="1">IF(ISERROR(OFFSET('HARGA SATUAN'!$I$6,MATCH(RAB!C80,'HARGA SATUAN'!$C$7:$C$1492,0),0)),0,OFFSET('HARGA SATUAN'!$I$6,MATCH(RAB!C80,'HARGA SATUAN'!$C$7:$C$1492,0),0))</f>
        <v>32500</v>
      </c>
      <c r="H80" s="361">
        <f t="shared" ca="1" si="44"/>
        <v>0</v>
      </c>
      <c r="I80" s="361">
        <f t="shared" ca="1" si="45"/>
        <v>32500</v>
      </c>
      <c r="J80" s="361">
        <f t="shared" ca="1" si="46"/>
        <v>0</v>
      </c>
      <c r="K80" s="362">
        <f t="shared" ca="1" si="47"/>
        <v>32500</v>
      </c>
    </row>
    <row r="81" spans="2:11">
      <c r="B81" s="515">
        <v>3</v>
      </c>
      <c r="C81" s="516" t="s">
        <v>187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2">
        <f>F78*1</f>
        <v>1</v>
      </c>
      <c r="G81" s="360">
        <f ca="1">IF(ISERROR(OFFSET('HARGA SATUAN'!$I$6,MATCH(RAB!C81,'HARGA SATUAN'!$C$7:$C$1492,0),0)),0,OFFSET('HARGA SATUAN'!$I$6,MATCH(RAB!C81,'HARGA SATUAN'!$C$7:$C$1492,0),0))</f>
        <v>17100</v>
      </c>
      <c r="H81" s="361">
        <f t="shared" ca="1" si="44"/>
        <v>0</v>
      </c>
      <c r="I81" s="361">
        <f t="shared" ca="1" si="45"/>
        <v>17100</v>
      </c>
      <c r="J81" s="361">
        <f t="shared" ca="1" si="46"/>
        <v>0</v>
      </c>
      <c r="K81" s="362">
        <f t="shared" ca="1" si="47"/>
        <v>17100</v>
      </c>
    </row>
    <row r="82" spans="2:11">
      <c r="B82" s="515">
        <v>4</v>
      </c>
      <c r="C82" s="109" t="s">
        <v>174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02">
        <f>F78*1</f>
        <v>1</v>
      </c>
      <c r="G82" s="360">
        <f ca="1">IF(ISERROR(OFFSET('HARGA SATUAN'!$I$6,MATCH(RAB!C82,'HARGA SATUAN'!$C$7:$C$1492,0),0)),0,OFFSET('HARGA SATUAN'!$I$6,MATCH(RAB!C82,'HARGA SATUAN'!$C$7:$C$1492,0),0))</f>
        <v>67700</v>
      </c>
      <c r="H82" s="361">
        <f t="shared" ca="1" si="44"/>
        <v>0</v>
      </c>
      <c r="I82" s="361">
        <f t="shared" ca="1" si="45"/>
        <v>67700</v>
      </c>
      <c r="J82" s="361">
        <f t="shared" ca="1" si="46"/>
        <v>0</v>
      </c>
      <c r="K82" s="362">
        <f t="shared" ca="1" si="47"/>
        <v>67700</v>
      </c>
    </row>
    <row r="83" spans="2:11">
      <c r="B83" s="515">
        <v>5</v>
      </c>
      <c r="C83" s="516" t="s">
        <v>747</v>
      </c>
      <c r="D83" s="358" t="str">
        <f ca="1">IF(ISERROR(OFFSET('HARGA SATUAN'!$D$6,MATCH(RAB!C83,'HARGA SATUAN'!$C$7:$C$1492,0),0)),"",OFFSET('HARGA SATUAN'!$D$6,MATCH(RAB!C83,'HARGA SATUAN'!$C$7:$C$1492,0),0))</f>
        <v>JASA</v>
      </c>
      <c r="E83" s="359" t="str">
        <f ca="1">IF(B83="+","Unit",IF(ISERROR(OFFSET('HARGA SATUAN'!$E$6,MATCH(RAB!C83,'HARGA SATUAN'!$C$7:$C$1492,0),0)),"",OFFSET('HARGA SATUAN'!$E$6,MATCH(RAB!C83,'HARGA SATUAN'!$C$7:$C$1492,0),0)))</f>
        <v>Unit</v>
      </c>
      <c r="F83" s="502">
        <f>F78*1</f>
        <v>1</v>
      </c>
      <c r="G83" s="360">
        <f ca="1">IF(ISERROR(OFFSET('HARGA SATUAN'!$I$6,MATCH(RAB!C83,'HARGA SATUAN'!$C$7:$C$1492,0),0)),0,OFFSET('HARGA SATUAN'!$I$6,MATCH(RAB!C83,'HARGA SATUAN'!$C$7:$C$1492,0),0))</f>
        <v>58400</v>
      </c>
      <c r="H83" s="361">
        <f t="shared" ca="1" si="44"/>
        <v>0</v>
      </c>
      <c r="I83" s="361">
        <f t="shared" ca="1" si="45"/>
        <v>0</v>
      </c>
      <c r="J83" s="361">
        <f t="shared" ca="1" si="46"/>
        <v>58400</v>
      </c>
      <c r="K83" s="362">
        <f t="shared" ca="1" si="47"/>
        <v>58400</v>
      </c>
    </row>
    <row r="84" spans="2:11">
      <c r="B84" s="494"/>
      <c r="C84" s="497"/>
      <c r="D84" s="358" t="str">
        <f ca="1">IF(ISERROR(OFFSET('HARGA SATUAN'!$D$6,MATCH(RAB!C84,'HARGA SATUAN'!$C$7:$C$1492,0),0)),"",OFFSET('HARGA SATUAN'!$D$6,MATCH(RAB!C84,'HARGA SATUAN'!$C$7:$C$1492,0),0))</f>
        <v/>
      </c>
      <c r="E84" s="359" t="str">
        <f ca="1">IF(B84="+","Unit",IF(ISERROR(OFFSET('HARGA SATUAN'!$E$6,MATCH(RAB!C84,'HARGA SATUAN'!$C$7:$C$1492,0),0)),"",OFFSET('HARGA SATUAN'!$E$6,MATCH(RAB!C84,'HARGA SATUAN'!$C$7:$C$1492,0),0)))</f>
        <v/>
      </c>
      <c r="F84" s="501"/>
      <c r="G84" s="360">
        <f ca="1">IF(ISERROR(OFFSET('HARGA SATUAN'!$I$6,MATCH(RAB!C84,'HARGA SATUAN'!$C$7:$C$1492,0),0)),0,OFFSET('HARGA SATUAN'!$I$6,MATCH(RAB!C84,'HARGA SATUAN'!$C$7:$C$1492,0),0))</f>
        <v>0</v>
      </c>
      <c r="H84" s="361">
        <f t="shared" ca="1" si="44"/>
        <v>0</v>
      </c>
      <c r="I84" s="361">
        <f t="shared" ca="1" si="45"/>
        <v>0</v>
      </c>
      <c r="J84" s="361">
        <f t="shared" ca="1" si="46"/>
        <v>0</v>
      </c>
      <c r="K84" s="362">
        <f t="shared" ca="1" si="47"/>
        <v>0</v>
      </c>
    </row>
    <row r="85" spans="2:11">
      <c r="B85" s="515" t="s">
        <v>1035</v>
      </c>
      <c r="C85" s="516" t="s">
        <v>1624</v>
      </c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>Unit</v>
      </c>
      <c r="F85" s="23">
        <v>1</v>
      </c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ref="H85:H97" ca="1" si="48">IF(OR(D85="MDU",D85="MDU-KD"),(IF($O$3="RAB NON MDU","PLN KD",G85*F85)),0)</f>
        <v>0</v>
      </c>
      <c r="I85" s="361">
        <f t="shared" ref="I85:I97" ca="1" si="49">IF(D85="HDW",G85*F85,0)</f>
        <v>0</v>
      </c>
      <c r="J85" s="361">
        <f t="shared" ref="J85:J97" ca="1" si="50">IF(D85="JASA",G85*F85,0)</f>
        <v>0</v>
      </c>
      <c r="K85" s="362">
        <f t="shared" ref="K85:K97" ca="1" si="51">SUM(H85:J85)</f>
        <v>0</v>
      </c>
    </row>
    <row r="86" spans="2:11">
      <c r="B86" s="515">
        <v>1</v>
      </c>
      <c r="C86" s="506" t="s">
        <v>532</v>
      </c>
      <c r="D86" s="358" t="str">
        <f ca="1">IF(ISERROR(OFFSET('HARGA SATUAN'!$D$6,MATCH(RAB!C86,'HARGA SATUAN'!$C$7:$C$1492,0),0)),"",OFFSET('HARGA SATUAN'!$D$6,MATCH(RAB!C86,'HARGA SATUAN'!$C$7:$C$1492,0),0))</f>
        <v>MDU-KD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7">
        <f>F85*1</f>
        <v>1</v>
      </c>
      <c r="G86" s="360">
        <f ca="1">IF(ISERROR(OFFSET('HARGA SATUAN'!$I$6,MATCH(RAB!C86,'HARGA SATUAN'!$C$7:$C$1492,0),0)),0,OFFSET('HARGA SATUAN'!$I$6,MATCH(RAB!C86,'HARGA SATUAN'!$C$7:$C$1492,0),0))</f>
        <v>27845400</v>
      </c>
      <c r="H86" s="361">
        <f t="shared" ca="1" si="48"/>
        <v>27845400</v>
      </c>
      <c r="I86" s="361">
        <f t="shared" ca="1" si="49"/>
        <v>0</v>
      </c>
      <c r="J86" s="361">
        <f t="shared" ca="1" si="50"/>
        <v>0</v>
      </c>
      <c r="K86" s="362">
        <f t="shared" ca="1" si="51"/>
        <v>27845400</v>
      </c>
    </row>
    <row r="87" spans="2:11">
      <c r="B87" s="503">
        <v>2</v>
      </c>
      <c r="C87" s="506" t="s">
        <v>1618</v>
      </c>
      <c r="D87" s="358" t="str">
        <f ca="1">IF(ISERROR(OFFSET('HARGA SATUAN'!$D$6,MATCH(RAB!C87,'HARGA SATUAN'!$C$7:$C$1492,0),0)),"",OFFSET('HARGA SATUAN'!$D$6,MATCH(RAB!C87,'HARGA SATUAN'!$C$7:$C$1492,0),0))</f>
        <v/>
      </c>
      <c r="E87" s="359" t="str">
        <f ca="1">IF(B87="+","Unit",IF(ISERROR(OFFSET('HARGA SATUAN'!$E$6,MATCH(RAB!C87,'HARGA SATUAN'!$C$7:$C$1492,0),0)),"",OFFSET('HARGA SATUAN'!$E$6,MATCH(RAB!C87,'HARGA SATUAN'!$C$7:$C$1492,0),0)))</f>
        <v/>
      </c>
      <c r="F87" s="507"/>
      <c r="G87" s="360">
        <f ca="1">IF(ISERROR(OFFSET('HARGA SATUAN'!$I$6,MATCH(RAB!C87,'HARGA SATUAN'!$C$7:$C$1492,0),0)),0,OFFSET('HARGA SATUAN'!$I$6,MATCH(RAB!C87,'HARGA SATUAN'!$C$7:$C$1492,0),0))</f>
        <v>0</v>
      </c>
      <c r="H87" s="361">
        <f t="shared" ca="1" si="48"/>
        <v>0</v>
      </c>
      <c r="I87" s="361">
        <f t="shared" ca="1" si="49"/>
        <v>0</v>
      </c>
      <c r="J87" s="361">
        <f t="shared" ca="1" si="50"/>
        <v>0</v>
      </c>
      <c r="K87" s="362">
        <f t="shared" ca="1" si="51"/>
        <v>0</v>
      </c>
    </row>
    <row r="88" spans="2:11">
      <c r="B88" s="503"/>
      <c r="C88" s="506" t="s">
        <v>65</v>
      </c>
      <c r="D88" s="358" t="str">
        <f ca="1">IF(ISERROR(OFFSET('HARGA SATUAN'!$D$6,MATCH(RAB!C88,'HARGA SATUAN'!$C$7:$C$1492,0),0)),"",OFFSET('HARGA SATUAN'!$D$6,MATCH(RAB!C88,'HARGA SATUAN'!$C$7:$C$1492,0),0))</f>
        <v>MDU-KD</v>
      </c>
      <c r="E88" s="359" t="str">
        <f ca="1">IF(B88="+","Unit",IF(ISERROR(OFFSET('HARGA SATUAN'!$E$6,MATCH(RAB!C88,'HARGA SATUAN'!$C$7:$C$1492,0),0)),"",OFFSET('HARGA SATUAN'!$E$6,MATCH(RAB!C88,'HARGA SATUAN'!$C$7:$C$1492,0),0)))</f>
        <v>Mtr</v>
      </c>
      <c r="F88" s="507">
        <f>F85*2</f>
        <v>2</v>
      </c>
      <c r="G88" s="360">
        <f ca="1">IF(ISERROR(OFFSET('HARGA SATUAN'!$I$6,MATCH(RAB!C88,'HARGA SATUAN'!$C$7:$C$1492,0),0)),0,OFFSET('HARGA SATUAN'!$I$6,MATCH(RAB!C88,'HARGA SATUAN'!$C$7:$C$1492,0),0))</f>
        <v>14200</v>
      </c>
      <c r="H88" s="361">
        <f t="shared" ca="1" si="48"/>
        <v>28400</v>
      </c>
      <c r="I88" s="361">
        <f t="shared" ca="1" si="49"/>
        <v>0</v>
      </c>
      <c r="J88" s="361">
        <f t="shared" ca="1" si="50"/>
        <v>0</v>
      </c>
      <c r="K88" s="362">
        <f t="shared" ca="1" si="51"/>
        <v>28400</v>
      </c>
    </row>
    <row r="89" spans="2:11">
      <c r="B89" s="515"/>
      <c r="C89" s="506" t="s">
        <v>1625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/>
      </c>
      <c r="F89" s="507">
        <f>F85*2</f>
        <v>2</v>
      </c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48"/>
        <v>0</v>
      </c>
      <c r="I89" s="361">
        <f t="shared" ca="1" si="49"/>
        <v>0</v>
      </c>
      <c r="J89" s="361">
        <f t="shared" ca="1" si="50"/>
        <v>0</v>
      </c>
      <c r="K89" s="362">
        <f t="shared" ca="1" si="51"/>
        <v>0</v>
      </c>
    </row>
    <row r="90" spans="2:11">
      <c r="B90" s="515">
        <v>3</v>
      </c>
      <c r="C90" s="506" t="s">
        <v>207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7">
        <f>F85*1</f>
        <v>1</v>
      </c>
      <c r="G90" s="360">
        <f ca="1">IF(ISERROR(OFFSET('HARGA SATUAN'!$I$6,MATCH(RAB!C90,'HARGA SATUAN'!$C$7:$C$1492,0),0)),0,OFFSET('HARGA SATUAN'!$I$6,MATCH(RAB!C90,'HARGA SATUAN'!$C$7:$C$1492,0),0))</f>
        <v>87000</v>
      </c>
      <c r="H90" s="361">
        <f t="shared" ca="1" si="48"/>
        <v>0</v>
      </c>
      <c r="I90" s="361">
        <f t="shared" ca="1" si="49"/>
        <v>87000</v>
      </c>
      <c r="J90" s="361">
        <f t="shared" ca="1" si="50"/>
        <v>0</v>
      </c>
      <c r="K90" s="362">
        <f t="shared" ca="1" si="51"/>
        <v>87000</v>
      </c>
    </row>
    <row r="91" spans="2:11">
      <c r="B91" s="515">
        <v>4</v>
      </c>
      <c r="C91" s="506" t="s">
        <v>176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7">
        <f>F85*2</f>
        <v>2</v>
      </c>
      <c r="G91" s="360">
        <f ca="1">IF(ISERROR(OFFSET('HARGA SATUAN'!$I$6,MATCH(RAB!C91,'HARGA SATUAN'!$C$7:$C$1492,0),0)),0,OFFSET('HARGA SATUAN'!$I$6,MATCH(RAB!C91,'HARGA SATUAN'!$C$7:$C$1492,0),0))</f>
        <v>404600</v>
      </c>
      <c r="H91" s="361">
        <f t="shared" ca="1" si="48"/>
        <v>0</v>
      </c>
      <c r="I91" s="361">
        <f t="shared" ca="1" si="49"/>
        <v>809200</v>
      </c>
      <c r="J91" s="361">
        <f t="shared" ca="1" si="50"/>
        <v>0</v>
      </c>
      <c r="K91" s="362">
        <f t="shared" ca="1" si="51"/>
        <v>809200</v>
      </c>
    </row>
    <row r="92" spans="2:11">
      <c r="B92" s="515">
        <v>5</v>
      </c>
      <c r="C92" s="506" t="s">
        <v>184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507">
        <f>F85*3</f>
        <v>3</v>
      </c>
      <c r="G92" s="360">
        <f ca="1">IF(ISERROR(OFFSET('HARGA SATUAN'!$I$6,MATCH(RAB!C92,'HARGA SATUAN'!$C$7:$C$1492,0),0)),0,OFFSET('HARGA SATUAN'!$I$6,MATCH(RAB!C92,'HARGA SATUAN'!$C$7:$C$1492,0),0))</f>
        <v>15900</v>
      </c>
      <c r="H92" s="361">
        <f t="shared" ca="1" si="48"/>
        <v>0</v>
      </c>
      <c r="I92" s="361">
        <f t="shared" ca="1" si="49"/>
        <v>47700</v>
      </c>
      <c r="J92" s="361">
        <f t="shared" ca="1" si="50"/>
        <v>0</v>
      </c>
      <c r="K92" s="362">
        <f t="shared" ca="1" si="51"/>
        <v>47700</v>
      </c>
    </row>
    <row r="93" spans="2:11">
      <c r="B93" s="515">
        <v>6</v>
      </c>
      <c r="C93" s="506" t="s">
        <v>187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7">
        <f>F85*2</f>
        <v>2</v>
      </c>
      <c r="G93" s="360">
        <f ca="1">IF(ISERROR(OFFSET('HARGA SATUAN'!$I$6,MATCH(RAB!C93,'HARGA SATUAN'!$C$7:$C$1492,0),0)),0,OFFSET('HARGA SATUAN'!$I$6,MATCH(RAB!C93,'HARGA SATUAN'!$C$7:$C$1492,0),0))</f>
        <v>17100</v>
      </c>
      <c r="H93" s="361">
        <f t="shared" ca="1" si="48"/>
        <v>0</v>
      </c>
      <c r="I93" s="361">
        <f t="shared" ca="1" si="49"/>
        <v>34200</v>
      </c>
      <c r="J93" s="361">
        <f t="shared" ca="1" si="50"/>
        <v>0</v>
      </c>
      <c r="K93" s="362">
        <f t="shared" ca="1" si="51"/>
        <v>34200</v>
      </c>
    </row>
    <row r="94" spans="2:11">
      <c r="B94" s="515">
        <v>7</v>
      </c>
      <c r="C94" s="506" t="s">
        <v>1626</v>
      </c>
      <c r="D94" s="358" t="str">
        <f ca="1">IF(ISERROR(OFFSET('HARGA SATUAN'!$D$6,MATCH(RAB!C94,'HARGA SATUAN'!$C$7:$C$1492,0),0)),"",OFFSET('HARGA SATUAN'!$D$6,MATCH(RAB!C94,'HARGA SATUAN'!$C$7:$C$1492,0),0))</f>
        <v/>
      </c>
      <c r="E94" s="359" t="str">
        <f ca="1">IF(B94="+","Unit",IF(ISERROR(OFFSET('HARGA SATUAN'!$E$6,MATCH(RAB!C94,'HARGA SATUAN'!$C$7:$C$1492,0),0)),"",OFFSET('HARGA SATUAN'!$E$6,MATCH(RAB!C94,'HARGA SATUAN'!$C$7:$C$1492,0),0)))</f>
        <v/>
      </c>
      <c r="F94" s="507">
        <f>F85*4</f>
        <v>4</v>
      </c>
      <c r="G94" s="360">
        <f ca="1">IF(ISERROR(OFFSET('HARGA SATUAN'!$I$6,MATCH(RAB!C94,'HARGA SATUAN'!$C$7:$C$1492,0),0)),0,OFFSET('HARGA SATUAN'!$I$6,MATCH(RAB!C94,'HARGA SATUAN'!$C$7:$C$1492,0),0))</f>
        <v>0</v>
      </c>
      <c r="H94" s="361">
        <f t="shared" ca="1" si="48"/>
        <v>0</v>
      </c>
      <c r="I94" s="361">
        <f t="shared" ca="1" si="49"/>
        <v>0</v>
      </c>
      <c r="J94" s="361">
        <f t="shared" ca="1" si="50"/>
        <v>0</v>
      </c>
      <c r="K94" s="362">
        <f t="shared" ca="1" si="51"/>
        <v>0</v>
      </c>
    </row>
    <row r="95" spans="2:11">
      <c r="B95" s="515">
        <v>8</v>
      </c>
      <c r="C95" s="506" t="s">
        <v>149</v>
      </c>
      <c r="D95" s="358" t="str">
        <f ca="1">IF(ISERROR(OFFSET('HARGA SATUAN'!$D$6,MATCH(RAB!C95,'HARGA SATUAN'!$C$7:$C$1492,0),0)),"",OFFSET('HARGA SATUAN'!$D$6,MATCH(RAB!C95,'HARGA SATUAN'!$C$7:$C$1492,0),0))</f>
        <v>HDW</v>
      </c>
      <c r="E95" s="359" t="str">
        <f ca="1">IF(B95="+","Unit",IF(ISERROR(OFFSET('HARGA SATUAN'!$E$6,MATCH(RAB!C95,'HARGA SATUAN'!$C$7:$C$1492,0),0)),"",OFFSET('HARGA SATUAN'!$E$6,MATCH(RAB!C95,'HARGA SATUAN'!$C$7:$C$1492,0),0)))</f>
        <v>Set</v>
      </c>
      <c r="F95" s="507">
        <f>F85*1</f>
        <v>1</v>
      </c>
      <c r="G95" s="360">
        <f ca="1">IF(ISERROR(OFFSET('HARGA SATUAN'!$I$6,MATCH(RAB!C95,'HARGA SATUAN'!$C$7:$C$1492,0),0)),0,OFFSET('HARGA SATUAN'!$I$6,MATCH(RAB!C95,'HARGA SATUAN'!$C$7:$C$1492,0),0))</f>
        <v>67800</v>
      </c>
      <c r="H95" s="361">
        <f t="shared" ca="1" si="48"/>
        <v>0</v>
      </c>
      <c r="I95" s="361">
        <f t="shared" ca="1" si="49"/>
        <v>67800</v>
      </c>
      <c r="J95" s="361">
        <f t="shared" ca="1" si="50"/>
        <v>0</v>
      </c>
      <c r="K95" s="362">
        <f t="shared" ca="1" si="51"/>
        <v>67800</v>
      </c>
    </row>
    <row r="96" spans="2:11">
      <c r="B96" s="515">
        <v>9</v>
      </c>
      <c r="C96" s="506" t="s">
        <v>32</v>
      </c>
      <c r="D96" s="358" t="str">
        <f ca="1">IF(ISERROR(OFFSET('HARGA SATUAN'!$D$6,MATCH(RAB!C96,'HARGA SATUAN'!$C$7:$C$1492,0),0)),"",OFFSET('HARGA SATUAN'!$D$6,MATCH(RAB!C96,'HARGA SATUAN'!$C$7:$C$1492,0),0))</f>
        <v>HDW</v>
      </c>
      <c r="E96" s="359" t="str">
        <f ca="1">IF(B96="+","Unit",IF(ISERROR(OFFSET('HARGA SATUAN'!$E$6,MATCH(RAB!C96,'HARGA SATUAN'!$C$7:$C$1492,0),0)),"",OFFSET('HARGA SATUAN'!$E$6,MATCH(RAB!C96,'HARGA SATUAN'!$C$7:$C$1492,0),0)))</f>
        <v>Mtr</v>
      </c>
      <c r="F96" s="507">
        <f>F85*2</f>
        <v>2</v>
      </c>
      <c r="G96" s="360">
        <f ca="1">IF(ISERROR(OFFSET('HARGA SATUAN'!$I$6,MATCH(RAB!C96,'HARGA SATUAN'!$C$7:$C$1492,0),0)),0,OFFSET('HARGA SATUAN'!$I$6,MATCH(RAB!C96,'HARGA SATUAN'!$C$7:$C$1492,0),0))</f>
        <v>30000</v>
      </c>
      <c r="H96" s="361">
        <f t="shared" ca="1" si="48"/>
        <v>0</v>
      </c>
      <c r="I96" s="361">
        <f t="shared" ca="1" si="49"/>
        <v>60000</v>
      </c>
      <c r="J96" s="361">
        <f t="shared" ca="1" si="50"/>
        <v>0</v>
      </c>
      <c r="K96" s="362">
        <f t="shared" ca="1" si="51"/>
        <v>60000</v>
      </c>
    </row>
    <row r="97" spans="2:11">
      <c r="B97" s="515">
        <v>10</v>
      </c>
      <c r="C97" s="506" t="s">
        <v>781</v>
      </c>
      <c r="D97" s="358" t="str">
        <f ca="1">IF(ISERROR(OFFSET('HARGA SATUAN'!$D$6,MATCH(RAB!C97,'HARGA SATUAN'!$C$7:$C$1492,0),0)),"",OFFSET('HARGA SATUAN'!$D$6,MATCH(RAB!C97,'HARGA SATUAN'!$C$7:$C$1492,0),0))</f>
        <v>JASA</v>
      </c>
      <c r="E97" s="359" t="str">
        <f ca="1">IF(B97="+","Unit",IF(ISERROR(OFFSET('HARGA SATUAN'!$E$6,MATCH(RAB!C97,'HARGA SATUAN'!$C$7:$C$1492,0),0)),"",OFFSET('HARGA SATUAN'!$E$6,MATCH(RAB!C97,'HARGA SATUAN'!$C$7:$C$1492,0),0)))</f>
        <v>Unit</v>
      </c>
      <c r="F97" s="507">
        <f>F85*1</f>
        <v>1</v>
      </c>
      <c r="G97" s="360">
        <f ca="1">IF(ISERROR(OFFSET('HARGA SATUAN'!$I$6,MATCH(RAB!C97,'HARGA SATUAN'!$C$7:$C$1492,0),0)),0,OFFSET('HARGA SATUAN'!$I$6,MATCH(RAB!C97,'HARGA SATUAN'!$C$7:$C$1492,0),0))</f>
        <v>346400</v>
      </c>
      <c r="H97" s="361">
        <f t="shared" ca="1" si="48"/>
        <v>0</v>
      </c>
      <c r="I97" s="361">
        <f t="shared" ca="1" si="49"/>
        <v>0</v>
      </c>
      <c r="J97" s="361">
        <f t="shared" ca="1" si="50"/>
        <v>346400</v>
      </c>
      <c r="K97" s="362">
        <f t="shared" ca="1" si="51"/>
        <v>346400</v>
      </c>
    </row>
    <row r="98" spans="2:11">
      <c r="B98" s="508"/>
      <c r="C98" s="109"/>
      <c r="D98" s="358" t="str">
        <f ca="1">IF(ISERROR(OFFSET('HARGA SATUAN'!$D$6,MATCH(RAB!C98,'HARGA SATUAN'!$C$7:$C$1492,0),0)),"",OFFSET('HARGA SATUAN'!$D$6,MATCH(RAB!C98,'HARGA SATUAN'!$C$7:$C$1492,0),0))</f>
        <v/>
      </c>
      <c r="E98" s="359" t="str">
        <f ca="1">IF(B98="+","Unit",IF(ISERROR(OFFSET('HARGA SATUAN'!$E$6,MATCH(RAB!C98,'HARGA SATUAN'!$C$7:$C$1492,0),0)),"",OFFSET('HARGA SATUAN'!$E$6,MATCH(RAB!C98,'HARGA SATUAN'!$C$7:$C$1492,0),0)))</f>
        <v/>
      </c>
      <c r="F98" s="501"/>
      <c r="G98" s="360">
        <f ca="1">IF(ISERROR(OFFSET('HARGA SATUAN'!$I$6,MATCH(RAB!C98,'HARGA SATUAN'!$C$7:$C$1492,0),0)),0,OFFSET('HARGA SATUAN'!$I$6,MATCH(RAB!C98,'HARGA SATUAN'!$C$7:$C$1492,0),0))</f>
        <v>0</v>
      </c>
      <c r="H98" s="361">
        <f t="shared" ref="H98" ca="1" si="52">IF(OR(D98="MDU",D98="MDU-KD"),(IF($O$3="RAB NON MDU","PLN KD",G98*F98)),0)</f>
        <v>0</v>
      </c>
      <c r="I98" s="361">
        <f t="shared" ref="I98" ca="1" si="53">IF(D98="HDW",G98*F98,0)</f>
        <v>0</v>
      </c>
      <c r="J98" s="361">
        <f t="shared" ref="J98" ca="1" si="54">IF(D98="JASA",G98*F98,0)</f>
        <v>0</v>
      </c>
      <c r="K98" s="362">
        <f t="shared" ref="K98" ca="1" si="55">SUM(H98:J98)</f>
        <v>0</v>
      </c>
    </row>
    <row r="99" spans="2:11">
      <c r="B99" s="503" t="s">
        <v>1035</v>
      </c>
      <c r="C99" s="504" t="s">
        <v>1619</v>
      </c>
      <c r="D99" s="358" t="str">
        <f ca="1">IF(ISERROR(OFFSET('HARGA SATUAN'!$D$6,MATCH(RAB!C99,'HARGA SATUAN'!$C$7:$C$1492,0),0)),"",OFFSET('HARGA SATUAN'!$D$6,MATCH(RAB!C99,'HARGA SATUAN'!$C$7:$C$1492,0),0))</f>
        <v/>
      </c>
      <c r="E99" s="359" t="str">
        <f ca="1">IF(B99="+","Unit",IF(ISERROR(OFFSET('HARGA SATUAN'!$E$6,MATCH(RAB!C99,'HARGA SATUAN'!$C$7:$C$1492,0),0)),"",OFFSET('HARGA SATUAN'!$E$6,MATCH(RAB!C99,'HARGA SATUAN'!$C$7:$C$1492,0),0)))</f>
        <v>Unit</v>
      </c>
      <c r="F99" s="501">
        <v>4</v>
      </c>
      <c r="G99" s="360">
        <f ca="1">IF(ISERROR(OFFSET('HARGA SATUAN'!$I$6,MATCH(RAB!C99,'HARGA SATUAN'!$C$7:$C$1492,0),0)),0,OFFSET('HARGA SATUAN'!$I$6,MATCH(RAB!C99,'HARGA SATUAN'!$C$7:$C$1492,0),0))</f>
        <v>0</v>
      </c>
      <c r="H99" s="361">
        <f t="shared" ref="H99:H109" ca="1" si="56">IF(OR(D99="MDU",D99="MDU-KD"),(IF($O$3="RAB NON MDU","PLN KD",G99*F99)),0)</f>
        <v>0</v>
      </c>
      <c r="I99" s="361">
        <f t="shared" ref="I99:I109" ca="1" si="57">IF(D99="HDW",G99*F99,0)</f>
        <v>0</v>
      </c>
      <c r="J99" s="361">
        <f t="shared" ref="J99:J109" ca="1" si="58">IF(D99="JASA",G99*F99,0)</f>
        <v>0</v>
      </c>
      <c r="K99" s="362">
        <f t="shared" ref="K99:K109" ca="1" si="59">SUM(H99:J99)</f>
        <v>0</v>
      </c>
    </row>
    <row r="100" spans="2:11">
      <c r="B100" s="503">
        <v>1</v>
      </c>
      <c r="C100" s="505" t="s">
        <v>29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501">
        <f>F99*1</f>
        <v>4</v>
      </c>
      <c r="G100" s="360">
        <f ca="1">IF(ISERROR(OFFSET('HARGA SATUAN'!$I$6,MATCH(RAB!C100,'HARGA SATUAN'!$C$7:$C$1492,0),0)),0,OFFSET('HARGA SATUAN'!$I$6,MATCH(RAB!C100,'HARGA SATUAN'!$C$7:$C$1492,0),0))</f>
        <v>185200</v>
      </c>
      <c r="H100" s="361">
        <f t="shared" ca="1" si="56"/>
        <v>0</v>
      </c>
      <c r="I100" s="361">
        <f t="shared" ca="1" si="57"/>
        <v>740800</v>
      </c>
      <c r="J100" s="361">
        <f t="shared" ca="1" si="58"/>
        <v>0</v>
      </c>
      <c r="K100" s="362">
        <f t="shared" ca="1" si="59"/>
        <v>740800</v>
      </c>
    </row>
    <row r="101" spans="2:11">
      <c r="B101" s="498">
        <v>2</v>
      </c>
      <c r="C101" s="499" t="s">
        <v>30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501">
        <f>F99*1</f>
        <v>4</v>
      </c>
      <c r="G101" s="360">
        <f ca="1">IF(ISERROR(OFFSET('HARGA SATUAN'!$I$6,MATCH(RAB!C101,'HARGA SATUAN'!$C$7:$C$1492,0),0)),0,OFFSET('HARGA SATUAN'!$I$6,MATCH(RAB!C101,'HARGA SATUAN'!$C$7:$C$1492,0),0))</f>
        <v>47459</v>
      </c>
      <c r="H101" s="361">
        <f t="shared" ca="1" si="56"/>
        <v>0</v>
      </c>
      <c r="I101" s="361">
        <f t="shared" ca="1" si="57"/>
        <v>189836</v>
      </c>
      <c r="J101" s="361">
        <f t="shared" ca="1" si="58"/>
        <v>0</v>
      </c>
      <c r="K101" s="362">
        <f t="shared" ca="1" si="59"/>
        <v>189836</v>
      </c>
    </row>
    <row r="102" spans="2:11">
      <c r="B102" s="498">
        <v>3</v>
      </c>
      <c r="C102" s="499" t="s">
        <v>31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501">
        <f>F99*1</f>
        <v>4</v>
      </c>
      <c r="G102" s="360">
        <f ca="1">IF(ISERROR(OFFSET('HARGA SATUAN'!$I$6,MATCH(RAB!C102,'HARGA SATUAN'!$C$7:$C$1492,0),0)),0,OFFSET('HARGA SATUAN'!$I$6,MATCH(RAB!C102,'HARGA SATUAN'!$C$7:$C$1492,0),0))</f>
        <v>4880</v>
      </c>
      <c r="H102" s="361">
        <f t="shared" ca="1" si="56"/>
        <v>0</v>
      </c>
      <c r="I102" s="361">
        <f t="shared" ca="1" si="57"/>
        <v>19520</v>
      </c>
      <c r="J102" s="361">
        <f t="shared" ca="1" si="58"/>
        <v>0</v>
      </c>
      <c r="K102" s="362">
        <f t="shared" ca="1" si="59"/>
        <v>19520</v>
      </c>
    </row>
    <row r="103" spans="2:11">
      <c r="B103" s="498">
        <v>4</v>
      </c>
      <c r="C103" s="499" t="s">
        <v>32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Mtr</v>
      </c>
      <c r="F103" s="501">
        <f>F99*10</f>
        <v>40</v>
      </c>
      <c r="G103" s="360">
        <f ca="1">IF(ISERROR(OFFSET('HARGA SATUAN'!$I$6,MATCH(RAB!C103,'HARGA SATUAN'!$C$7:$C$1492,0),0)),0,OFFSET('HARGA SATUAN'!$I$6,MATCH(RAB!C103,'HARGA SATUAN'!$C$7:$C$1492,0),0))</f>
        <v>30000</v>
      </c>
      <c r="H103" s="361">
        <f t="shared" ca="1" si="56"/>
        <v>0</v>
      </c>
      <c r="I103" s="361">
        <f t="shared" ca="1" si="57"/>
        <v>1200000</v>
      </c>
      <c r="J103" s="361">
        <f t="shared" ca="1" si="58"/>
        <v>0</v>
      </c>
      <c r="K103" s="362">
        <f t="shared" ca="1" si="59"/>
        <v>1200000</v>
      </c>
    </row>
    <row r="104" spans="2:11">
      <c r="B104" s="498">
        <v>5</v>
      </c>
      <c r="C104" s="499" t="s">
        <v>33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501">
        <f>F99*2</f>
        <v>8</v>
      </c>
      <c r="G104" s="360">
        <f ca="1">IF(ISERROR(OFFSET('HARGA SATUAN'!$I$6,MATCH(RAB!C104,'HARGA SATUAN'!$C$7:$C$1492,0),0)),0,OFFSET('HARGA SATUAN'!$I$6,MATCH(RAB!C104,'HARGA SATUAN'!$C$7:$C$1492,0),0))</f>
        <v>9500</v>
      </c>
      <c r="H104" s="361">
        <f t="shared" ca="1" si="56"/>
        <v>0</v>
      </c>
      <c r="I104" s="361">
        <f t="shared" ca="1" si="57"/>
        <v>76000</v>
      </c>
      <c r="J104" s="361">
        <f t="shared" ca="1" si="58"/>
        <v>0</v>
      </c>
      <c r="K104" s="362">
        <f t="shared" ca="1" si="59"/>
        <v>76000</v>
      </c>
    </row>
    <row r="105" spans="2:11">
      <c r="B105" s="498">
        <v>6</v>
      </c>
      <c r="C105" s="499" t="s">
        <v>34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501">
        <f>F99*5.5</f>
        <v>22</v>
      </c>
      <c r="G105" s="360">
        <f ca="1">IF(ISERROR(OFFSET('HARGA SATUAN'!$I$6,MATCH(RAB!C105,'HARGA SATUAN'!$C$7:$C$1492,0),0)),0,OFFSET('HARGA SATUAN'!$I$6,MATCH(RAB!C105,'HARGA SATUAN'!$C$7:$C$1492,0),0))</f>
        <v>6100</v>
      </c>
      <c r="H105" s="361">
        <f t="shared" ca="1" si="56"/>
        <v>0</v>
      </c>
      <c r="I105" s="361">
        <f t="shared" ca="1" si="57"/>
        <v>134200</v>
      </c>
      <c r="J105" s="361">
        <f t="shared" ca="1" si="58"/>
        <v>0</v>
      </c>
      <c r="K105" s="362">
        <f t="shared" ca="1" si="59"/>
        <v>134200</v>
      </c>
    </row>
    <row r="106" spans="2:11">
      <c r="B106" s="498">
        <v>7</v>
      </c>
      <c r="C106" s="499" t="s">
        <v>35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01">
        <f>F99*6</f>
        <v>24</v>
      </c>
      <c r="G106" s="360">
        <f ca="1">IF(ISERROR(OFFSET('HARGA SATUAN'!$I$6,MATCH(RAB!C106,'HARGA SATUAN'!$C$7:$C$1492,0),0)),0,OFFSET('HARGA SATUAN'!$I$6,MATCH(RAB!C106,'HARGA SATUAN'!$C$7:$C$1492,0),0))</f>
        <v>2300</v>
      </c>
      <c r="H106" s="361">
        <f t="shared" ca="1" si="56"/>
        <v>0</v>
      </c>
      <c r="I106" s="361">
        <f t="shared" ca="1" si="57"/>
        <v>55200</v>
      </c>
      <c r="J106" s="361">
        <f t="shared" ca="1" si="58"/>
        <v>0</v>
      </c>
      <c r="K106" s="362">
        <f t="shared" ca="1" si="59"/>
        <v>55200</v>
      </c>
    </row>
    <row r="107" spans="2:11">
      <c r="B107" s="498">
        <v>8</v>
      </c>
      <c r="C107" s="499" t="s">
        <v>1620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Mtr</v>
      </c>
      <c r="F107" s="501">
        <f>F99*4.8</f>
        <v>19.2</v>
      </c>
      <c r="G107" s="360">
        <f ca="1">IF(ISERROR(OFFSET('HARGA SATUAN'!$I$6,MATCH(RAB!C107,'HARGA SATUAN'!$C$7:$C$1492,0),0)),0,OFFSET('HARGA SATUAN'!$I$6,MATCH(RAB!C107,'HARGA SATUAN'!$C$7:$C$1492,0),0))</f>
        <v>23310</v>
      </c>
      <c r="H107" s="361">
        <f t="shared" ca="1" si="56"/>
        <v>0</v>
      </c>
      <c r="I107" s="361">
        <f t="shared" ca="1" si="57"/>
        <v>447552</v>
      </c>
      <c r="J107" s="361">
        <f t="shared" ca="1" si="58"/>
        <v>0</v>
      </c>
      <c r="K107" s="362">
        <f t="shared" ca="1" si="59"/>
        <v>447552</v>
      </c>
    </row>
    <row r="108" spans="2:11">
      <c r="B108" s="498">
        <v>9</v>
      </c>
      <c r="C108" s="499" t="s">
        <v>736</v>
      </c>
      <c r="D108" s="358" t="str">
        <f ca="1">IF(ISERROR(OFFSET('HARGA SATUAN'!$D$6,MATCH(RAB!C108,'HARGA SATUAN'!$C$7:$C$1492,0),0)),"",OFFSET('HARGA SATUAN'!$D$6,MATCH(RAB!C108,'HARGA SATUAN'!$C$7:$C$1492,0),0))</f>
        <v>JASA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01">
        <f>F99*1</f>
        <v>4</v>
      </c>
      <c r="G108" s="360">
        <f ca="1">IF(ISERROR(OFFSET('HARGA SATUAN'!$I$6,MATCH(RAB!C108,'HARGA SATUAN'!$C$7:$C$1492,0),0)),0,OFFSET('HARGA SATUAN'!$I$6,MATCH(RAB!C108,'HARGA SATUAN'!$C$7:$C$1492,0),0))</f>
        <v>65400</v>
      </c>
      <c r="H108" s="361">
        <f t="shared" ca="1" si="56"/>
        <v>0</v>
      </c>
      <c r="I108" s="361">
        <f t="shared" ca="1" si="57"/>
        <v>0</v>
      </c>
      <c r="J108" s="361">
        <f t="shared" ca="1" si="58"/>
        <v>261600</v>
      </c>
      <c r="K108" s="362">
        <f t="shared" ca="1" si="59"/>
        <v>261600</v>
      </c>
    </row>
    <row r="109" spans="2:11">
      <c r="B109" s="494"/>
      <c r="C109" s="497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502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ca="1" si="56"/>
        <v>0</v>
      </c>
      <c r="I109" s="361">
        <f t="shared" ca="1" si="57"/>
        <v>0</v>
      </c>
      <c r="J109" s="361">
        <f t="shared" ca="1" si="58"/>
        <v>0</v>
      </c>
      <c r="K109" s="362">
        <f t="shared" ca="1" si="59"/>
        <v>0</v>
      </c>
    </row>
    <row r="110" spans="2:11">
      <c r="B110" s="495" t="s">
        <v>1615</v>
      </c>
      <c r="C110" s="500" t="s">
        <v>1621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/>
      </c>
      <c r="F110" s="368"/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ref="H110:H116" ca="1" si="60">IF(OR(D110="MDU",D110="MDU-KD"),(IF($O$3="RAB NON MDU","PLN KD",G110*F110)),0)</f>
        <v>0</v>
      </c>
      <c r="I110" s="361">
        <f t="shared" ref="I110:I116" ca="1" si="61">IF(D110="HDW",G110*F110,0)</f>
        <v>0</v>
      </c>
      <c r="J110" s="361">
        <f t="shared" ref="J110:J116" ca="1" si="62">IF(D110="JASA",G110*F110,0)</f>
        <v>0</v>
      </c>
      <c r="K110" s="362">
        <f t="shared" ref="K110:K116" ca="1" si="63">SUM(H110:J110)</f>
        <v>0</v>
      </c>
    </row>
    <row r="111" spans="2:11">
      <c r="B111" s="495"/>
      <c r="C111" s="496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510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60"/>
        <v>0</v>
      </c>
      <c r="I111" s="361">
        <f t="shared" ca="1" si="61"/>
        <v>0</v>
      </c>
      <c r="J111" s="361">
        <f t="shared" ca="1" si="62"/>
        <v>0</v>
      </c>
      <c r="K111" s="362">
        <f t="shared" ca="1" si="63"/>
        <v>0</v>
      </c>
    </row>
    <row r="112" spans="2:11">
      <c r="B112" s="495" t="s">
        <v>1035</v>
      </c>
      <c r="C112" s="496" t="s">
        <v>1628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518">
        <v>1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60"/>
        <v>0</v>
      </c>
      <c r="I112" s="361">
        <f t="shared" ca="1" si="61"/>
        <v>0</v>
      </c>
      <c r="J112" s="361">
        <f t="shared" ca="1" si="62"/>
        <v>0</v>
      </c>
      <c r="K112" s="362">
        <f t="shared" ca="1" si="63"/>
        <v>0</v>
      </c>
    </row>
    <row r="113" spans="2:11" ht="30">
      <c r="B113" s="515">
        <v>1</v>
      </c>
      <c r="C113" s="109" t="s">
        <v>1141</v>
      </c>
      <c r="D113" s="358" t="str">
        <f ca="1">IF(ISERROR(OFFSET('HARGA SATUAN'!$D$6,MATCH(RAB!C113,'HARGA SATUAN'!$C$7:$C$1492,0),0)),"",OFFSET('HARGA SATUAN'!$D$6,MATCH(RAB!C113,'HARGA SATUAN'!$C$7:$C$1492,0),0))</f>
        <v>MDU-KD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518">
        <f>F112*1</f>
        <v>1</v>
      </c>
      <c r="G113" s="360">
        <f ca="1">IF(ISERROR(OFFSET('HARGA SATUAN'!$I$6,MATCH(RAB!C113,'HARGA SATUAN'!$C$7:$C$1492,0),0)),0,OFFSET('HARGA SATUAN'!$I$6,MATCH(RAB!C113,'HARGA SATUAN'!$C$7:$C$1492,0),0))</f>
        <v>1740750</v>
      </c>
      <c r="H113" s="361">
        <f t="shared" ca="1" si="60"/>
        <v>1740750</v>
      </c>
      <c r="I113" s="361">
        <f t="shared" ca="1" si="61"/>
        <v>0</v>
      </c>
      <c r="J113" s="361">
        <f t="shared" ca="1" si="62"/>
        <v>0</v>
      </c>
      <c r="K113" s="362">
        <f t="shared" ca="1" si="63"/>
        <v>1740750</v>
      </c>
    </row>
    <row r="114" spans="2:11">
      <c r="B114" s="515">
        <v>2</v>
      </c>
      <c r="C114" s="517" t="s">
        <v>493</v>
      </c>
      <c r="D114" s="358" t="str">
        <f ca="1">IF(ISERROR(OFFSET('HARGA SATUAN'!$D$6,MATCH(RAB!C114,'HARGA SATUAN'!$C$7:$C$1492,0),0)),"",OFFSET('HARGA SATUAN'!$D$6,MATCH(RAB!C114,'HARGA SATUAN'!$C$7:$C$1492,0),0))</f>
        <v>MDU-KD</v>
      </c>
      <c r="E114" s="359" t="str">
        <f ca="1">IF(B114="+","Unit",IF(ISERROR(OFFSET('HARGA SATUAN'!$E$6,MATCH(RAB!C114,'HARGA SATUAN'!$C$7:$C$1492,0),0)),"",OFFSET('HARGA SATUAN'!$E$6,MATCH(RAB!C114,'HARGA SATUAN'!$C$7:$C$1492,0),0)))</f>
        <v>Bh</v>
      </c>
      <c r="F114" s="518">
        <f>F112*1</f>
        <v>1</v>
      </c>
      <c r="G114" s="360">
        <f ca="1">IF(ISERROR(OFFSET('HARGA SATUAN'!$I$6,MATCH(RAB!C114,'HARGA SATUAN'!$C$7:$C$1492,0),0)),0,OFFSET('HARGA SATUAN'!$I$6,MATCH(RAB!C114,'HARGA SATUAN'!$C$7:$C$1492,0),0))</f>
        <v>39000</v>
      </c>
      <c r="H114" s="361">
        <f t="shared" ca="1" si="60"/>
        <v>39000</v>
      </c>
      <c r="I114" s="361">
        <f t="shared" ca="1" si="61"/>
        <v>0</v>
      </c>
      <c r="J114" s="361">
        <f t="shared" ca="1" si="62"/>
        <v>0</v>
      </c>
      <c r="K114" s="362">
        <f t="shared" ca="1" si="63"/>
        <v>39000</v>
      </c>
    </row>
    <row r="115" spans="2:11">
      <c r="B115" s="515">
        <v>3</v>
      </c>
      <c r="C115" s="517" t="s">
        <v>74</v>
      </c>
      <c r="D115" s="358" t="str">
        <f ca="1">IF(ISERROR(OFFSET('HARGA SATUAN'!$D$6,MATCH(RAB!C115,'HARGA SATUAN'!$C$7:$C$1492,0),0)),"",OFFSET('HARGA SATUAN'!$D$6,MATCH(RAB!C115,'HARGA SATUAN'!$C$7:$C$1492,0),0))</f>
        <v>MDU-KD</v>
      </c>
      <c r="E115" s="359" t="str">
        <f ca="1">IF(B115="+","Unit",IF(ISERROR(OFFSET('HARGA SATUAN'!$E$6,MATCH(RAB!C115,'HARGA SATUAN'!$C$7:$C$1492,0),0)),"",OFFSET('HARGA SATUAN'!$E$6,MATCH(RAB!C115,'HARGA SATUAN'!$C$7:$C$1492,0),0)))</f>
        <v>Mtr</v>
      </c>
      <c r="F115" s="518">
        <f>F112*35</f>
        <v>35</v>
      </c>
      <c r="G115" s="360">
        <f ca="1">IF(ISERROR(OFFSET('HARGA SATUAN'!$I$6,MATCH(RAB!C115,'HARGA SATUAN'!$C$7:$C$1492,0),0)),0,OFFSET('HARGA SATUAN'!$I$6,MATCH(RAB!C115,'HARGA SATUAN'!$C$7:$C$1492,0),0))</f>
        <v>6600</v>
      </c>
      <c r="H115" s="361">
        <f t="shared" ca="1" si="60"/>
        <v>231000</v>
      </c>
      <c r="I115" s="361">
        <f t="shared" ca="1" si="61"/>
        <v>0</v>
      </c>
      <c r="J115" s="361">
        <f t="shared" ca="1" si="62"/>
        <v>0</v>
      </c>
      <c r="K115" s="362">
        <f t="shared" ca="1" si="63"/>
        <v>231000</v>
      </c>
    </row>
    <row r="116" spans="2:11">
      <c r="B116" s="515">
        <v>4</v>
      </c>
      <c r="C116" s="517" t="s">
        <v>798</v>
      </c>
      <c r="D116" s="358" t="str">
        <f ca="1">IF(ISERROR(OFFSET('HARGA SATUAN'!$D$6,MATCH(RAB!C116,'HARGA SATUAN'!$C$7:$C$1492,0),0)),"",OFFSET('HARGA SATUAN'!$D$6,MATCH(RAB!C116,'HARGA SATUAN'!$C$7:$C$1492,0),0))</f>
        <v>JASA</v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518">
        <f>F112*1</f>
        <v>1</v>
      </c>
      <c r="G116" s="360">
        <f ca="1">IF(ISERROR(OFFSET('HARGA SATUAN'!$I$6,MATCH(RAB!C116,'HARGA SATUAN'!$C$7:$C$1492,0),0)),0,OFFSET('HARGA SATUAN'!$I$6,MATCH(RAB!C116,'HARGA SATUAN'!$C$7:$C$1492,0),0))</f>
        <v>54400</v>
      </c>
      <c r="H116" s="361">
        <f t="shared" ca="1" si="60"/>
        <v>0</v>
      </c>
      <c r="I116" s="361">
        <f t="shared" ca="1" si="61"/>
        <v>0</v>
      </c>
      <c r="J116" s="361">
        <f t="shared" ca="1" si="62"/>
        <v>54400</v>
      </c>
      <c r="K116" s="362">
        <f t="shared" ca="1" si="63"/>
        <v>54400</v>
      </c>
    </row>
    <row r="117" spans="2:11">
      <c r="B117" s="374"/>
      <c r="C117" s="509"/>
      <c r="D117" s="358" t="str">
        <f ca="1">IF(ISERROR(OFFSET('HARGA SATUAN'!$D$6,MATCH(RAB!C117,'HARGA SATUAN'!$C$7:$C$1492,0),0)),"",OFFSET('HARGA SATUAN'!$D$6,MATCH(RAB!C117,'HARGA SATUAN'!$C$7:$C$1492,0),0))</f>
        <v/>
      </c>
      <c r="E117" s="359" t="str">
        <f ca="1">IF(B117="+","Unit",IF(ISERROR(OFFSET('HARGA SATUAN'!$E$6,MATCH(RAB!C117,'HARGA SATUAN'!$C$7:$C$1492,0),0)),"",OFFSET('HARGA SATUAN'!$E$6,MATCH(RAB!C117,'HARGA SATUAN'!$C$7:$C$1492,0),0)))</f>
        <v/>
      </c>
      <c r="F117" s="368"/>
      <c r="G117" s="360">
        <f ca="1">IF(ISERROR(OFFSET('HARGA SATUAN'!$I$6,MATCH(RAB!C117,'HARGA SATUAN'!$C$7:$C$1492,0),0)),0,OFFSET('HARGA SATUAN'!$I$6,MATCH(RAB!C117,'HARGA SATUAN'!$C$7:$C$1492,0),0))</f>
        <v>0</v>
      </c>
      <c r="H117" s="361">
        <f t="shared" ref="H117:H126" ca="1" si="64">IF(OR(D117="MDU",D117="MDU-KD"),(IF($O$3="RAB NON MDU","PLN KD",G117*F117)),0)</f>
        <v>0</v>
      </c>
      <c r="I117" s="361">
        <f t="shared" ref="I117:I126" ca="1" si="65">IF(D117="HDW",G117*F117,0)</f>
        <v>0</v>
      </c>
      <c r="J117" s="361">
        <f t="shared" ref="J117:J126" ca="1" si="66">IF(D117="JASA",G117*F117,0)</f>
        <v>0</v>
      </c>
      <c r="K117" s="362">
        <f t="shared" ref="K117:K126" ca="1" si="67">SUM(H117:J117)</f>
        <v>0</v>
      </c>
    </row>
    <row r="118" spans="2:11">
      <c r="B118" s="515" t="s">
        <v>1035</v>
      </c>
      <c r="C118" s="517" t="s">
        <v>1627</v>
      </c>
      <c r="D118" s="358" t="str">
        <f ca="1">IF(ISERROR(OFFSET('HARGA SATUAN'!$D$6,MATCH(RAB!C118,'HARGA SATUAN'!$C$7:$C$1492,0),0)),"",OFFSET('HARGA SATUAN'!$D$6,MATCH(RAB!C118,'HARGA SATUAN'!$C$7:$C$1492,0),0))</f>
        <v/>
      </c>
      <c r="E118" s="359" t="str">
        <f ca="1">IF(B118="+","Unit",IF(ISERROR(OFFSET('HARGA SATUAN'!$E$6,MATCH(RAB!C118,'HARGA SATUAN'!$C$7:$C$1492,0),0)),"",OFFSET('HARGA SATUAN'!$E$6,MATCH(RAB!C118,'HARGA SATUAN'!$C$7:$C$1492,0),0)))</f>
        <v>Unit</v>
      </c>
      <c r="F118" s="518">
        <v>1</v>
      </c>
      <c r="G118" s="360">
        <f ca="1">IF(ISERROR(OFFSET('HARGA SATUAN'!$I$6,MATCH(RAB!C118,'HARGA SATUAN'!$C$7:$C$1492,0),0)),0,OFFSET('HARGA SATUAN'!$I$6,MATCH(RAB!C118,'HARGA SATUAN'!$C$7:$C$1492,0),0))</f>
        <v>0</v>
      </c>
      <c r="H118" s="361">
        <f t="shared" ca="1" si="64"/>
        <v>0</v>
      </c>
      <c r="I118" s="361">
        <f t="shared" ca="1" si="65"/>
        <v>0</v>
      </c>
      <c r="J118" s="361">
        <f t="shared" ca="1" si="66"/>
        <v>0</v>
      </c>
      <c r="K118" s="362">
        <f t="shared" ca="1" si="67"/>
        <v>0</v>
      </c>
    </row>
    <row r="119" spans="2:11">
      <c r="B119" s="515">
        <v>1</v>
      </c>
      <c r="C119" s="517" t="s">
        <v>115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Set</v>
      </c>
      <c r="F119" s="518">
        <f>F118*1</f>
        <v>1</v>
      </c>
      <c r="G119" s="360">
        <f ca="1">IF(ISERROR(OFFSET('HARGA SATUAN'!$I$6,MATCH(RAB!C119,'HARGA SATUAN'!$C$7:$C$1492,0),0)),0,OFFSET('HARGA SATUAN'!$I$6,MATCH(RAB!C119,'HARGA SATUAN'!$C$7:$C$1492,0),0))</f>
        <v>11500</v>
      </c>
      <c r="H119" s="361">
        <f t="shared" ca="1" si="64"/>
        <v>0</v>
      </c>
      <c r="I119" s="361">
        <f t="shared" ca="1" si="65"/>
        <v>11500</v>
      </c>
      <c r="J119" s="361">
        <f t="shared" ca="1" si="66"/>
        <v>0</v>
      </c>
      <c r="K119" s="362">
        <f t="shared" ca="1" si="67"/>
        <v>11500</v>
      </c>
    </row>
    <row r="120" spans="2:11">
      <c r="B120" s="515">
        <v>2</v>
      </c>
      <c r="C120" s="517" t="s">
        <v>145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Set</v>
      </c>
      <c r="F120" s="518">
        <f>F118*1</f>
        <v>1</v>
      </c>
      <c r="G120" s="360">
        <f ca="1">IF(ISERROR(OFFSET('HARGA SATUAN'!$I$6,MATCH(RAB!C120,'HARGA SATUAN'!$C$7:$C$1492,0),0)),0,OFFSET('HARGA SATUAN'!$I$6,MATCH(RAB!C120,'HARGA SATUAN'!$C$7:$C$1492,0),0))</f>
        <v>6200</v>
      </c>
      <c r="H120" s="361">
        <f t="shared" ca="1" si="64"/>
        <v>0</v>
      </c>
      <c r="I120" s="361">
        <f t="shared" ca="1" si="65"/>
        <v>6200</v>
      </c>
      <c r="J120" s="361">
        <f t="shared" ca="1" si="66"/>
        <v>0</v>
      </c>
      <c r="K120" s="362">
        <f t="shared" ca="1" si="67"/>
        <v>6200</v>
      </c>
    </row>
    <row r="121" spans="2:11">
      <c r="B121" s="515">
        <v>3</v>
      </c>
      <c r="C121" s="517" t="s">
        <v>587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Btg</v>
      </c>
      <c r="F121" s="518">
        <f>F118*1</f>
        <v>1</v>
      </c>
      <c r="G121" s="360">
        <f ca="1">IF(ISERROR(OFFSET('HARGA SATUAN'!$I$6,MATCH(RAB!C121,'HARGA SATUAN'!$C$7:$C$1492,0),0)),0,OFFSET('HARGA SATUAN'!$I$6,MATCH(RAB!C121,'HARGA SATUAN'!$C$7:$C$1492,0),0))</f>
        <v>45796</v>
      </c>
      <c r="H121" s="361">
        <f t="shared" ca="1" si="64"/>
        <v>0</v>
      </c>
      <c r="I121" s="361">
        <f t="shared" ca="1" si="65"/>
        <v>45796</v>
      </c>
      <c r="J121" s="361">
        <f t="shared" ca="1" si="66"/>
        <v>0</v>
      </c>
      <c r="K121" s="362">
        <f t="shared" ca="1" si="67"/>
        <v>45796</v>
      </c>
    </row>
    <row r="122" spans="2:11">
      <c r="B122" s="515">
        <v>4</v>
      </c>
      <c r="C122" s="517" t="s">
        <v>118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Set</v>
      </c>
      <c r="F122" s="518">
        <f>F118*1</f>
        <v>1</v>
      </c>
      <c r="G122" s="360">
        <f ca="1">IF(ISERROR(OFFSET('HARGA SATUAN'!$I$6,MATCH(RAB!C122,'HARGA SATUAN'!$C$7:$C$1492,0),0)),0,OFFSET('HARGA SATUAN'!$I$6,MATCH(RAB!C122,'HARGA SATUAN'!$C$7:$C$1492,0),0))</f>
        <v>5300</v>
      </c>
      <c r="H122" s="361">
        <f t="shared" ca="1" si="64"/>
        <v>0</v>
      </c>
      <c r="I122" s="361">
        <f t="shared" ca="1" si="65"/>
        <v>5300</v>
      </c>
      <c r="J122" s="361">
        <f t="shared" ca="1" si="66"/>
        <v>0</v>
      </c>
      <c r="K122" s="362">
        <f t="shared" ca="1" si="67"/>
        <v>5300</v>
      </c>
    </row>
    <row r="123" spans="2:11">
      <c r="B123" s="515">
        <v>5</v>
      </c>
      <c r="C123" s="517" t="s">
        <v>117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518">
        <f>F118*1</f>
        <v>1</v>
      </c>
      <c r="G123" s="360">
        <f ca="1">IF(ISERROR(OFFSET('HARGA SATUAN'!$I$6,MATCH(RAB!C123,'HARGA SATUAN'!$C$7:$C$1492,0),0)),0,OFFSET('HARGA SATUAN'!$I$6,MATCH(RAB!C123,'HARGA SATUAN'!$C$7:$C$1492,0),0))</f>
        <v>58600</v>
      </c>
      <c r="H123" s="361">
        <f t="shared" ca="1" si="64"/>
        <v>0</v>
      </c>
      <c r="I123" s="361">
        <f t="shared" ca="1" si="65"/>
        <v>58600</v>
      </c>
      <c r="J123" s="361">
        <f t="shared" ca="1" si="66"/>
        <v>0</v>
      </c>
      <c r="K123" s="362">
        <f t="shared" ca="1" si="67"/>
        <v>58600</v>
      </c>
    </row>
    <row r="124" spans="2:11">
      <c r="B124" s="515">
        <v>6</v>
      </c>
      <c r="C124" s="109" t="s">
        <v>1154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Set</v>
      </c>
      <c r="F124" s="518">
        <f>F118*1</f>
        <v>1</v>
      </c>
      <c r="G124" s="360">
        <f ca="1">IF(ISERROR(OFFSET('HARGA SATUAN'!$I$6,MATCH(RAB!C124,'HARGA SATUAN'!$C$7:$C$1492,0),0)),0,OFFSET('HARGA SATUAN'!$I$6,MATCH(RAB!C124,'HARGA SATUAN'!$C$7:$C$1492,0),0))</f>
        <v>3888</v>
      </c>
      <c r="H124" s="361">
        <f t="shared" ca="1" si="64"/>
        <v>0</v>
      </c>
      <c r="I124" s="361">
        <f t="shared" ca="1" si="65"/>
        <v>3888</v>
      </c>
      <c r="J124" s="361">
        <f t="shared" ca="1" si="66"/>
        <v>0</v>
      </c>
      <c r="K124" s="362">
        <f t="shared" ca="1" si="67"/>
        <v>3888</v>
      </c>
    </row>
    <row r="125" spans="2:11">
      <c r="B125" s="515">
        <v>7</v>
      </c>
      <c r="C125" s="517" t="s">
        <v>119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Set</v>
      </c>
      <c r="F125" s="518">
        <f>F118*2</f>
        <v>2</v>
      </c>
      <c r="G125" s="360">
        <f ca="1">IF(ISERROR(OFFSET('HARGA SATUAN'!$I$6,MATCH(RAB!C125,'HARGA SATUAN'!$C$7:$C$1492,0),0)),0,OFFSET('HARGA SATUAN'!$I$6,MATCH(RAB!C125,'HARGA SATUAN'!$C$7:$C$1492,0),0))</f>
        <v>8900</v>
      </c>
      <c r="H125" s="361">
        <f t="shared" ca="1" si="64"/>
        <v>0</v>
      </c>
      <c r="I125" s="361">
        <f t="shared" ca="1" si="65"/>
        <v>17800</v>
      </c>
      <c r="J125" s="361">
        <f t="shared" ca="1" si="66"/>
        <v>0</v>
      </c>
      <c r="K125" s="362">
        <f t="shared" ca="1" si="67"/>
        <v>17800</v>
      </c>
    </row>
    <row r="126" spans="2:11">
      <c r="B126" s="374"/>
      <c r="C126" s="509"/>
      <c r="D126" s="358" t="str">
        <f ca="1">IF(ISERROR(OFFSET('HARGA SATUAN'!$D$6,MATCH(RAB!C126,'HARGA SATUAN'!$C$7:$C$1492,0),0)),"",OFFSET('HARGA SATUAN'!$D$6,MATCH(RAB!C126,'HARGA SATUAN'!$C$7:$C$1492,0),0))</f>
        <v/>
      </c>
      <c r="E126" s="359" t="str">
        <f ca="1">IF(B126="+","Unit",IF(ISERROR(OFFSET('HARGA SATUAN'!$E$6,MATCH(RAB!C126,'HARGA SATUAN'!$C$7:$C$1492,0),0)),"",OFFSET('HARGA SATUAN'!$E$6,MATCH(RAB!C126,'HARGA SATUAN'!$C$7:$C$1492,0),0)))</f>
        <v/>
      </c>
      <c r="F126" s="368"/>
      <c r="G126" s="360">
        <f ca="1">IF(ISERROR(OFFSET('HARGA SATUAN'!$I$6,MATCH(RAB!C126,'HARGA SATUAN'!$C$7:$C$1492,0),0)),0,OFFSET('HARGA SATUAN'!$I$6,MATCH(RAB!C126,'HARGA SATUAN'!$C$7:$C$1492,0),0))</f>
        <v>0</v>
      </c>
      <c r="H126" s="361">
        <f t="shared" ca="1" si="64"/>
        <v>0</v>
      </c>
      <c r="I126" s="361">
        <f t="shared" ca="1" si="65"/>
        <v>0</v>
      </c>
      <c r="J126" s="361">
        <f t="shared" ca="1" si="66"/>
        <v>0</v>
      </c>
      <c r="K126" s="362">
        <f t="shared" ca="1" si="67"/>
        <v>0</v>
      </c>
    </row>
    <row r="127" spans="2:11">
      <c r="B127" s="366" t="s">
        <v>22</v>
      </c>
      <c r="C127" s="367" t="s">
        <v>1617</v>
      </c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368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ref="H127:H135" ca="1" si="68">IF(OR(D127="MDU",D127="MDU-KD"),(IF($O$3="RAB NON MDU","PLN KD",G127*F127)),0)</f>
        <v>0</v>
      </c>
      <c r="I127" s="361">
        <f t="shared" ref="I127:I135" ca="1" si="69">IF(D127="HDW",G127*F127,0)</f>
        <v>0</v>
      </c>
      <c r="J127" s="361">
        <f t="shared" ref="J127:J135" ca="1" si="70">IF(D127="JASA",G127*F127,0)</f>
        <v>0</v>
      </c>
      <c r="K127" s="362">
        <f t="shared" ref="K127:K135" ca="1" si="71">SUM(H127:J127)</f>
        <v>0</v>
      </c>
    </row>
    <row r="128" spans="2:11">
      <c r="B128" s="374"/>
      <c r="C128" s="373"/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/>
      </c>
      <c r="F128" s="368"/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ca="1" si="68"/>
        <v>0</v>
      </c>
      <c r="I128" s="361">
        <f t="shared" ca="1" si="69"/>
        <v>0</v>
      </c>
      <c r="J128" s="361">
        <f t="shared" ca="1" si="70"/>
        <v>0</v>
      </c>
      <c r="K128" s="362">
        <f t="shared" ca="1" si="71"/>
        <v>0</v>
      </c>
    </row>
    <row r="129" spans="2:13">
      <c r="B129" s="374">
        <v>1</v>
      </c>
      <c r="C129" s="506" t="s">
        <v>781</v>
      </c>
      <c r="D129" s="358" t="str">
        <f ca="1">IF(ISERROR(OFFSET('HARGA SATUAN'!$D$6,MATCH(RAB!C129,'HARGA SATUAN'!$C$7:$C$1492,0),0)),"",OFFSET('HARGA SATUAN'!$D$6,MATCH(RAB!C129,'HARGA SATUAN'!$C$7:$C$1492,0),0))</f>
        <v>JASA</v>
      </c>
      <c r="E129" s="359" t="str">
        <f ca="1">IF(B129="+","Unit",IF(ISERROR(OFFSET('HARGA SATUAN'!$E$6,MATCH(RAB!C129,'HARGA SATUAN'!$C$7:$C$1492,0),0)),"",OFFSET('HARGA SATUAN'!$E$6,MATCH(RAB!C129,'HARGA SATUAN'!$C$7:$C$1492,0),0)))</f>
        <v>Unit</v>
      </c>
      <c r="F129" s="368">
        <v>1</v>
      </c>
      <c r="G129" s="360">
        <f ca="1">IF(ISERROR(OFFSET('HARGA SATUAN'!$I$6,MATCH(RAB!C129,'HARGA SATUAN'!$C$7:$C$1492,0),0)),0,OFFSET('HARGA SATUAN'!$I$6,MATCH(RAB!C129,'HARGA SATUAN'!$C$7:$C$1492,0),0))</f>
        <v>346400</v>
      </c>
      <c r="H129" s="361">
        <f t="shared" ca="1" si="68"/>
        <v>0</v>
      </c>
      <c r="I129" s="361">
        <f t="shared" ca="1" si="69"/>
        <v>0</v>
      </c>
      <c r="J129" s="361">
        <f t="shared" ca="1" si="70"/>
        <v>346400</v>
      </c>
      <c r="K129" s="362">
        <f t="shared" ca="1" si="71"/>
        <v>346400</v>
      </c>
    </row>
    <row r="130" spans="2:13">
      <c r="B130" s="374">
        <v>2</v>
      </c>
      <c r="C130" s="506" t="s">
        <v>962</v>
      </c>
      <c r="D130" s="358" t="str">
        <f ca="1">IF(ISERROR(OFFSET('HARGA SATUAN'!$D$6,MATCH(RAB!C130,'HARGA SATUAN'!$C$7:$C$1492,0),0)),"",OFFSET('HARGA SATUAN'!$D$6,MATCH(RAB!C130,'HARGA SATUAN'!$C$7:$C$1492,0),0))</f>
        <v>JASA</v>
      </c>
      <c r="E130" s="359" t="str">
        <f ca="1">IF(B130="+","Unit",IF(ISERROR(OFFSET('HARGA SATUAN'!$E$6,MATCH(RAB!C130,'HARGA SATUAN'!$C$7:$C$1492,0),0)),"",OFFSET('HARGA SATUAN'!$E$6,MATCH(RAB!C130,'HARGA SATUAN'!$C$7:$C$1492,0),0)))</f>
        <v>Unit</v>
      </c>
      <c r="F130" s="368">
        <v>1</v>
      </c>
      <c r="G130" s="360">
        <f ca="1">IF(ISERROR(OFFSET('HARGA SATUAN'!$I$6,MATCH(RAB!C130,'HARGA SATUAN'!$C$7:$C$1492,0),0)),0,OFFSET('HARGA SATUAN'!$I$6,MATCH(RAB!C130,'HARGA SATUAN'!$C$7:$C$1492,0),0))</f>
        <v>207840</v>
      </c>
      <c r="H130" s="361">
        <f t="shared" ca="1" si="68"/>
        <v>0</v>
      </c>
      <c r="I130" s="361">
        <f t="shared" ca="1" si="69"/>
        <v>0</v>
      </c>
      <c r="J130" s="361">
        <f t="shared" ca="1" si="70"/>
        <v>207840</v>
      </c>
      <c r="K130" s="362">
        <f t="shared" ca="1" si="71"/>
        <v>207840</v>
      </c>
    </row>
    <row r="131" spans="2:13">
      <c r="B131" s="374">
        <v>3</v>
      </c>
      <c r="C131" s="727" t="s">
        <v>813</v>
      </c>
      <c r="D131" s="358" t="str">
        <f ca="1">IF(ISERROR(OFFSET('HARGA SATUAN'!$D$6,MATCH(RAB!C131,'HARGA SATUAN'!$C$7:$C$1492,0),0)),"",OFFSET('HARGA SATUAN'!$D$6,MATCH(RAB!C131,'HARGA SATUAN'!$C$7:$C$1492,0),0))</f>
        <v>JASA</v>
      </c>
      <c r="E131" s="359" t="str">
        <f ca="1">IF(B131="+","Unit",IF(ISERROR(OFFSET('HARGA SATUAN'!$E$6,MATCH(RAB!C131,'HARGA SATUAN'!$C$7:$C$1492,0),0)),"",OFFSET('HARGA SATUAN'!$E$6,MATCH(RAB!C131,'HARGA SATUAN'!$C$7:$C$1492,0),0)))</f>
        <v>Unit</v>
      </c>
      <c r="F131" s="368">
        <v>4</v>
      </c>
      <c r="G131" s="360">
        <f ca="1">IF(ISERROR(OFFSET('HARGA SATUAN'!$I$6,MATCH(RAB!C131,'HARGA SATUAN'!$C$7:$C$1492,0),0)),0,OFFSET('HARGA SATUAN'!$I$6,MATCH(RAB!C131,'HARGA SATUAN'!$C$7:$C$1492,0),0))</f>
        <v>13320</v>
      </c>
      <c r="H131" s="361">
        <f t="shared" ca="1" si="68"/>
        <v>0</v>
      </c>
      <c r="I131" s="361">
        <f t="shared" ca="1" si="69"/>
        <v>0</v>
      </c>
      <c r="J131" s="361">
        <f t="shared" ca="1" si="70"/>
        <v>53280</v>
      </c>
      <c r="K131" s="362">
        <f t="shared" ca="1" si="71"/>
        <v>53280</v>
      </c>
    </row>
    <row r="132" spans="2:13">
      <c r="B132" s="374">
        <v>4</v>
      </c>
      <c r="C132" s="727" t="s">
        <v>814</v>
      </c>
      <c r="D132" s="358" t="str">
        <f ca="1">IF(ISERROR(OFFSET('HARGA SATUAN'!$D$6,MATCH(RAB!C132,'HARGA SATUAN'!$C$7:$C$1492,0),0)),"",OFFSET('HARGA SATUAN'!$D$6,MATCH(RAB!C132,'HARGA SATUAN'!$C$7:$C$1492,0),0))</f>
        <v>JASA</v>
      </c>
      <c r="E132" s="359" t="str">
        <f ca="1">IF(B132="+","Unit",IF(ISERROR(OFFSET('HARGA SATUAN'!$E$6,MATCH(RAB!C132,'HARGA SATUAN'!$C$7:$C$1492,0),0)),"",OFFSET('HARGA SATUAN'!$E$6,MATCH(RAB!C132,'HARGA SATUAN'!$C$7:$C$1492,0),0)))</f>
        <v>Unit</v>
      </c>
      <c r="F132" s="368">
        <v>2</v>
      </c>
      <c r="G132" s="360">
        <f ca="1">IF(ISERROR(OFFSET('HARGA SATUAN'!$I$6,MATCH(RAB!C132,'HARGA SATUAN'!$C$7:$C$1492,0),0)),0,OFFSET('HARGA SATUAN'!$I$6,MATCH(RAB!C132,'HARGA SATUAN'!$C$7:$C$1492,0),0))</f>
        <v>18180</v>
      </c>
      <c r="H132" s="361">
        <f t="shared" ca="1" si="68"/>
        <v>0</v>
      </c>
      <c r="I132" s="361">
        <f t="shared" ca="1" si="69"/>
        <v>0</v>
      </c>
      <c r="J132" s="361">
        <f t="shared" ca="1" si="70"/>
        <v>36360</v>
      </c>
      <c r="K132" s="362">
        <f t="shared" ca="1" si="71"/>
        <v>36360</v>
      </c>
    </row>
    <row r="133" spans="2:13">
      <c r="B133" s="374">
        <v>5</v>
      </c>
      <c r="C133" s="109" t="s">
        <v>432</v>
      </c>
      <c r="D133" s="358" t="str">
        <f ca="1">IF(ISERROR(OFFSET('HARGA SATUAN'!$D$6,MATCH(RAB!C133,'HARGA SATUAN'!$C$7:$C$1492,0),0)),"",OFFSET('HARGA SATUAN'!$D$6,MATCH(RAB!C133,'HARGA SATUAN'!$C$7:$C$1492,0),0))</f>
        <v>JASA</v>
      </c>
      <c r="E133" s="359" t="str">
        <f ca="1">IF(B133="+","Unit",IF(ISERROR(OFFSET('HARGA SATUAN'!$E$6,MATCH(RAB!C133,'HARGA SATUAN'!$C$7:$C$1492,0),0)),"",OFFSET('HARGA SATUAN'!$E$6,MATCH(RAB!C133,'HARGA SATUAN'!$C$7:$C$1492,0),0)))</f>
        <v>Btg</v>
      </c>
      <c r="F133" s="368">
        <v>4</v>
      </c>
      <c r="G133" s="360">
        <f ca="1">IF(ISERROR(OFFSET('HARGA SATUAN'!$I$6,MATCH(RAB!C133,'HARGA SATUAN'!$C$7:$C$1492,0),0)),0,OFFSET('HARGA SATUAN'!$I$6,MATCH(RAB!C133,'HARGA SATUAN'!$C$7:$C$1492,0),0))</f>
        <v>277947.76156258525</v>
      </c>
      <c r="H133" s="361">
        <f t="shared" ca="1" si="68"/>
        <v>0</v>
      </c>
      <c r="I133" s="361">
        <f t="shared" ca="1" si="69"/>
        <v>0</v>
      </c>
      <c r="J133" s="361">
        <f t="shared" ca="1" si="70"/>
        <v>1111791.046250341</v>
      </c>
      <c r="K133" s="362">
        <f t="shared" ca="1" si="71"/>
        <v>1111791.046250341</v>
      </c>
    </row>
    <row r="134" spans="2:13">
      <c r="B134" s="374"/>
      <c r="C134" s="373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368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68"/>
        <v>0</v>
      </c>
      <c r="I134" s="361">
        <f t="shared" ca="1" si="69"/>
        <v>0</v>
      </c>
      <c r="J134" s="361">
        <f t="shared" ca="1" si="70"/>
        <v>0</v>
      </c>
      <c r="K134" s="362">
        <f t="shared" ca="1" si="71"/>
        <v>0</v>
      </c>
    </row>
    <row r="135" spans="2:13">
      <c r="B135" s="375"/>
      <c r="C135" s="376" t="s">
        <v>475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/>
      </c>
      <c r="F135" s="368"/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68"/>
        <v>0</v>
      </c>
      <c r="I135" s="361">
        <f t="shared" ca="1" si="69"/>
        <v>0</v>
      </c>
      <c r="J135" s="361">
        <f t="shared" ca="1" si="70"/>
        <v>0</v>
      </c>
      <c r="K135" s="362">
        <f t="shared" ca="1" si="71"/>
        <v>0</v>
      </c>
    </row>
    <row r="136" spans="2:13">
      <c r="B136" s="378">
        <v>1</v>
      </c>
      <c r="C136" s="379" t="s">
        <v>1091</v>
      </c>
      <c r="D136" s="380" t="str">
        <f ca="1">IF(ISERROR(OFFSET('HARGA SATUAN'!$D$6,MATCH(RAB!C136,'HARGA SATUAN'!$C$7:$C$1492,0),0)),"",OFFSET('HARGA SATUAN'!$D$6,MATCH(RAB!C136,'HARGA SATUAN'!$C$7:$C$1492,0),0))</f>
        <v>JASA</v>
      </c>
      <c r="E136" s="381" t="str">
        <f ca="1">IF(ISERROR(OFFSET('HARGA SATUAN'!$E$6,MATCH(RAB!C136,'HARGA SATUAN'!$C$7:$C$1492,0),0)),"",OFFSET('HARGA SATUAN'!$E$6,MATCH(RAB!C136,'HARGA SATUAN'!$C$7:$C$1492,0),0))</f>
        <v>Lot</v>
      </c>
      <c r="F136" s="382">
        <v>1</v>
      </c>
      <c r="G136" s="383">
        <f ca="1">IF(ISERROR(OFFSET('HARGA SATUAN'!$I$6,MATCH(RAB!C136,'HARGA SATUAN'!$C$7:$C$1492,0),0)),0,OFFSET('HARGA SATUAN'!$I$6,MATCH(RAB!C136,'HARGA SATUAN'!$C$7:$C$1492,0),0))</f>
        <v>2.5000000000000001E-2</v>
      </c>
      <c r="H136" s="384"/>
      <c r="I136" s="384"/>
      <c r="J136" s="384">
        <f ca="1">SUM(K15:K22)*G136</f>
        <v>895230</v>
      </c>
      <c r="K136" s="385">
        <f ca="1">SUM(H136:J136)</f>
        <v>895230</v>
      </c>
    </row>
    <row r="137" spans="2:13">
      <c r="B137" s="386"/>
      <c r="C137" s="387"/>
      <c r="D137" s="358" t="str">
        <f ca="1">IF(ISERROR(OFFSET('HARGA SATUAN'!$D$6,MATCH(RAB!C137,'HARGA SATUAN'!$C$7:$C$1492,0),0)),"",OFFSET('HARGA SATUAN'!$D$6,MATCH(RAB!C137,'HARGA SATUAN'!$C$7:$C$1492,0),0))</f>
        <v/>
      </c>
      <c r="E137" s="359" t="str">
        <f ca="1">IF(ISERROR(OFFSET('HARGA SATUAN'!$E$6,MATCH(RAB!C137,'HARGA SATUAN'!$C$7:$C$1492,0),0)),"",OFFSET('HARGA SATUAN'!$E$6,MATCH(RAB!C137,'HARGA SATUAN'!$C$7:$C$1492,0),0))</f>
        <v/>
      </c>
      <c r="F137" s="377"/>
      <c r="G137" s="360" t="str">
        <f ca="1">IF(ISERROR(OFFSET('HARGA SATUAN'!$I$6,MATCH(RAB!C137,'HARGA SATUAN'!$C$7:$C$1492,0),0)),"",OFFSET('HARGA SATUAN'!$I$6,MATCH(RAB!C137,'HARGA SATUAN'!$C$7:$C$1492,0),0))</f>
        <v/>
      </c>
      <c r="H137" s="361">
        <f ca="1">IF(OR(D137="MDU",D137="MDU-KD"),IF(G137="PLN",0,G137*F137),0)</f>
        <v>0</v>
      </c>
      <c r="I137" s="361">
        <f ca="1">IF(D137="HDW",IF(G137="PLN",0,G137*F137),0)</f>
        <v>0</v>
      </c>
      <c r="J137" s="361">
        <f ca="1">IF(D137="JASA",IF(G137="PLN",0,G137*F137),0)</f>
        <v>0</v>
      </c>
      <c r="K137" s="362">
        <f ca="1">SUM(H137:J137)</f>
        <v>0</v>
      </c>
    </row>
    <row r="138" spans="2:13" ht="15.75" thickBot="1">
      <c r="B138" s="388"/>
      <c r="C138" s="389"/>
      <c r="D138" s="390"/>
      <c r="E138" s="391"/>
      <c r="F138" s="391"/>
      <c r="G138" s="391"/>
      <c r="H138" s="392"/>
      <c r="I138" s="392"/>
      <c r="J138" s="392"/>
      <c r="K138" s="393"/>
    </row>
    <row r="139" spans="2:13">
      <c r="B139" s="394"/>
      <c r="C139" s="628" t="s">
        <v>1008</v>
      </c>
      <c r="D139" s="628"/>
      <c r="E139" s="628"/>
      <c r="F139" s="628"/>
      <c r="G139" s="395" t="s">
        <v>9</v>
      </c>
      <c r="H139" s="396">
        <f ca="1">SUM(H14:H137)</f>
        <v>45844500</v>
      </c>
      <c r="I139" s="396">
        <f ca="1">SUM(I14:I137)</f>
        <v>42238384.840000004</v>
      </c>
      <c r="J139" s="396">
        <f ca="1">SUM(J14:J137)</f>
        <v>5109281.0462503415</v>
      </c>
      <c r="K139" s="396">
        <f ca="1">SUM(K14:K137)</f>
        <v>93192165.886250347</v>
      </c>
    </row>
    <row r="140" spans="2:13">
      <c r="B140" s="398"/>
      <c r="C140" s="644" t="s">
        <v>1457</v>
      </c>
      <c r="D140" s="644"/>
      <c r="E140" s="644"/>
      <c r="F140" s="644"/>
      <c r="G140" s="399" t="s">
        <v>9</v>
      </c>
      <c r="H140" s="400">
        <f ca="1">H139*0.11</f>
        <v>5042895</v>
      </c>
      <c r="I140" s="400">
        <f ca="1">I139*0.11</f>
        <v>4646222.3324000007</v>
      </c>
      <c r="J140" s="400">
        <f ca="1">J139*0.11</f>
        <v>562020.91508753761</v>
      </c>
      <c r="K140" s="400">
        <f ca="1">K139*0.11</f>
        <v>10251138.247487538</v>
      </c>
    </row>
    <row r="141" spans="2:13" ht="15.75" thickBot="1">
      <c r="B141" s="398"/>
      <c r="C141" s="642" t="s">
        <v>463</v>
      </c>
      <c r="D141" s="642"/>
      <c r="E141" s="642"/>
      <c r="F141" s="642"/>
      <c r="G141" s="401" t="s">
        <v>9</v>
      </c>
      <c r="H141" s="402">
        <f ca="1">SUM(H139:H140)</f>
        <v>50887395</v>
      </c>
      <c r="I141" s="402">
        <f ca="1">SUM(I139:I140)</f>
        <v>46884607.172400005</v>
      </c>
      <c r="J141" s="401">
        <f ca="1">SUM(J139:J140)</f>
        <v>5671301.9613378793</v>
      </c>
      <c r="K141" s="401">
        <f ca="1">SUM(K139:K140)</f>
        <v>103443304.13373789</v>
      </c>
      <c r="M141" s="484"/>
    </row>
    <row r="142" spans="2:13">
      <c r="B142" s="645" t="str">
        <f ca="1">"Terbilang : "&amp;PROPER(IF(K141=0,"nol",IF(K141&lt;0,"minus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IF(--MID(TEXT(ABS(K141),"000000000000000"),1,3)=0,"",MID(TEXT(ABS(K141),"000000000000000"),1,1)&amp;" ratus "&amp;MID(TEXT(ABS(K141),"000000000000000"),2,1)&amp;" puluh "&amp;MID(TEXT(ABS(K141),"000000000000000"),3,1)&amp;" trilyun ")&amp; IF(--MID(TEXT(ABS(K141),"000000000000000"),4,3)=0,"",MID(TEXT(ABS(K141),"000000000000000"),4,1)&amp;" ratus "&amp;MID(TEXT(ABS(K141),"000000000000000"),5,1)&amp;" puluh "&amp;MID(TEXT(ABS(K141),"000000000000000"),6,1)&amp;" milyar ")&amp; IF(--MID(TEXT(ABS(K141),"000000000000000"),7,3)=0,"",MID(TEXT(ABS(K141),"000000000000000"),7,1)&amp;" ratus "&amp;MID(TEXT(ABS(K141),"000000000000000"),8,1)&amp;" puluh "&amp;MID(TEXT(ABS(K141),"000000000000000"),9,1)&amp;" juta ")&amp; IF(--MID(TEXT(ABS(K141),"000000000000000"),10,3)=0,"",IF(--MID(TEXT(ABS(K141),"000000000000000"),10,3)=1,"*",MID(TEXT(ABS(K141),"000000000000000"),10,1)&amp;" ratus "&amp;MID(TEXT(ABS(K141),"000000000000000"),11,1)&amp;" puluh ")&amp;MID(TEXT(ABS(K141),"000000000000000"),12,1)&amp;" ribu ")&amp; IF(--MID(TEXT(ABS(K141),"000000000000000"),13,3)=0,"",MID(TEXT(ABS(K141),"000000000000000"),13,1)&amp;" ratus "&amp;MID(TEXT(ABS(K141),"000000000000000"),14,1)&amp;" puluh "&amp;MID(TEXT(ABS(K141),"000000000000000"),15,1)),1,"satu"),2,"dua"),3,"tiga"),4,"empat"),5,"lima"),6,"enam"),7,"tujuh"),8,"delapan"),9,"sembilan"),"0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Tiga Juta Empat Ratus Empat Puluh Tiga Ribu Tiga Ratus Empat Rupiah</v>
      </c>
      <c r="C142" s="646"/>
      <c r="D142" s="646"/>
      <c r="E142" s="646"/>
      <c r="F142" s="646"/>
      <c r="G142" s="646"/>
      <c r="H142" s="646"/>
      <c r="I142" s="646"/>
      <c r="J142" s="646"/>
      <c r="K142" s="647"/>
    </row>
    <row r="143" spans="2:13">
      <c r="B143" s="648"/>
      <c r="C143" s="649"/>
      <c r="D143" s="649"/>
      <c r="E143" s="649"/>
      <c r="F143" s="649"/>
      <c r="G143" s="649"/>
      <c r="H143" s="649"/>
      <c r="I143" s="649"/>
      <c r="J143" s="649"/>
      <c r="K143" s="650"/>
    </row>
    <row r="144" spans="2:13" ht="15.75" thickBot="1">
      <c r="B144" s="403" t="str">
        <f>"Harga yang dipakai adalah "&amp;'HARGA SATUAN'!I5&amp;""</f>
        <v>Harga yang dipakai adalah RAB HSS 2023</v>
      </c>
      <c r="C144" s="404"/>
      <c r="D144" s="405"/>
      <c r="E144" s="405"/>
      <c r="F144" s="405"/>
      <c r="G144" s="406"/>
      <c r="H144" s="406"/>
      <c r="I144" s="406"/>
      <c r="J144" s="406"/>
      <c r="K144" s="407"/>
    </row>
    <row r="145" spans="3:11">
      <c r="C145" s="408"/>
      <c r="E145" s="410"/>
      <c r="F145" s="410"/>
      <c r="G145" s="410"/>
    </row>
    <row r="146" spans="3:11">
      <c r="C146" s="337"/>
      <c r="E146" s="410"/>
      <c r="F146" s="410"/>
      <c r="G146" s="410"/>
      <c r="H146" s="651"/>
      <c r="I146" s="651"/>
      <c r="J146" s="652"/>
      <c r="K146" s="652"/>
    </row>
    <row r="147" spans="3:11">
      <c r="C147" s="337"/>
      <c r="E147" s="410"/>
      <c r="F147" s="410"/>
      <c r="G147" s="410"/>
      <c r="H147" s="411"/>
      <c r="I147" s="641" t="s">
        <v>1610</v>
      </c>
      <c r="J147" s="641"/>
      <c r="K147" s="641"/>
    </row>
    <row r="148" spans="3:11">
      <c r="C148" s="337"/>
      <c r="E148" s="410"/>
      <c r="F148" s="410"/>
      <c r="G148" s="410"/>
      <c r="H148" s="411"/>
      <c r="I148" s="641" t="s">
        <v>1546</v>
      </c>
      <c r="J148" s="641"/>
      <c r="K148" s="641"/>
    </row>
    <row r="149" spans="3:11">
      <c r="C149" s="337"/>
      <c r="E149" s="410"/>
      <c r="F149" s="410"/>
      <c r="G149" s="410"/>
      <c r="H149" s="412"/>
      <c r="I149" s="413"/>
      <c r="J149" s="413"/>
      <c r="K149" s="413"/>
    </row>
    <row r="150" spans="3:11">
      <c r="C150" s="337"/>
      <c r="E150" s="410"/>
      <c r="F150" s="410"/>
      <c r="G150" s="410"/>
      <c r="H150" s="412"/>
      <c r="I150" s="412"/>
      <c r="J150" s="412"/>
      <c r="K150" s="412"/>
    </row>
    <row r="151" spans="3:11">
      <c r="C151" s="337"/>
      <c r="E151" s="410"/>
      <c r="F151" s="410"/>
      <c r="G151" s="410"/>
      <c r="H151" s="412"/>
      <c r="I151" s="412"/>
      <c r="J151" s="412"/>
      <c r="K151" s="412"/>
    </row>
    <row r="152" spans="3:11">
      <c r="C152" s="337"/>
      <c r="E152" s="410"/>
      <c r="F152" s="410"/>
      <c r="G152" s="410"/>
      <c r="H152" s="412"/>
      <c r="I152" s="412"/>
      <c r="J152" s="412"/>
      <c r="K152" s="412"/>
    </row>
    <row r="153" spans="3:11">
      <c r="C153" s="337"/>
      <c r="E153" s="410"/>
      <c r="F153" s="410"/>
      <c r="G153" s="410"/>
      <c r="H153" s="414"/>
      <c r="I153" s="641" t="s">
        <v>1547</v>
      </c>
      <c r="J153" s="641"/>
      <c r="K153" s="641"/>
    </row>
    <row r="154" spans="3:11">
      <c r="C154" s="408"/>
      <c r="E154" s="410"/>
      <c r="F154" s="410"/>
      <c r="G154" s="410"/>
      <c r="H154" s="412"/>
      <c r="I154" s="412"/>
      <c r="J154" s="412"/>
      <c r="K154" s="412"/>
    </row>
    <row r="155" spans="3:11">
      <c r="C155" s="408"/>
      <c r="E155" s="410"/>
      <c r="F155" s="410"/>
      <c r="G155" s="410"/>
      <c r="H155" s="412"/>
      <c r="I155" s="412"/>
      <c r="J155" s="412"/>
      <c r="K155" s="412"/>
    </row>
    <row r="156" spans="3:11">
      <c r="C156" s="408"/>
      <c r="E156" s="410"/>
      <c r="F156" s="410"/>
      <c r="G156" s="410"/>
      <c r="H156" s="412"/>
      <c r="I156" s="412"/>
      <c r="J156" s="412"/>
      <c r="K156" s="412"/>
    </row>
  </sheetData>
  <sheetProtection sort="0" autoFilter="0"/>
  <protectedRanges>
    <protectedRange sqref="B111:B126 B128:B134" name="Range1_1"/>
    <protectedRange sqref="F75:F77 F84 F14:F73 F110:F135" name="Range1_1_2_2"/>
    <protectedRange sqref="C128 C111:C112 C116:C126 C114 C134" name="Range1_1_1"/>
    <protectedRange sqref="B98 B87:C88 B93 B109:C110 B89 B86 B77:C77 B90:C92 B94:C97 B84:C85 C129:C130" name="Range1_6_2"/>
    <protectedRange sqref="C98" name="Range1_1_3_2"/>
    <protectedRange sqref="C93" name="Range1_1_3_3"/>
    <protectedRange sqref="C89" name="Range1_1_3_10"/>
    <protectedRange sqref="C115" name="Range1_1_3_13"/>
    <protectedRange sqref="C17 C21" name="Range1_1_3"/>
    <protectedRange sqref="C86" name="Range1_1_3_1"/>
    <protectedRange sqref="G74" name="Range1_3_7"/>
    <protectedRange sqref="C74" name="Range1_1_3_5"/>
    <protectedRange sqref="C73" name="Range1_1_3_6"/>
    <protectedRange sqref="C113" name="Range1_1_3_4"/>
    <protectedRange sqref="C25" name="Range1_1_3_7"/>
    <protectedRange sqref="C18:C19" name="Range1_1_3_9"/>
    <protectedRange sqref="C20" name="Range1_1_3_11"/>
    <protectedRange sqref="C36" name="Range1_1_3_12"/>
    <protectedRange sqref="C47" name="Range1_1_3_14"/>
    <protectedRange sqref="C48" name="Range1_1_3_15"/>
    <protectedRange sqref="C133" name="Range1_1_3_16"/>
  </protectedRanges>
  <mergeCells count="22">
    <mergeCell ref="I148:K148"/>
    <mergeCell ref="I153:K153"/>
    <mergeCell ref="C141:F141"/>
    <mergeCell ref="G6:K6"/>
    <mergeCell ref="I147:K147"/>
    <mergeCell ref="C140:F140"/>
    <mergeCell ref="B142:K143"/>
    <mergeCell ref="H146:K146"/>
    <mergeCell ref="H11:K11"/>
    <mergeCell ref="H12:H13"/>
    <mergeCell ref="J12:J13"/>
    <mergeCell ref="K12:K13"/>
    <mergeCell ref="O3:P4"/>
    <mergeCell ref="B4:K4"/>
    <mergeCell ref="C139:F139"/>
    <mergeCell ref="B11:B13"/>
    <mergeCell ref="C11:C13"/>
    <mergeCell ref="D11:D13"/>
    <mergeCell ref="E11:E13"/>
    <mergeCell ref="F11:F13"/>
    <mergeCell ref="G11:G13"/>
    <mergeCell ref="I12:I13"/>
  </mergeCells>
  <phoneticPr fontId="140" type="noConversion"/>
  <conditionalFormatting sqref="C15 C17 C98 C21:C22">
    <cfRule type="cellIs" dxfId="21" priority="509" operator="equal">
      <formula>0</formula>
    </cfRule>
  </conditionalFormatting>
  <conditionalFormatting sqref="C25">
    <cfRule type="cellIs" dxfId="20" priority="11" operator="equal">
      <formula>0</formula>
    </cfRule>
  </conditionalFormatting>
  <conditionalFormatting sqref="C73:C74">
    <cfRule type="cellIs" dxfId="19" priority="27" operator="equal">
      <formula>0</formula>
    </cfRule>
  </conditionalFormatting>
  <conditionalFormatting sqref="C76">
    <cfRule type="cellIs" dxfId="18" priority="134" operator="equal">
      <formula>0</formula>
    </cfRule>
  </conditionalFormatting>
  <conditionalFormatting sqref="C80">
    <cfRule type="cellIs" dxfId="17" priority="18" operator="equal">
      <formula>0</formula>
    </cfRule>
  </conditionalFormatting>
  <conditionalFormatting sqref="C82">
    <cfRule type="cellIs" dxfId="16" priority="19" operator="equal">
      <formula>0</formula>
    </cfRule>
  </conditionalFormatting>
  <conditionalFormatting sqref="C113">
    <cfRule type="cellIs" dxfId="15" priority="14" operator="equal">
      <formula>0</formula>
    </cfRule>
  </conditionalFormatting>
  <conditionalFormatting sqref="C124">
    <cfRule type="cellIs" dxfId="14" priority="25" operator="equal">
      <formula>0</formula>
    </cfRule>
  </conditionalFormatting>
  <conditionalFormatting sqref="C127">
    <cfRule type="cellIs" dxfId="13" priority="132" operator="equal">
      <formula>0</formula>
    </cfRule>
  </conditionalFormatting>
  <conditionalFormatting sqref="D74:G74">
    <cfRule type="cellIs" dxfId="12" priority="35" operator="equal">
      <formula>0</formula>
    </cfRule>
  </conditionalFormatting>
  <conditionalFormatting sqref="E1:E3 G1:G13 E5:E13 H12:I12 O13 H74:K74 E75:K84 E85:E97 G85:K97 E136:G136 H136:K138 E137:H137 E138:F138 S14:V22 E14:K34 E35:E45 G35:K45 E46:K50 E57:K57 E51:E56 G51:K56 E58:E63 G58:K63 E64:K73 E98:K135">
    <cfRule type="cellIs" dxfId="11" priority="1089" stopIfTrue="1" operator="equal">
      <formula>0</formula>
    </cfRule>
  </conditionalFormatting>
  <conditionalFormatting sqref="F86:F97">
    <cfRule type="cellIs" dxfId="10" priority="26" stopIfTrue="1" operator="equal">
      <formula>0</formula>
    </cfRule>
  </conditionalFormatting>
  <conditionalFormatting sqref="G137:G65603 E142:E65603">
    <cfRule type="cellIs" dxfId="9" priority="223" stopIfTrue="1" operator="equal">
      <formula>0</formula>
    </cfRule>
  </conditionalFormatting>
  <conditionalFormatting sqref="C18:C19">
    <cfRule type="cellIs" dxfId="8" priority="9" operator="equal">
      <formula>0</formula>
    </cfRule>
  </conditionalFormatting>
  <conditionalFormatting sqref="C20">
    <cfRule type="cellIs" dxfId="7" priority="8" operator="equal">
      <formula>0</formula>
    </cfRule>
  </conditionalFormatting>
  <conditionalFormatting sqref="F35:F45">
    <cfRule type="cellIs" dxfId="6" priority="7" stopIfTrue="1" operator="equal">
      <formula>0</formula>
    </cfRule>
  </conditionalFormatting>
  <conditionalFormatting sqref="C36">
    <cfRule type="cellIs" dxfId="5" priority="6" operator="equal">
      <formula>0</formula>
    </cfRule>
  </conditionalFormatting>
  <conditionalFormatting sqref="C47">
    <cfRule type="cellIs" dxfId="4" priority="5" operator="equal">
      <formula>0</formula>
    </cfRule>
  </conditionalFormatting>
  <conditionalFormatting sqref="C48">
    <cfRule type="cellIs" dxfId="3" priority="4" operator="equal">
      <formula>0</formula>
    </cfRule>
  </conditionalFormatting>
  <conditionalFormatting sqref="F51:F56">
    <cfRule type="cellIs" dxfId="2" priority="3" stopIfTrue="1" operator="equal">
      <formula>0</formula>
    </cfRule>
  </conditionalFormatting>
  <conditionalFormatting sqref="F58:F63">
    <cfRule type="cellIs" dxfId="1" priority="2" stopIfTrue="1" operator="equal">
      <formula>0</formula>
    </cfRule>
  </conditionalFormatting>
  <conditionalFormatting sqref="C133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C87:C89 C94:C97 F86:F109 F75:F84 F27:F32 F65:F73 F51:F56 F58:F63 C129:C130 H14:K13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74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7" zoomScale="145" zoomScaleNormal="115" zoomScaleSheetLayoutView="145" workbookViewId="0">
      <selection activeCell="AA32" sqref="AA32:AB32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5" t="s">
        <v>1439</v>
      </c>
      <c r="X2" s="656"/>
      <c r="Y2" s="656"/>
      <c r="Z2" s="656"/>
      <c r="AA2" s="656"/>
      <c r="AB2" s="656"/>
      <c r="AC2" s="656"/>
      <c r="AD2" s="657"/>
    </row>
    <row r="3" spans="3:30">
      <c r="C3" s="238"/>
      <c r="W3" s="658"/>
      <c r="X3" s="659"/>
      <c r="Y3" s="659"/>
      <c r="Z3" s="659"/>
      <c r="AA3" s="659"/>
      <c r="AB3" s="659"/>
      <c r="AC3" s="659"/>
      <c r="AD3" s="66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61" t="s">
        <v>990</v>
      </c>
      <c r="Y5" s="661"/>
      <c r="Z5" s="661"/>
      <c r="AA5" s="661" t="s">
        <v>988</v>
      </c>
      <c r="AB5" s="661"/>
      <c r="AC5" s="661" t="s">
        <v>989</v>
      </c>
      <c r="AD5" s="662"/>
    </row>
    <row r="6" spans="3:30">
      <c r="C6" s="238"/>
      <c r="W6" s="241">
        <v>1</v>
      </c>
      <c r="X6" s="661" t="s">
        <v>993</v>
      </c>
      <c r="Y6" s="661"/>
      <c r="Z6" s="661"/>
      <c r="AA6" s="661"/>
      <c r="AB6" s="661"/>
      <c r="AC6" s="661"/>
      <c r="AD6" s="662"/>
    </row>
    <row r="7" spans="3:30">
      <c r="C7" s="238"/>
      <c r="E7" s="490" t="s">
        <v>1634</v>
      </c>
      <c r="W7" s="241">
        <v>2</v>
      </c>
      <c r="X7" s="661" t="s">
        <v>994</v>
      </c>
      <c r="Y7" s="661"/>
      <c r="Z7" s="661"/>
      <c r="AA7" s="661"/>
      <c r="AB7" s="661"/>
      <c r="AC7" s="661"/>
      <c r="AD7" s="662"/>
    </row>
    <row r="8" spans="3:30">
      <c r="C8" s="238"/>
      <c r="W8" s="241">
        <v>3</v>
      </c>
      <c r="X8" s="661" t="s">
        <v>995</v>
      </c>
      <c r="Y8" s="661"/>
      <c r="Z8" s="661"/>
      <c r="AA8" s="661"/>
      <c r="AB8" s="661"/>
      <c r="AC8" s="661"/>
      <c r="AD8" s="662"/>
    </row>
    <row r="9" spans="3:30">
      <c r="C9" s="238"/>
      <c r="W9" s="241">
        <v>4</v>
      </c>
      <c r="X9" s="661" t="s">
        <v>996</v>
      </c>
      <c r="Y9" s="661"/>
      <c r="Z9" s="661"/>
      <c r="AA9" s="661"/>
      <c r="AB9" s="661"/>
      <c r="AC9" s="661"/>
      <c r="AD9" s="662"/>
    </row>
    <row r="10" spans="3:30">
      <c r="C10" s="238"/>
      <c r="W10" s="241">
        <v>5</v>
      </c>
      <c r="X10" s="661" t="s">
        <v>997</v>
      </c>
      <c r="Y10" s="661"/>
      <c r="Z10" s="661"/>
      <c r="AA10" s="661"/>
      <c r="AB10" s="661"/>
      <c r="AC10" s="661"/>
      <c r="AD10" s="662"/>
    </row>
    <row r="11" spans="3:30">
      <c r="C11" s="238"/>
      <c r="W11" s="241">
        <v>6</v>
      </c>
      <c r="X11" s="661" t="s">
        <v>998</v>
      </c>
      <c r="Y11" s="661"/>
      <c r="Z11" s="661"/>
      <c r="AA11" s="661"/>
      <c r="AB11" s="661"/>
      <c r="AC11" s="661"/>
      <c r="AD11" s="662"/>
    </row>
    <row r="12" spans="3:30">
      <c r="C12" s="238"/>
      <c r="W12" s="241">
        <v>7</v>
      </c>
      <c r="X12" s="661" t="s">
        <v>999</v>
      </c>
      <c r="Y12" s="661"/>
      <c r="Z12" s="661"/>
      <c r="AA12" s="661"/>
      <c r="AB12" s="661"/>
      <c r="AC12" s="661"/>
      <c r="AD12" s="662"/>
    </row>
    <row r="13" spans="3:30" ht="12.75" customHeight="1">
      <c r="C13" s="238"/>
      <c r="W13" s="241">
        <v>8</v>
      </c>
      <c r="X13" s="661" t="s">
        <v>1000</v>
      </c>
      <c r="Y13" s="661"/>
      <c r="Z13" s="661"/>
      <c r="AA13" s="661"/>
      <c r="AB13" s="661"/>
      <c r="AC13" s="661"/>
      <c r="AD13" s="662"/>
    </row>
    <row r="14" spans="3:30">
      <c r="C14" s="238"/>
      <c r="W14" s="241">
        <v>9</v>
      </c>
      <c r="X14" s="661" t="s">
        <v>1001</v>
      </c>
      <c r="Y14" s="661"/>
      <c r="Z14" s="661"/>
      <c r="AA14" s="661"/>
      <c r="AB14" s="661"/>
      <c r="AC14" s="661"/>
      <c r="AD14" s="662"/>
    </row>
    <row r="15" spans="3:30">
      <c r="C15" s="238"/>
      <c r="W15" s="241">
        <v>10</v>
      </c>
      <c r="X15" s="661" t="s">
        <v>1010</v>
      </c>
      <c r="Y15" s="661"/>
      <c r="Z15" s="661"/>
      <c r="AA15" s="661"/>
      <c r="AB15" s="661"/>
      <c r="AC15" s="661"/>
      <c r="AD15" s="662"/>
    </row>
    <row r="16" spans="3:30">
      <c r="C16" s="238"/>
      <c r="W16" s="241">
        <v>11</v>
      </c>
      <c r="X16" s="661" t="s">
        <v>1455</v>
      </c>
      <c r="Y16" s="661"/>
      <c r="Z16" s="661"/>
      <c r="AA16" s="661"/>
      <c r="AB16" s="661"/>
      <c r="AC16" s="661"/>
      <c r="AD16" s="662"/>
    </row>
    <row r="17" spans="3:30">
      <c r="C17" s="238"/>
      <c r="S17" s="242"/>
      <c r="W17" s="241">
        <v>12</v>
      </c>
      <c r="X17" s="661" t="s">
        <v>1011</v>
      </c>
      <c r="Y17" s="661"/>
      <c r="Z17" s="661"/>
      <c r="AA17" s="661"/>
      <c r="AB17" s="661"/>
      <c r="AC17" s="661"/>
      <c r="AD17" s="662"/>
    </row>
    <row r="18" spans="3:30">
      <c r="C18" s="243"/>
      <c r="D18" s="244"/>
      <c r="E18" s="244"/>
      <c r="W18" s="241">
        <v>13</v>
      </c>
      <c r="X18" s="661"/>
      <c r="Y18" s="661"/>
      <c r="Z18" s="661"/>
      <c r="AA18" s="661"/>
      <c r="AB18" s="661"/>
      <c r="AC18" s="661"/>
      <c r="AD18" s="662"/>
    </row>
    <row r="19" spans="3:30">
      <c r="C19" s="238"/>
      <c r="W19" s="245"/>
      <c r="X19" s="678"/>
      <c r="Y19" s="678"/>
      <c r="Z19" s="678"/>
      <c r="AA19" s="678"/>
      <c r="AB19" s="678"/>
      <c r="AC19" s="678"/>
      <c r="AD19" s="679"/>
    </row>
    <row r="20" spans="3:30">
      <c r="C20" s="238"/>
      <c r="W20" s="663" t="s">
        <v>992</v>
      </c>
      <c r="X20" s="664"/>
      <c r="Y20" s="664"/>
      <c r="Z20" s="664"/>
      <c r="AA20" s="664"/>
      <c r="AB20" s="664"/>
      <c r="AC20" s="664"/>
      <c r="AD20" s="665"/>
    </row>
    <row r="21" spans="3:30">
      <c r="C21" s="238"/>
      <c r="W21" s="666" t="s">
        <v>985</v>
      </c>
      <c r="X21" s="667"/>
      <c r="Y21" s="667"/>
      <c r="Z21" s="668"/>
      <c r="AA21" s="669" t="s">
        <v>986</v>
      </c>
      <c r="AB21" s="670"/>
      <c r="AC21" s="670"/>
      <c r="AD21" s="671"/>
    </row>
    <row r="22" spans="3:30">
      <c r="C22" s="238"/>
      <c r="W22" s="672"/>
      <c r="X22" s="673"/>
      <c r="Y22" s="492"/>
      <c r="Z22" s="493"/>
      <c r="AA22" s="674"/>
      <c r="AB22" s="675"/>
      <c r="AC22" s="248"/>
      <c r="AD22" s="249"/>
    </row>
    <row r="23" spans="3:30">
      <c r="C23" s="238"/>
      <c r="W23" s="672" t="s">
        <v>1638</v>
      </c>
      <c r="X23" s="673"/>
      <c r="Y23" s="492">
        <v>4</v>
      </c>
      <c r="Z23" s="493"/>
      <c r="AA23" s="676" t="s">
        <v>1630</v>
      </c>
      <c r="AB23" s="677"/>
      <c r="AC23" s="248">
        <v>4</v>
      </c>
      <c r="AD23" s="249"/>
    </row>
    <row r="24" spans="3:30">
      <c r="C24" s="238"/>
      <c r="W24" s="672" t="s">
        <v>1639</v>
      </c>
      <c r="X24" s="673"/>
      <c r="Y24" s="246">
        <v>2</v>
      </c>
      <c r="Z24" s="247"/>
      <c r="AA24" s="684" t="s">
        <v>1622</v>
      </c>
      <c r="AB24" s="685"/>
      <c r="AC24" s="248">
        <v>2</v>
      </c>
      <c r="AD24" s="249"/>
    </row>
    <row r="25" spans="3:30">
      <c r="C25" s="238"/>
      <c r="W25" s="682" t="s">
        <v>1633</v>
      </c>
      <c r="X25" s="683"/>
      <c r="Y25" s="246">
        <v>3</v>
      </c>
      <c r="Z25" s="247"/>
      <c r="AA25" s="676" t="s">
        <v>1631</v>
      </c>
      <c r="AB25" s="677"/>
      <c r="AC25" s="248">
        <v>1</v>
      </c>
      <c r="AD25" s="249"/>
    </row>
    <row r="26" spans="3:30">
      <c r="C26" s="238"/>
      <c r="W26" s="480" t="s">
        <v>1640</v>
      </c>
      <c r="X26" s="481"/>
      <c r="Y26" s="246">
        <v>3</v>
      </c>
      <c r="Z26" s="247"/>
      <c r="AA26" s="676" t="s">
        <v>1646</v>
      </c>
      <c r="AB26" s="677"/>
      <c r="AC26" s="248">
        <v>4</v>
      </c>
      <c r="AD26" s="249"/>
    </row>
    <row r="27" spans="3:30">
      <c r="C27" s="238"/>
      <c r="W27" s="480" t="s">
        <v>1630</v>
      </c>
      <c r="X27" s="481"/>
      <c r="Y27" s="246">
        <v>2</v>
      </c>
      <c r="Z27" s="247"/>
      <c r="AA27" s="680"/>
      <c r="AB27" s="681"/>
      <c r="AC27" s="248"/>
      <c r="AD27" s="249"/>
    </row>
    <row r="28" spans="3:30">
      <c r="C28" s="238"/>
      <c r="W28" s="480" t="s">
        <v>1622</v>
      </c>
      <c r="X28" s="481"/>
      <c r="Y28" s="246">
        <v>5</v>
      </c>
      <c r="Z28" s="247"/>
      <c r="AA28" s="680"/>
      <c r="AB28" s="681"/>
      <c r="AC28" s="248"/>
      <c r="AD28" s="249"/>
    </row>
    <row r="29" spans="3:30">
      <c r="C29" s="238"/>
      <c r="W29" s="480" t="s">
        <v>1641</v>
      </c>
      <c r="X29" s="481"/>
      <c r="Y29" s="246">
        <v>1</v>
      </c>
      <c r="Z29" s="247"/>
      <c r="AA29" s="680"/>
      <c r="AB29" s="681"/>
      <c r="AC29" s="248"/>
      <c r="AD29" s="249"/>
    </row>
    <row r="30" spans="3:30" ht="11.25" customHeight="1">
      <c r="C30" s="238"/>
      <c r="W30" s="482" t="s">
        <v>1642</v>
      </c>
      <c r="X30" s="483"/>
      <c r="Y30" s="246">
        <v>1</v>
      </c>
      <c r="Z30" s="247"/>
      <c r="AA30" s="680"/>
      <c r="AB30" s="681"/>
      <c r="AC30" s="248"/>
      <c r="AD30" s="249"/>
    </row>
    <row r="31" spans="3:30">
      <c r="C31" s="238"/>
      <c r="U31" s="250"/>
      <c r="W31" s="480" t="s">
        <v>1619</v>
      </c>
      <c r="X31" s="481"/>
      <c r="Y31" s="246">
        <v>4</v>
      </c>
      <c r="Z31" s="247"/>
      <c r="AA31" s="680"/>
      <c r="AB31" s="681"/>
      <c r="AC31" s="248"/>
      <c r="AD31" s="249"/>
    </row>
    <row r="32" spans="3:30">
      <c r="C32" s="238"/>
      <c r="U32" s="250"/>
      <c r="W32" s="480" t="s">
        <v>1643</v>
      </c>
      <c r="X32" s="481"/>
      <c r="Y32" s="246">
        <v>1</v>
      </c>
      <c r="Z32" s="247"/>
      <c r="AA32" s="680"/>
      <c r="AB32" s="681"/>
      <c r="AC32" s="248"/>
      <c r="AD32" s="249"/>
    </row>
    <row r="33" spans="3:30">
      <c r="C33" s="238"/>
      <c r="W33" s="480" t="s">
        <v>1645</v>
      </c>
      <c r="X33" s="481"/>
      <c r="Y33" s="246">
        <v>1</v>
      </c>
      <c r="Z33" s="247"/>
      <c r="AA33" s="680"/>
      <c r="AB33" s="681"/>
      <c r="AC33" s="248"/>
      <c r="AD33" s="249"/>
    </row>
    <row r="34" spans="3:30">
      <c r="C34" s="238"/>
      <c r="W34" s="480" t="s">
        <v>1644</v>
      </c>
      <c r="X34" s="481"/>
      <c r="Y34" s="246">
        <v>1</v>
      </c>
      <c r="Z34" s="247"/>
      <c r="AA34" s="680"/>
      <c r="AB34" s="681"/>
      <c r="AC34" s="248"/>
      <c r="AD34" s="249"/>
    </row>
    <row r="35" spans="3:30">
      <c r="C35" s="238"/>
      <c r="W35" s="682"/>
      <c r="X35" s="695"/>
      <c r="Y35" s="246"/>
      <c r="Z35" s="247"/>
      <c r="AA35" s="680"/>
      <c r="AB35" s="681"/>
      <c r="AC35" s="248"/>
      <c r="AD35" s="249"/>
    </row>
    <row r="36" spans="3:30">
      <c r="C36" s="238"/>
      <c r="W36" s="686"/>
      <c r="X36" s="687"/>
      <c r="Y36" s="246"/>
      <c r="Z36" s="251"/>
      <c r="AA36" s="688"/>
      <c r="AB36" s="681"/>
      <c r="AC36" s="248"/>
      <c r="AD36" s="249"/>
    </row>
    <row r="37" spans="3:30" ht="12.75" customHeight="1">
      <c r="C37" s="238"/>
      <c r="W37" s="689"/>
      <c r="X37" s="690"/>
      <c r="Y37" s="246"/>
      <c r="Z37" s="251"/>
      <c r="AA37" s="691"/>
      <c r="AB37" s="692"/>
      <c r="AC37" s="252"/>
      <c r="AD37" s="253"/>
    </row>
    <row r="38" spans="3:30" ht="12.75" customHeight="1">
      <c r="C38" s="238"/>
      <c r="W38" s="689"/>
      <c r="X38" s="690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21"/>
      <c r="W39" s="689"/>
      <c r="X39" s="690"/>
      <c r="Y39" s="254"/>
      <c r="Z39" s="257"/>
      <c r="AA39" s="693"/>
      <c r="AB39" s="694"/>
      <c r="AC39" s="252"/>
      <c r="AD39" s="253"/>
    </row>
    <row r="40" spans="3:30" ht="12" customHeight="1">
      <c r="C40" s="238"/>
      <c r="D40" s="521"/>
      <c r="W40" s="699"/>
      <c r="X40" s="700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21"/>
      <c r="W41" s="701"/>
      <c r="X41" s="702"/>
      <c r="Y41" s="260"/>
      <c r="Z41" s="261"/>
      <c r="AA41" s="693"/>
      <c r="AB41" s="694"/>
      <c r="AC41" s="252"/>
      <c r="AD41" s="253"/>
    </row>
    <row r="42" spans="3:30" ht="12" customHeight="1">
      <c r="C42" s="238"/>
      <c r="D42" s="521"/>
      <c r="W42" s="703" t="s">
        <v>1456</v>
      </c>
      <c r="X42" s="704"/>
      <c r="Y42" s="704"/>
      <c r="Z42" s="704"/>
      <c r="AA42" s="262"/>
      <c r="AB42" s="262"/>
      <c r="AC42" s="262"/>
      <c r="AD42" s="263"/>
    </row>
    <row r="43" spans="3:30" ht="12" customHeight="1">
      <c r="C43" s="238"/>
      <c r="D43" s="521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21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6" t="s">
        <v>11</v>
      </c>
      <c r="X44" s="697"/>
      <c r="Y44" s="661"/>
      <c r="Z44" s="661"/>
      <c r="AA44" s="661"/>
      <c r="AB44" s="661"/>
      <c r="AC44" s="661"/>
      <c r="AD44" s="662"/>
    </row>
    <row r="45" spans="3:30">
      <c r="C45" s="268"/>
      <c r="D45" s="521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6" t="s">
        <v>984</v>
      </c>
      <c r="X45" s="697"/>
      <c r="Y45" s="661">
        <v>1</v>
      </c>
      <c r="Z45" s="661"/>
      <c r="AA45" s="661"/>
      <c r="AB45" s="661" t="s">
        <v>12</v>
      </c>
      <c r="AC45" s="661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6" t="s">
        <v>15</v>
      </c>
      <c r="X46" s="697"/>
      <c r="Y46" s="698"/>
      <c r="Z46" s="698"/>
      <c r="AA46" s="698"/>
      <c r="AB46" s="661" t="s">
        <v>16</v>
      </c>
      <c r="AC46" s="661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9" t="s">
        <v>17</v>
      </c>
      <c r="X47" s="709"/>
      <c r="Y47" s="709"/>
      <c r="Z47" s="709"/>
      <c r="AA47" s="709"/>
      <c r="AB47" s="709"/>
      <c r="AC47" s="709"/>
      <c r="AD47" s="71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11" t="str">
        <f>RAB!G6</f>
        <v>IOH BUMI HARJO HUNTUR</v>
      </c>
      <c r="X48" s="711"/>
      <c r="Y48" s="711"/>
      <c r="Z48" s="711"/>
      <c r="AA48" s="711"/>
      <c r="AB48" s="711"/>
      <c r="AC48" s="711"/>
      <c r="AD48" s="71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11"/>
      <c r="X49" s="711"/>
      <c r="Y49" s="711"/>
      <c r="Z49" s="711"/>
      <c r="AA49" s="711"/>
      <c r="AB49" s="711"/>
      <c r="AC49" s="711"/>
      <c r="AD49" s="71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11"/>
      <c r="X50" s="711"/>
      <c r="Y50" s="711"/>
      <c r="Z50" s="711"/>
      <c r="AA50" s="711"/>
      <c r="AB50" s="711"/>
      <c r="AC50" s="711"/>
      <c r="AD50" s="71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13"/>
      <c r="X51" s="713"/>
      <c r="Y51" s="713"/>
      <c r="Z51" s="713"/>
      <c r="AA51" s="713"/>
      <c r="AB51" s="713"/>
      <c r="AC51" s="713"/>
      <c r="AD51" s="71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6" t="s">
        <v>18</v>
      </c>
      <c r="X52" s="697"/>
      <c r="Y52" s="661" t="s">
        <v>1549</v>
      </c>
      <c r="Z52" s="661"/>
      <c r="AA52" s="661"/>
      <c r="AB52" s="661"/>
      <c r="AC52" s="661"/>
      <c r="AD52" s="662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6" t="s">
        <v>19</v>
      </c>
      <c r="X53" s="697"/>
      <c r="Y53" s="661" t="s">
        <v>1549</v>
      </c>
      <c r="Z53" s="661"/>
      <c r="AA53" s="661"/>
      <c r="AB53" s="661"/>
      <c r="AC53" s="661"/>
      <c r="AD53" s="662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6" t="s">
        <v>20</v>
      </c>
      <c r="X54" s="697"/>
      <c r="Y54" s="705" t="s">
        <v>1550</v>
      </c>
      <c r="Z54" s="705"/>
      <c r="AA54" s="705"/>
      <c r="AB54" s="661"/>
      <c r="AC54" s="661"/>
      <c r="AD54" s="662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6" t="s">
        <v>21</v>
      </c>
      <c r="X55" s="707"/>
      <c r="Y55" s="705" t="s">
        <v>1551</v>
      </c>
      <c r="Z55" s="705"/>
      <c r="AA55" s="705"/>
      <c r="AB55" s="705"/>
      <c r="AC55" s="705"/>
      <c r="AD55" s="708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Y49" sqref="Y49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5" t="s">
        <v>1528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17"/>
      <c r="AE4" s="216"/>
      <c r="AF4" s="216"/>
    </row>
    <row r="5" spans="2:32" ht="13.5" customHeight="1">
      <c r="B5" s="215"/>
      <c r="C5" s="215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17"/>
      <c r="AE5" s="216"/>
      <c r="AF5" s="216"/>
    </row>
    <row r="6" spans="2:32" ht="12.75" customHeight="1">
      <c r="B6" s="215"/>
      <c r="C6" s="215"/>
      <c r="D6" s="718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20"/>
      <c r="AE6" s="216"/>
      <c r="AF6" s="216"/>
    </row>
    <row r="7" spans="2:32" ht="12.75" customHeight="1" thickBot="1">
      <c r="B7" s="215"/>
      <c r="C7" s="215"/>
      <c r="D7" s="721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722"/>
      <c r="S7" s="722"/>
      <c r="T7" s="722"/>
      <c r="U7" s="722"/>
      <c r="V7" s="722"/>
      <c r="W7" s="722"/>
      <c r="X7" s="722"/>
      <c r="Y7" s="722"/>
      <c r="Z7" s="722"/>
      <c r="AA7" s="722"/>
      <c r="AB7" s="722"/>
      <c r="AC7" s="72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H22" sqref="H22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9" t="s">
        <v>1527</v>
      </c>
      <c r="D3" s="719"/>
      <c r="E3" s="719"/>
      <c r="F3" s="719"/>
      <c r="G3" s="719"/>
      <c r="H3" s="719"/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19"/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24" t="s">
        <v>1637</v>
      </c>
      <c r="D6" s="724"/>
      <c r="E6" s="724"/>
      <c r="F6" s="724"/>
      <c r="G6" s="724"/>
      <c r="H6" s="724"/>
      <c r="I6" s="724"/>
      <c r="J6" s="724"/>
      <c r="K6" s="724"/>
      <c r="L6" s="724"/>
      <c r="M6" s="724"/>
      <c r="W6" s="182"/>
      <c r="Y6" s="428"/>
      <c r="Z6" s="428"/>
      <c r="AA6" s="428"/>
      <c r="AB6" s="429"/>
      <c r="AC6" s="429"/>
    </row>
    <row r="7" spans="1:29" ht="18" customHeight="1">
      <c r="A7" s="181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2024-04-20T09:58:14Z</dcterms:modified>
</cp:coreProperties>
</file>