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40E12CFB-0341-4A48-A19B-8D13914816E4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RAB!$A$1:$K$128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5" i="11" l="1"/>
  <c r="F42" i="11"/>
  <c r="F41" i="11"/>
  <c r="F40" i="11"/>
  <c r="F39" i="11"/>
  <c r="F38" i="11"/>
  <c r="F35" i="11"/>
  <c r="F34" i="11"/>
  <c r="F33" i="11"/>
  <c r="F32" i="11"/>
  <c r="F31" i="11"/>
  <c r="F28" i="11"/>
  <c r="F27" i="11"/>
  <c r="F26" i="11"/>
  <c r="F25" i="11"/>
  <c r="F24" i="11"/>
  <c r="D37" i="11"/>
  <c r="J37" i="11" s="1"/>
  <c r="E37" i="11"/>
  <c r="G37" i="11"/>
  <c r="D38" i="11"/>
  <c r="J38" i="11" s="1"/>
  <c r="E38" i="11"/>
  <c r="G38" i="11"/>
  <c r="D39" i="11"/>
  <c r="H39" i="11" s="1"/>
  <c r="E39" i="11"/>
  <c r="G39" i="11"/>
  <c r="D40" i="11"/>
  <c r="H40" i="11" s="1"/>
  <c r="E40" i="11"/>
  <c r="G40" i="11"/>
  <c r="D41" i="11"/>
  <c r="J41" i="11" s="1"/>
  <c r="E41" i="11"/>
  <c r="G41" i="11"/>
  <c r="D42" i="11"/>
  <c r="E42" i="11"/>
  <c r="G42" i="11"/>
  <c r="D43" i="11"/>
  <c r="H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J47" i="11" s="1"/>
  <c r="E47" i="11"/>
  <c r="G47" i="11"/>
  <c r="D48" i="11"/>
  <c r="H48" i="11" s="1"/>
  <c r="E48" i="11"/>
  <c r="G48" i="11"/>
  <c r="I37" i="11" l="1"/>
  <c r="J40" i="11"/>
  <c r="I39" i="11"/>
  <c r="I41" i="11"/>
  <c r="I40" i="11"/>
  <c r="K40" i="11" s="1"/>
  <c r="J39" i="11"/>
  <c r="H37" i="11"/>
  <c r="J43" i="11"/>
  <c r="I43" i="11"/>
  <c r="J46" i="11"/>
  <c r="I46" i="11"/>
  <c r="H41" i="11"/>
  <c r="K41" i="11" s="1"/>
  <c r="J48" i="11"/>
  <c r="I45" i="11"/>
  <c r="H44" i="11"/>
  <c r="J42" i="11"/>
  <c r="I44" i="11"/>
  <c r="J45" i="11"/>
  <c r="K39" i="11"/>
  <c r="K37" i="11"/>
  <c r="I48" i="11"/>
  <c r="I38" i="11"/>
  <c r="H42" i="11"/>
  <c r="H38" i="11"/>
  <c r="I47" i="11"/>
  <c r="I42" i="11"/>
  <c r="H47" i="11"/>
  <c r="K48" i="11" l="1"/>
  <c r="K45" i="11"/>
  <c r="K46" i="11"/>
  <c r="K43" i="11"/>
  <c r="K47" i="11"/>
  <c r="K44" i="11"/>
  <c r="K38" i="11"/>
  <c r="K42" i="11"/>
  <c r="D100" i="11" l="1"/>
  <c r="E100" i="11"/>
  <c r="G100" i="11"/>
  <c r="D101" i="11"/>
  <c r="E101" i="11"/>
  <c r="G101" i="11"/>
  <c r="D102" i="11"/>
  <c r="H102" i="11" s="1"/>
  <c r="E102" i="11"/>
  <c r="G102" i="11"/>
  <c r="D103" i="11"/>
  <c r="H103" i="11" s="1"/>
  <c r="E103" i="11"/>
  <c r="G103" i="11"/>
  <c r="D104" i="11"/>
  <c r="E104" i="11"/>
  <c r="G104" i="11"/>
  <c r="D105" i="11"/>
  <c r="E105" i="11"/>
  <c r="G105" i="11"/>
  <c r="D106" i="11"/>
  <c r="H106" i="11" s="1"/>
  <c r="E106" i="11"/>
  <c r="G106" i="11"/>
  <c r="D107" i="11"/>
  <c r="H107" i="11" s="1"/>
  <c r="E107" i="11"/>
  <c r="G107" i="11"/>
  <c r="G88" i="11"/>
  <c r="G89" i="11"/>
  <c r="G90" i="11"/>
  <c r="D88" i="11"/>
  <c r="H88" i="11" s="1"/>
  <c r="E88" i="11"/>
  <c r="D89" i="11"/>
  <c r="I89" i="11" s="1"/>
  <c r="E89" i="11"/>
  <c r="D90" i="11"/>
  <c r="H90" i="11" s="1"/>
  <c r="E90" i="11"/>
  <c r="G29" i="11"/>
  <c r="G30" i="11"/>
  <c r="G31" i="11"/>
  <c r="G32" i="11"/>
  <c r="G33" i="11"/>
  <c r="G34" i="11"/>
  <c r="G35" i="11"/>
  <c r="G36" i="11"/>
  <c r="D29" i="11"/>
  <c r="H29" i="11" s="1"/>
  <c r="E29" i="11"/>
  <c r="D30" i="11"/>
  <c r="J30" i="11" s="1"/>
  <c r="E30" i="11"/>
  <c r="D31" i="11"/>
  <c r="E31" i="11"/>
  <c r="D32" i="11"/>
  <c r="H32" i="11" s="1"/>
  <c r="E32" i="11"/>
  <c r="D33" i="11"/>
  <c r="H33" i="11" s="1"/>
  <c r="E33" i="11"/>
  <c r="D34" i="11"/>
  <c r="J34" i="11" s="1"/>
  <c r="E34" i="11"/>
  <c r="D35" i="11"/>
  <c r="I35" i="11" s="1"/>
  <c r="E35" i="11"/>
  <c r="G18" i="11"/>
  <c r="D18" i="11"/>
  <c r="I18" i="11" s="1"/>
  <c r="E18" i="11"/>
  <c r="D22" i="11"/>
  <c r="J22" i="11" s="1"/>
  <c r="E22" i="11"/>
  <c r="G22" i="11"/>
  <c r="D23" i="11"/>
  <c r="J23" i="11" s="1"/>
  <c r="E23" i="11"/>
  <c r="G23" i="11"/>
  <c r="D24" i="11"/>
  <c r="J24" i="11" s="1"/>
  <c r="E24" i="11"/>
  <c r="G24" i="11"/>
  <c r="D25" i="11"/>
  <c r="H25" i="11" s="1"/>
  <c r="E25" i="11"/>
  <c r="G25" i="11"/>
  <c r="D26" i="11"/>
  <c r="H26" i="11" s="1"/>
  <c r="E26" i="11"/>
  <c r="G26" i="11"/>
  <c r="D27" i="11"/>
  <c r="J27" i="11" s="1"/>
  <c r="E27" i="11"/>
  <c r="G27" i="11"/>
  <c r="D28" i="11"/>
  <c r="E28" i="11"/>
  <c r="G28" i="11"/>
  <c r="G17" i="11"/>
  <c r="D17" i="11"/>
  <c r="H17" i="11" s="1"/>
  <c r="E17" i="11"/>
  <c r="J105" i="11" l="1"/>
  <c r="J102" i="11"/>
  <c r="J100" i="11"/>
  <c r="J104" i="11"/>
  <c r="I104" i="11"/>
  <c r="I102" i="11"/>
  <c r="J101" i="11"/>
  <c r="I100" i="11"/>
  <c r="J106" i="11"/>
  <c r="H100" i="11"/>
  <c r="I107" i="11"/>
  <c r="I106" i="11"/>
  <c r="H104" i="11"/>
  <c r="I103" i="11"/>
  <c r="K102" i="11"/>
  <c r="I105" i="11"/>
  <c r="I101" i="11"/>
  <c r="J107" i="11"/>
  <c r="H105" i="11"/>
  <c r="J103" i="11"/>
  <c r="H101" i="11"/>
  <c r="H89" i="11"/>
  <c r="J90" i="11"/>
  <c r="J88" i="11"/>
  <c r="I90" i="11"/>
  <c r="J89" i="11"/>
  <c r="K89" i="11" s="1"/>
  <c r="I88" i="11"/>
  <c r="I31" i="11"/>
  <c r="I30" i="11"/>
  <c r="I34" i="11"/>
  <c r="H31" i="11"/>
  <c r="J29" i="11"/>
  <c r="H35" i="11"/>
  <c r="J33" i="11"/>
  <c r="H34" i="11"/>
  <c r="I33" i="11"/>
  <c r="J32" i="11"/>
  <c r="H30" i="11"/>
  <c r="I29" i="11"/>
  <c r="J35" i="11"/>
  <c r="I32" i="11"/>
  <c r="J31" i="11"/>
  <c r="J18" i="11"/>
  <c r="H18" i="11"/>
  <c r="I23" i="11"/>
  <c r="I27" i="11"/>
  <c r="I22" i="11"/>
  <c r="H22" i="11"/>
  <c r="H27" i="11"/>
  <c r="I26" i="11"/>
  <c r="J25" i="11"/>
  <c r="H23" i="11"/>
  <c r="I25" i="11"/>
  <c r="J28" i="11"/>
  <c r="I28" i="11"/>
  <c r="I24" i="11"/>
  <c r="H28" i="11"/>
  <c r="J26" i="11"/>
  <c r="H24" i="11"/>
  <c r="J17" i="11"/>
  <c r="I17" i="11"/>
  <c r="F54" i="11"/>
  <c r="F53" i="11"/>
  <c r="F52" i="11"/>
  <c r="F51" i="11"/>
  <c r="F50" i="11"/>
  <c r="D49" i="11"/>
  <c r="J49" i="11" s="1"/>
  <c r="E49" i="11"/>
  <c r="G49" i="11"/>
  <c r="D50" i="11"/>
  <c r="J50" i="11" s="1"/>
  <c r="E50" i="11"/>
  <c r="G50" i="11"/>
  <c r="D51" i="11"/>
  <c r="H51" i="11" s="1"/>
  <c r="E51" i="11"/>
  <c r="G51" i="11"/>
  <c r="D52" i="11"/>
  <c r="H52" i="11" s="1"/>
  <c r="E52" i="11"/>
  <c r="G52" i="11"/>
  <c r="D53" i="11"/>
  <c r="J53" i="11" s="1"/>
  <c r="E53" i="11"/>
  <c r="G53" i="11"/>
  <c r="D54" i="11"/>
  <c r="E54" i="11"/>
  <c r="G54" i="11"/>
  <c r="D55" i="11"/>
  <c r="H55" i="11" s="1"/>
  <c r="E55" i="11"/>
  <c r="G55" i="11"/>
  <c r="F87" i="11"/>
  <c r="F86" i="11"/>
  <c r="F85" i="11"/>
  <c r="F84" i="11"/>
  <c r="F97" i="11"/>
  <c r="F96" i="11"/>
  <c r="F95" i="11"/>
  <c r="F94" i="11"/>
  <c r="F93" i="11"/>
  <c r="F92" i="11"/>
  <c r="F91" i="11"/>
  <c r="F68" i="11"/>
  <c r="F67" i="11"/>
  <c r="F66" i="11"/>
  <c r="F65" i="11"/>
  <c r="F64" i="11"/>
  <c r="F63" i="11"/>
  <c r="F62" i="11"/>
  <c r="F61" i="11"/>
  <c r="F60" i="11"/>
  <c r="F59" i="11"/>
  <c r="F57" i="11"/>
  <c r="K104" i="11" l="1"/>
  <c r="K105" i="11"/>
  <c r="K103" i="11"/>
  <c r="K100" i="11"/>
  <c r="K101" i="11"/>
  <c r="K106" i="11"/>
  <c r="K107" i="11"/>
  <c r="K90" i="11"/>
  <c r="K88" i="11"/>
  <c r="K29" i="11"/>
  <c r="K30" i="11"/>
  <c r="K32" i="11"/>
  <c r="K35" i="11"/>
  <c r="K34" i="11"/>
  <c r="K31" i="11"/>
  <c r="K33" i="11"/>
  <c r="K18" i="11"/>
  <c r="K23" i="11"/>
  <c r="K22" i="11"/>
  <c r="K26" i="11"/>
  <c r="K27" i="11"/>
  <c r="K25" i="11"/>
  <c r="K28" i="11"/>
  <c r="K24" i="11"/>
  <c r="K17" i="11"/>
  <c r="H53" i="11"/>
  <c r="I52" i="11"/>
  <c r="J51" i="11"/>
  <c r="J54" i="11"/>
  <c r="I49" i="11"/>
  <c r="I55" i="11"/>
  <c r="I53" i="11"/>
  <c r="I51" i="11"/>
  <c r="H49" i="11"/>
  <c r="I54" i="11"/>
  <c r="I50" i="11"/>
  <c r="J55" i="11"/>
  <c r="H54" i="11"/>
  <c r="J52" i="11"/>
  <c r="H50" i="11"/>
  <c r="K50" i="11" s="1"/>
  <c r="K51" i="11" l="1"/>
  <c r="K49" i="11"/>
  <c r="K53" i="11"/>
  <c r="K52" i="11"/>
  <c r="K54" i="11"/>
  <c r="K55" i="11"/>
  <c r="G91" i="11" l="1"/>
  <c r="G92" i="11"/>
  <c r="G93" i="11"/>
  <c r="G94" i="11"/>
  <c r="G95" i="11"/>
  <c r="G96" i="11"/>
  <c r="G97" i="11"/>
  <c r="G98" i="11"/>
  <c r="G99" i="11"/>
  <c r="D91" i="11"/>
  <c r="E91" i="11"/>
  <c r="D92" i="11"/>
  <c r="H92" i="11" s="1"/>
  <c r="E92" i="11"/>
  <c r="D93" i="11"/>
  <c r="H93" i="11" s="1"/>
  <c r="E93" i="11"/>
  <c r="D94" i="11"/>
  <c r="J94" i="11" s="1"/>
  <c r="E94" i="11"/>
  <c r="D95" i="11"/>
  <c r="E95" i="11"/>
  <c r="D96" i="11"/>
  <c r="H96" i="11" s="1"/>
  <c r="E96" i="11"/>
  <c r="D97" i="11"/>
  <c r="H97" i="11" s="1"/>
  <c r="E97" i="11"/>
  <c r="D98" i="11"/>
  <c r="J98" i="11" s="1"/>
  <c r="E98" i="11"/>
  <c r="D99" i="11"/>
  <c r="J99" i="11" s="1"/>
  <c r="E99" i="11"/>
  <c r="D36" i="11"/>
  <c r="E36" i="11"/>
  <c r="I36" i="11" l="1"/>
  <c r="J36" i="11"/>
  <c r="H36" i="11"/>
  <c r="I95" i="11"/>
  <c r="I91" i="11"/>
  <c r="I97" i="11"/>
  <c r="J93" i="11"/>
  <c r="H91" i="11"/>
  <c r="J97" i="11"/>
  <c r="H95" i="11"/>
  <c r="I93" i="11"/>
  <c r="I99" i="11"/>
  <c r="I98" i="11"/>
  <c r="I94" i="11"/>
  <c r="H99" i="11"/>
  <c r="H98" i="11"/>
  <c r="J96" i="11"/>
  <c r="H94" i="11"/>
  <c r="J92" i="11"/>
  <c r="I96" i="11"/>
  <c r="J95" i="11"/>
  <c r="I92" i="11"/>
  <c r="J91" i="11"/>
  <c r="K36" i="11" l="1"/>
  <c r="K98" i="11"/>
  <c r="K93" i="11"/>
  <c r="K95" i="11"/>
  <c r="K92" i="11"/>
  <c r="K99" i="11"/>
  <c r="K97" i="11"/>
  <c r="K96" i="11"/>
  <c r="K91" i="11"/>
  <c r="K94" i="11"/>
  <c r="D82" i="11" l="1"/>
  <c r="D83" i="11"/>
  <c r="D84" i="11"/>
  <c r="D85" i="11"/>
  <c r="D86" i="11"/>
  <c r="D87" i="11"/>
  <c r="D19" i="11"/>
  <c r="J19" i="11" s="1"/>
  <c r="E19" i="11"/>
  <c r="G19" i="11"/>
  <c r="D21" i="11"/>
  <c r="H21" i="11" s="1"/>
  <c r="E21" i="11"/>
  <c r="G21" i="11"/>
  <c r="E7" i="64"/>
  <c r="D15" i="11"/>
  <c r="J15" i="11" s="1"/>
  <c r="E15" i="11"/>
  <c r="G15" i="11"/>
  <c r="D16" i="11"/>
  <c r="J16" i="11" s="1"/>
  <c r="E16" i="11"/>
  <c r="G16" i="11"/>
  <c r="G69" i="11"/>
  <c r="D69" i="11"/>
  <c r="J69" i="11" s="1"/>
  <c r="E69" i="11"/>
  <c r="J21" i="11" l="1"/>
  <c r="I21" i="11"/>
  <c r="I19" i="11"/>
  <c r="H19" i="11"/>
  <c r="I15" i="11"/>
  <c r="H15" i="11"/>
  <c r="I16" i="11"/>
  <c r="H16" i="11"/>
  <c r="I69" i="11"/>
  <c r="H69" i="11"/>
  <c r="K21" i="11" l="1"/>
  <c r="K19" i="11"/>
  <c r="K15" i="11"/>
  <c r="K69" i="11"/>
  <c r="K16" i="11"/>
  <c r="F79" i="11" l="1"/>
  <c r="F78" i="11"/>
  <c r="F77" i="11"/>
  <c r="F76" i="11"/>
  <c r="F75" i="11"/>
  <c r="F74" i="11"/>
  <c r="F73" i="11"/>
  <c r="F72" i="11"/>
  <c r="F71" i="11"/>
  <c r="D70" i="11"/>
  <c r="H70" i="11" s="1"/>
  <c r="E70" i="11"/>
  <c r="G70" i="11"/>
  <c r="D71" i="11"/>
  <c r="J71" i="11" s="1"/>
  <c r="E71" i="11"/>
  <c r="G71" i="11"/>
  <c r="D72" i="11"/>
  <c r="J72" i="11" s="1"/>
  <c r="E72" i="11"/>
  <c r="G72" i="11"/>
  <c r="D73" i="11"/>
  <c r="H73" i="11" s="1"/>
  <c r="E73" i="11"/>
  <c r="G73" i="11"/>
  <c r="D74" i="11"/>
  <c r="J74" i="11" s="1"/>
  <c r="E74" i="11"/>
  <c r="G74" i="11"/>
  <c r="D75" i="11"/>
  <c r="J75" i="11" s="1"/>
  <c r="E75" i="11"/>
  <c r="G75" i="11"/>
  <c r="D76" i="11"/>
  <c r="J76" i="11" s="1"/>
  <c r="E76" i="11"/>
  <c r="G76" i="11"/>
  <c r="D77" i="11"/>
  <c r="H77" i="11" s="1"/>
  <c r="E77" i="11"/>
  <c r="G77" i="11"/>
  <c r="D78" i="11"/>
  <c r="H78" i="11" s="1"/>
  <c r="E78" i="11"/>
  <c r="G78" i="11"/>
  <c r="D79" i="11"/>
  <c r="E79" i="11"/>
  <c r="G79" i="11"/>
  <c r="D80" i="11"/>
  <c r="J80" i="11" s="1"/>
  <c r="E80" i="11"/>
  <c r="G80" i="11"/>
  <c r="D56" i="11"/>
  <c r="J56" i="11" s="1"/>
  <c r="E56" i="11"/>
  <c r="G56" i="11"/>
  <c r="D57" i="11"/>
  <c r="I57" i="11" s="1"/>
  <c r="E57" i="11"/>
  <c r="G57" i="11"/>
  <c r="D58" i="11"/>
  <c r="J58" i="11" s="1"/>
  <c r="E58" i="11"/>
  <c r="G58" i="11"/>
  <c r="D59" i="11"/>
  <c r="J59" i="11" s="1"/>
  <c r="E59" i="11"/>
  <c r="G59" i="11"/>
  <c r="D60" i="11"/>
  <c r="J60" i="11" s="1"/>
  <c r="E60" i="11"/>
  <c r="G60" i="11"/>
  <c r="D61" i="11"/>
  <c r="E61" i="11"/>
  <c r="G61" i="11"/>
  <c r="D62" i="11"/>
  <c r="J62" i="11" s="1"/>
  <c r="E62" i="11"/>
  <c r="G62" i="11"/>
  <c r="D63" i="11"/>
  <c r="J63" i="11" s="1"/>
  <c r="E63" i="11"/>
  <c r="G63" i="11"/>
  <c r="D64" i="11"/>
  <c r="J64" i="11" s="1"/>
  <c r="E64" i="11"/>
  <c r="G64" i="11"/>
  <c r="D65" i="11"/>
  <c r="J65" i="11" s="1"/>
  <c r="E65" i="11"/>
  <c r="G65" i="11"/>
  <c r="D66" i="11"/>
  <c r="H66" i="11" s="1"/>
  <c r="E66" i="11"/>
  <c r="G66" i="11"/>
  <c r="D67" i="11"/>
  <c r="J67" i="11" s="1"/>
  <c r="E67" i="11"/>
  <c r="G67" i="11"/>
  <c r="D68" i="11"/>
  <c r="E68" i="11"/>
  <c r="G68" i="11"/>
  <c r="G6" i="11"/>
  <c r="D81" i="11"/>
  <c r="J81" i="11" s="1"/>
  <c r="E81" i="11"/>
  <c r="G81" i="11"/>
  <c r="H82" i="11"/>
  <c r="E82" i="11"/>
  <c r="G82" i="11"/>
  <c r="E83" i="11"/>
  <c r="G83" i="11"/>
  <c r="J84" i="11"/>
  <c r="E84" i="11"/>
  <c r="G84" i="11"/>
  <c r="J85" i="11"/>
  <c r="E85" i="11"/>
  <c r="G85" i="11"/>
  <c r="E86" i="11"/>
  <c r="G86" i="11"/>
  <c r="H87" i="11"/>
  <c r="E87" i="11"/>
  <c r="G87" i="11"/>
  <c r="D20" i="60"/>
  <c r="I61" i="11" l="1"/>
  <c r="J68" i="11"/>
  <c r="J79" i="11"/>
  <c r="J78" i="11"/>
  <c r="J70" i="11"/>
  <c r="I74" i="11"/>
  <c r="I70" i="11"/>
  <c r="I76" i="11"/>
  <c r="H76" i="11"/>
  <c r="H72" i="11"/>
  <c r="I72" i="11"/>
  <c r="I80" i="11"/>
  <c r="I78" i="11"/>
  <c r="I77" i="11"/>
  <c r="J57" i="11"/>
  <c r="H80" i="11"/>
  <c r="H74" i="11"/>
  <c r="I73" i="11"/>
  <c r="I79" i="11"/>
  <c r="H79" i="11"/>
  <c r="J77" i="11"/>
  <c r="H75" i="11"/>
  <c r="J73" i="11"/>
  <c r="H71" i="11"/>
  <c r="I75" i="11"/>
  <c r="I71" i="11"/>
  <c r="I65" i="11"/>
  <c r="J61" i="11"/>
  <c r="H61" i="11"/>
  <c r="H65" i="11"/>
  <c r="J66" i="11"/>
  <c r="H62" i="11"/>
  <c r="I59" i="11"/>
  <c r="I58" i="11"/>
  <c r="I66" i="11"/>
  <c r="I62" i="11"/>
  <c r="H57" i="11"/>
  <c r="H67" i="11"/>
  <c r="H63" i="11"/>
  <c r="H58" i="11"/>
  <c r="I63" i="11"/>
  <c r="H59" i="11"/>
  <c r="I67" i="11"/>
  <c r="I64" i="11"/>
  <c r="I56" i="11"/>
  <c r="H68" i="11"/>
  <c r="H64" i="11"/>
  <c r="H60" i="11"/>
  <c r="H56" i="11"/>
  <c r="I68" i="11"/>
  <c r="I60" i="11"/>
  <c r="H83" i="11"/>
  <c r="H86" i="11"/>
  <c r="J87" i="11"/>
  <c r="J86" i="11"/>
  <c r="I84" i="11"/>
  <c r="H84" i="11"/>
  <c r="J83" i="11"/>
  <c r="J82" i="11"/>
  <c r="I82" i="11"/>
  <c r="I86" i="11"/>
  <c r="H85" i="11"/>
  <c r="H81" i="11"/>
  <c r="I85" i="11"/>
  <c r="I81" i="11"/>
  <c r="I87" i="11"/>
  <c r="I83" i="11"/>
  <c r="D14" i="11"/>
  <c r="J14" i="11" s="1"/>
  <c r="E14" i="11"/>
  <c r="G14" i="11"/>
  <c r="K19" i="60"/>
  <c r="D19" i="60"/>
  <c r="K59" i="11" l="1"/>
  <c r="K76" i="11"/>
  <c r="K64" i="11"/>
  <c r="K70" i="11"/>
  <c r="K74" i="11"/>
  <c r="K61" i="11"/>
  <c r="K78" i="11"/>
  <c r="K66" i="11"/>
  <c r="K77" i="11"/>
  <c r="K65" i="11"/>
  <c r="K72" i="11"/>
  <c r="K62" i="11"/>
  <c r="K58" i="11"/>
  <c r="K57" i="11"/>
  <c r="K80" i="11"/>
  <c r="K73" i="11"/>
  <c r="K71" i="11"/>
  <c r="K79" i="11"/>
  <c r="K75" i="11"/>
  <c r="K63" i="11"/>
  <c r="K67" i="11"/>
  <c r="K68" i="11"/>
  <c r="K56" i="11"/>
  <c r="K60" i="11"/>
  <c r="K82" i="11"/>
  <c r="K84" i="11"/>
  <c r="K86" i="11"/>
  <c r="K87" i="11"/>
  <c r="K83" i="11"/>
  <c r="K81" i="11"/>
  <c r="K85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08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08" i="11"/>
  <c r="D109" i="11"/>
  <c r="H109" i="11" s="1"/>
  <c r="E109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09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16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08" i="11"/>
  <c r="J108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09" i="11"/>
  <c r="I109" i="11"/>
  <c r="H108" i="11" l="1"/>
  <c r="I108" i="1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09" i="11"/>
  <c r="K108" i="11" l="1"/>
  <c r="F224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11" i="11"/>
  <c r="H112" i="11" s="1"/>
  <c r="I111" i="11"/>
  <c r="I112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13" i="11"/>
  <c r="I113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11" i="11" l="1"/>
  <c r="K112" i="11" s="1"/>
  <c r="K113" i="11" s="1"/>
  <c r="B114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11" i="11"/>
  <c r="J112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13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<sst xmlns="http://schemas.openxmlformats.org/spreadsheetml/2006/main" count="4780" uniqueCount="1643">
  <si>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</si>
  <si>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</si>
  <si>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</si>
  <si>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</si>
  <si>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</si>
  <si>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</si>
  <si>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</si>
  <si>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</si>
  <si>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</si>
  <si>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</si>
  <si>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</si>
  <si>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</si>
  <si>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</si>
  <si>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</si>
  <si>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</si>
  <si>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</si>
  <si>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</si>
  <si>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</si>
  <si>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</si>
  <si>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</si>
  <si>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</si>
  <si>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</si>
  <si>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</si>
  <si>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</si>
  <si>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</si>
  <si>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</si>
  <si>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</si>
  <si>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</si>
  <si>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</si>
  <si>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</si>
  <si>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</si>
  <si>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</si>
  <si>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</si>
  <si>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</si>
  <si>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</si>
  <si>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</si>
  <si>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</si>
  <si>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</si>
  <si>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</si>
  <si>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</si>
  <si>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</si>
  <si>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</si>
  <si>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</si>
  <si>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</si>
  <si>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</si>
  <si>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</si>
  <si>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</si>
  <si>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</si>
  <si>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</si>
  <si>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</si>
  <si>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</si>
  <si>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</si>
  <si>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</si>
  <si>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</si>
  <si>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</si>
  <si>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</si>
  <si>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</si>
  <si>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</si>
  <si>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</si>
  <si>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</si>
  <si>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</si>
  <si>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</si>
  <si>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</si>
  <si>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</si>
  <si>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</si>
  <si>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</si>
  <si>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</si>
  <si>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</si>
  <si>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</si>
  <si>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</si>
  <si>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</si>
  <si>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</si>
  <si>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</si>
  <si>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</si>
  <si>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</si>
  <si>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</si>
  <si>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</si>
  <si>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</si>
  <si>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</si>
  <si>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</si>
  <si>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</si>
  <si>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</si>
  <si>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</si>
  <si>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</si>
  <si>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</si>
  <si>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</si>
  <si>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</si>
  <si>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</si>
  <si>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</si>
  <si>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</si>
  <si>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</si>
  <si>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</si>
  <si>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</si>
  <si>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</si>
  <si>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</si>
  <si>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</si>
  <si>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</si>
  <si>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</si>
  <si>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</si>
  <si>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</si>
  <si>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</si>
  <si>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</si>
  <si>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</si>
  <si>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</si>
  <si>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</si>
  <si>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</si>
  <si>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</si>
  <si>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</si>
  <si>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</si>
  <si>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</si>
  <si>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</si>
  <si>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</si>
  <si>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</si>
  <si>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</si>
  <si>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</si>
  <si>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</si>
  <si>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</si>
  <si>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</si>
  <si>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</si>
  <si>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</si>
  <si>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</si>
  <si>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</si>
  <si>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</si>
  <si>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</si>
  <si>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</si>
  <si>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</si>
  <si>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</si>
  <si>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</si>
  <si>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</si>
  <si>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</si>
  <si>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</si>
  <si>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</si>
  <si>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</si>
  <si>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</si>
  <si>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</si>
  <si>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</si>
  <si>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</si>
  <si>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</si>
  <si>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</si>
  <si>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</si>
  <si>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</si>
  <si>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</si>
  <si>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</si>
  <si>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</si>
  <si>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</si>
  <si>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</si>
  <si>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</si>
  <si>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</si>
  <si>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</si>
  <si>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</si>
  <si>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</si>
  <si>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</si>
  <si>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</si>
  <si>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</si>
  <si>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</si>
  <si>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</si>
  <si>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</si>
  <si>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</si>
  <si>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</si>
  <si>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</si>
  <si>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</si>
  <si>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</si>
  <si>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</si>
  <si>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</si>
  <si>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</si>
  <si>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</si>
  <si>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</si>
  <si>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</si>
  <si>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</si>
  <si>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</si>
  <si>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</si>
  <si>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</si>
  <si>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</si>
  <si>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</si>
  <si>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</si>
  <si>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</si>
  <si>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</si>
  <si>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</si>
  <si>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</si>
  <si>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</si>
  <si>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</si>
  <si>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</si>
  <si>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</si>
  <si>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</si>
  <si>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</si>
  <si>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</si>
  <si>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</si>
  <si>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</si>
  <si>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</si>
  <si>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</si>
  <si>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</si>
  <si>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</si>
  <si>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</si>
  <si>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</si>
  <si>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</si>
  <si>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</si>
  <si>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</si>
  <si>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</si>
  <si>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</si>
  <si>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</si>
  <si>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</si>
  <si>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</si>
  <si>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</si>
  <si>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</si>
  <si>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</si>
  <si>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</si>
  <si>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</si>
  <si>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</si>
  <si>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</si>
  <si>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</si>
  <si>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</si>
  <si>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</si>
  <si>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</si>
  <si>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</si>
  <si>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</si>
  <si>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</si>
  <si>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</si>
  <si>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</si>
  <si>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</si>
  <si>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</si>
  <si>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</si>
  <si>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</si>
  <si>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</si>
  <si>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</si>
  <si>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</si>
  <si>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</si>
  <si>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</si>
  <si>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</si>
  <si>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</si>
  <si>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</si>
  <si>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</si>
  <si>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</si>
  <si>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</si>
  <si>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</si>
  <si>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</si>
  <si>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</si>
  <si>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</si>
  <si>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</si>
  <si>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</si>
  <si>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</si>
  <si>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</si>
  <si>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</si>
  <si>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</si>
  <si>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</si>
  <si>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</si>
  <si>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</si>
  <si>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</si>
  <si>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</si>
  <si>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</si>
  <si>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</si>
  <si>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</si>
  <si>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</si>
  <si>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</si>
  <si>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</si>
  <si>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</si>
  <si>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</si>
  <si>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</si>
  <si>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</si>
  <si>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</si>
  <si>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</si>
  <si>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</si>
  <si>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</si>
  <si>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</si>
  <si>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</si>
  <si>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</si>
  <si>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</si>
  <si>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</si>
  <si>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</si>
  <si>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</si>
  <si>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</si>
  <si>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</si>
  <si>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</si>
  <si>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</si>
  <si>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</si>
  <si>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</si>
  <si>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</si>
  <si>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</si>
  <si>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</si>
  <si>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</si>
  <si>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</si>
  <si>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</si>
  <si>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</si>
  <si>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</si>
  <si>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</si>
  <si>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</si>
  <si>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</si>
  <si>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</si>
  <si>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</si>
  <si>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</si>
  <si>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</si>
  <si>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</si>
  <si>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</si>
  <si>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</si>
  <si>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</si>
  <si>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</si>
  <si>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</si>
  <si>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</si>
  <si>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</si>
  <si>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</si>
  <si>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</si>
  <si>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</si>
  <si>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</si>
  <si>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</si>
  <si>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</si>
  <si>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</si>
  <si>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</si>
  <si>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</si>
  <si>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</si>
  <si>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</si>
  <si>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</si>
  <si>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</si>
  <si>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</si>
  <si>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</si>
  <si>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</si>
  <si>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</si>
  <si>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</si>
  <si>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</si>
  <si>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</si>
  <si>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</si>
  <si>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</si>
  <si>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</si>
  <si>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</si>
  <si>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</si>
  <si>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</si>
  <si>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</si>
  <si>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</si>
  <si>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</si>
  <si>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</si>
  <si>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</si>
  <si>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</si>
  <si>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</si>
  <si>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</si>
  <si>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</si>
  <si>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</si>
  <si>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</si>
  <si>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</si>
  <si>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</si>
  <si>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</si>
  <si>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</si>
  <si>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</si>
  <si>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</si>
  <si>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</si>
  <si>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</si>
  <si>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</si>
  <si>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</si>
  <si>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</si>
  <si>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</si>
  <si>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</si>
  <si>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</si>
  <si>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</si>
  <si>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</si>
  <si>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</si>
  <si>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</si>
  <si>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</si>
  <si>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</si>
  <si>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</si>
  <si>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</si>
  <si>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</si>
  <si>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</si>
  <si>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</si>
  <si>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</si>
  <si>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</si>
  <si>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</si>
  <si>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</si>
  <si>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</si>
  <si>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</si>
  <si>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</si>
  <si>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</si>
  <si>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</si>
  <si>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</si>
  <si>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</si>
  <si>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</si>
  <si>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</si>
  <si>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</si>
  <si>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</si>
  <si>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</si>
  <si>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</si>
  <si>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</si>
  <si>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</si>
  <si>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</si>
  <si>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</si>
  <si>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</si>
  <si>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</si>
  <si>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</si>
  <si>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</si>
  <si>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</si>
  <si>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</si>
  <si>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</si>
  <si>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</si>
  <si>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</si>
  <si>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</si>
  <si>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</si>
  <si>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</si>
  <si>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</si>
  <si>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</si>
  <si>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</si>
  <si>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</si>
  <si>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</si>
  <si>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</si>
  <si>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</si>
  <si>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</si>
  <si>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</si>
  <si>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</si>
  <si>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</si>
  <si>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</si>
  <si>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</si>
  <si>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</si>
  <si>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</si>
  <si>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</si>
  <si>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</si>
  <si>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</si>
  <si>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</si>
  <si>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</si>
  <si>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</si>
  <si>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</si>
  <si>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</si>
  <si>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</si>
  <si>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</si>
  <si>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</si>
  <si>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</si>
  <si>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</si>
  <si>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</si>
  <si>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</si>
  <si>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</si>
  <si>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</si>
  <si>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</si>
  <si>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</si>
  <si>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</si>
  <si>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</si>
  <si>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</si>
  <si>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</si>
  <si>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</si>
  <si>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</si>
  <si>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</si>
  <si>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</si>
  <si>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</si>
  <si>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</si>
  <si>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</si>
  <si>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</si>
  <si>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</si>
  <si>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</si>
  <si>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</si>
  <si>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</si>
  <si>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</si>
  <si>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</si>
  <si>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</si>
  <si>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</si>
  <si>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</si>
  <si>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</si>
  <si>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</si>
  <si>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</si>
  <si>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</si>
  <si>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</si>
  <si>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</si>
  <si>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</si>
  <si>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</si>
  <si>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</si>
  <si>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</si>
  <si>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</si>
  <si>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</si>
  <si>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</si>
  <si>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</si>
  <si>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</si>
  <si>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</si>
  <si>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</si>
  <si>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</si>
  <si>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</si>
  <si>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</si>
  <si>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</si>
  <si>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</si>
  <si>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</si>
  <si>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</si>
  <si>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</si>
  <si>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</si>
  <si>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</si>
  <si>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</si>
  <si>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</si>
  <si>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</si>
  <si>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</si>
  <si>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</si>
  <si>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</si>
  <si>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</si>
  <si>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</si>
  <si>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</si>
  <si>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</si>
  <si>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</si>
  <si>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</si>
  <si>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</si>
  <si>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</si>
  <si>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</si>
  <si>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</si>
  <si>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</si>
  <si>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</si>
  <si>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</si>
  <si>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</si>
  <si>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</si>
  <si>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</si>
  <si>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</si>
  <si>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</si>
  <si>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</si>
  <si>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</si>
  <si>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</si>
  <si>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</si>
  <si>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</si>
  <si>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</si>
  <si>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</si>
  <si>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</si>
  <si>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</si>
  <si>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</si>
  <si>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</si>
  <si>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</si>
  <si>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</si>
  <si>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</si>
  <si>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</si>
  <si>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</si>
  <si>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</si>
  <si>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</si>
  <si>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</si>
  <si>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</si>
  <si>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</si>
  <si>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</si>
  <si>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</si>
  <si>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</si>
  <si>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</si>
  <si>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</si>
  <si>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</si>
  <si>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</si>
  <si>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</si>
  <si>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</si>
  <si>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</si>
  <si>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</si>
  <si>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</si>
  <si>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</si>
  <si>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</si>
  <si>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</si>
  <si>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</si>
  <si>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</si>
  <si>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</si>
  <si>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</si>
  <si>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</si>
  <si>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</si>
  <si>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</si>
  <si>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</si>
  <si>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</si>
  <si>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</si>
  <si>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</si>
  <si>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</si>
  <si>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</si>
  <si>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</si>
  <si>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</si>
  <si>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</si>
  <si>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</si>
  <si>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</si>
  <si>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</si>
  <si>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</si>
  <si>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</si>
  <si>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</si>
  <si>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</si>
  <si>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</si>
  <si>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</si>
  <si>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</si>
  <si>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</si>
  <si>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</si>
  <si>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</si>
  <si>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</si>
  <si>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</si>
  <si>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</si>
  <si>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</si>
  <si>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</si>
  <si>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</si>
  <si>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</si>
  <si>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</si>
  <si>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</si>
  <si>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</si>
  <si>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</si>
  <si>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</si>
  <si>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</si>
  <si>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</si>
  <si>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</si>
  <si>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</si>
  <si>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</si>
  <si>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</si>
  <si>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</si>
  <si>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</si>
  <si>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</si>
  <si>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</si>
  <si>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</si>
  <si>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</si>
  <si>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</si>
  <si>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</si>
  <si>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</si>
  <si>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</si>
  <si>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</si>
  <si>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</si>
  <si>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</si>
  <si>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</si>
  <si>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</si>
  <si>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</si>
  <si>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</si>
  <si>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</si>
  <si>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</si>
  <si>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</si>
  <si>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</si>
  <si>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</si>
  <si>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</si>
  <si>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</si>
  <si>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</si>
  <si>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</si>
  <si>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</si>
  <si>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</si>
  <si>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</si>
  <si>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</si>
  <si>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</si>
  <si>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</si>
  <si>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</si>
  <si>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</si>
  <si>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</si>
  <si>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</si>
  <si>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</si>
  <si>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</si>
  <si>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</si>
  <si>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</si>
  <si>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</si>
  <si>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</si>
  <si>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</si>
  <si>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</si>
  <si>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</si>
  <si>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</si>
  <si>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</si>
  <si>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</si>
  <si>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</si>
  <si>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</si>
  <si>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</si>
  <si>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</si>
  <si>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</si>
  <si>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</si>
  <si>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</si>
  <si>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</si>
  <si>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</si>
  <si>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</si>
  <si>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</si>
  <si>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</si>
  <si>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</si>
  <si>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</si>
  <si>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</si>
  <si>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</si>
  <si>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</si>
  <si>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</si>
  <si>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</si>
  <si>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</si>
  <si>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</si>
  <si>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</si>
  <si>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</si>
  <si>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</si>
  <si>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</si>
  <si>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</si>
  <si>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</si>
  <si>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</si>
  <si>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</si>
  <si>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</si>
  <si>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</si>
  <si>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</si>
  <si>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</si>
  <si>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</si>
  <si>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</si>
  <si>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</si>
  <si>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</si>
  <si>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</si>
  <si>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</si>
  <si>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</si>
  <si>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</si>
  <si>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</si>
  <si>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</si>
  <si>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</si>
  <si>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</si>
  <si>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</si>
  <si>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</si>
  <si>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</si>
  <si>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</si>
  <si>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</si>
  <si>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</si>
  <si>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</si>
  <si>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</si>
  <si>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</si>
  <si>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</si>
  <si>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</si>
  <si>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</si>
  <si>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</si>
  <si>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</si>
  <si>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</si>
  <si>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</si>
  <si>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</si>
  <si>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</si>
  <si>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</si>
  <si>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</si>
  <si>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</si>
  <si>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</si>
  <si>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</si>
  <si>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</si>
  <si>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</si>
  <si>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</si>
  <si>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</si>
  <si>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</si>
  <si>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</si>
  <si>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</si>
  <si>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</si>
  <si>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</si>
  <si>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</si>
  <si>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</si>
  <si>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</si>
  <si>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</si>
  <si>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</si>
  <si>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</si>
  <si>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</si>
  <si>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</si>
  <si>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</si>
  <si>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</si>
  <si>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</si>
  <si>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</si>
  <si>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</si>
  <si>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</si>
  <si>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</si>
  <si>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</si>
  <si>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</si>
  <si>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</si>
  <si>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</si>
  <si>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</si>
  <si>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</si>
  <si>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</si>
  <si>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</si>
  <si>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</si>
  <si>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</si>
  <si>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</si>
  <si>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</si>
  <si>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</si>
  <si>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</si>
  <si>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</si>
  <si>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</si>
  <si>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</si>
  <si>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</si>
  <si>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</si>
  <si>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</si>
  <si>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</si>
  <si>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</si>
  <si>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</si>
  <si>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</si>
  <si>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</si>
  <si>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</si>
  <si>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</si>
  <si>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</si>
  <si>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</si>
  <si>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</si>
  <si>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</si>
  <si>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</si>
  <si>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</si>
  <si>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</si>
  <si>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</si>
  <si>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</si>
  <si>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</si>
  <si>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</si>
  <si>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</si>
  <si>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</si>
  <si>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</si>
  <si>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</si>
  <si>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</si>
  <si>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</si>
  <si>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</si>
  <si>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</si>
  <si>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</si>
  <si>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</si>
  <si>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</si>
  <si>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</si>
  <si>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</si>
  <si>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</si>
  <si>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</si>
  <si>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</si>
  <si>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</si>
  <si>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</si>
  <si>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</si>
  <si>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</si>
  <si>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</si>
  <si>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</si>
  <si>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</si>
  <si>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</si>
  <si>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</si>
  <si>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</si>
  <si>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</si>
  <si>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</si>
  <si>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</si>
  <si>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</si>
  <si>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</si>
  <si>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</si>
  <si>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</si>
  <si>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</si>
  <si>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</si>
  <si>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</si>
  <si>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</si>
  <si>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</si>
  <si>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</si>
  <si>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</si>
  <si>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</si>
  <si>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</si>
  <si>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</si>
  <si>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</si>
  <si>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</si>
  <si>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</si>
  <si>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</si>
  <si>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</si>
  <si>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</si>
  <si>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</si>
  <si>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</si>
  <si>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</si>
  <si>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</si>
  <si>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</si>
  <si>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</si>
  <si>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</si>
  <si>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</si>
  <si>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</si>
  <si>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</si>
  <si>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</si>
  <si>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</si>
  <si>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</si>
  <si>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</si>
  <si>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</si>
  <si>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</si>
  <si>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</si>
  <si>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</si>
  <si>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</si>
  <si>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</si>
  <si>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</si>
  <si>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</si>
  <si>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</si>
  <si>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</si>
  <si>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</si>
  <si>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</si>
  <si>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</si>
  <si>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</si>
  <si>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</si>
  <si>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</si>
  <si>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</si>
  <si>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</si>
  <si>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</si>
  <si>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</si>
  <si>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</si>
  <si>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</si>
  <si>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</si>
  <si>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</si>
  <si>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</si>
  <si>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</si>
  <si>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</si>
  <si>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</si>
  <si>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</si>
  <si>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</si>
  <si>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</si>
  <si>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</si>
  <si>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</si>
  <si>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</si>
  <si>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</si>
  <si>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</si>
  <si>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</si>
  <si>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</si>
  <si>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</si>
  <si>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</si>
  <si>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</si>
  <si>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</si>
  <si>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</si>
  <si>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</si>
  <si>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</si>
  <si>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</si>
  <si>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</si>
  <si>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</si>
  <si>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</si>
  <si>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</si>
  <si>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</si>
  <si>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</si>
  <si>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</si>
  <si>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</si>
  <si>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</si>
  <si>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</si>
  <si>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</si>
  <si>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</si>
  <si>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</si>
  <si>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</si>
  <si>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</si>
  <si>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</si>
  <si>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</si>
  <si>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</si>
  <si>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</si>
  <si>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</si>
  <si>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</si>
  <si>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</si>
  <si>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</si>
  <si>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</si>
  <si>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</si>
  <si>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</si>
  <si>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</si>
  <si>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</si>
  <si>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</si>
  <si>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</si>
  <si>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</si>
  <si>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</si>
  <si>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</si>
  <si>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</si>
  <si>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</si>
  <si>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</si>
  <si>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</si>
  <si>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</si>
  <si>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</si>
  <si>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</si>
  <si>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</si>
  <si>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</si>
  <si>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</si>
  <si>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</si>
  <si>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</si>
  <si>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</si>
  <si>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</si>
  <si>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</si>
  <si>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</si>
  <si>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</si>
  <si>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</si>
  <si>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</si>
  <si>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</si>
  <si>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</si>
  <si>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</si>
  <si>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</si>
  <si>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</si>
  <si>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</si>
  <si>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</si>
  <si>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</si>
  <si>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</si>
  <si>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</si>
  <si>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</si>
  <si>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</si>
  <si>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</si>
  <si>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</si>
  <si>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</si>
  <si>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</si>
  <si>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</si>
  <si>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</si>
  <si>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</si>
  <si>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</si>
  <si>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</si>
  <si>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</si>
  <si>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</si>
  <si>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</si>
  <si>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</si>
  <si>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</si>
  <si>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</si>
  <si>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</si>
  <si>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</si>
  <si>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</si>
  <si>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</si>
  <si>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</si>
  <si>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</si>
  <si>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</si>
  <si>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</si>
  <si>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</si>
  <si>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</si>
  <si>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</si>
  <si>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</si>
  <si>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</si>
  <si>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</si>
  <si>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</si>
  <si>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</si>
  <si>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</si>
  <si>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</si>
  <si>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</si>
  <si>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</si>
  <si>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</si>
  <si>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</si>
  <si>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</si>
  <si>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</si>
  <si>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</si>
  <si>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</si>
  <si>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</si>
  <si>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</si>
  <si>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</si>
  <si>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</si>
  <si>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</si>
  <si>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</si>
  <si>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</si>
  <si>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</si>
  <si>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</si>
  <si>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</si>
  <si>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</si>
  <si>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</si>
  <si>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</si>
  <si>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</si>
  <si>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</si>
  <si>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</si>
  <si>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</si>
  <si>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</si>
  <si>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</si>
  <si>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</si>
  <si>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</si>
  <si>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</si>
  <si>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</si>
  <si>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</si>
  <si>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</si>
  <si>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</si>
  <si>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</si>
  <si>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</si>
  <si>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</si>
  <si>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</si>
  <si>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</si>
  <si>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</si>
  <si>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</si>
  <si>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</si>
  <si>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</si>
  <si>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</si>
  <si>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</si>
  <si>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</si>
  <si>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</si>
  <si>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</si>
  <si>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</si>
  <si>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</si>
  <si>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</si>
  <si>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</si>
  <si>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</si>
  <si>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</si>
  <si>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</si>
  <si>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</si>
  <si>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</si>
  <si>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</si>
  <si>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</si>
  <si>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</si>
  <si>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</si>
  <si>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</si>
  <si>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</si>
  <si>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</si>
  <si>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</si>
  <si>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</si>
  <si>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</si>
  <si>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</si>
  <si>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</si>
  <si>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</si>
  <si>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</si>
  <si>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</si>
  <si>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</si>
  <si>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</si>
  <si>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</si>
  <si>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</si>
  <si>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</si>
  <si>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</si>
  <si>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</si>
  <si>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</si>
  <si>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</si>
  <si>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</si>
  <si>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</si>
  <si>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</si>
  <si>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</si>
  <si>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</si>
  <si>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</si>
  <si>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</si>
  <si>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</si>
  <si>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</si>
  <si>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</si>
  <si>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</si>
  <si>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</si>
  <si>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</si>
  <si>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</si>
  <si>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</si>
  <si>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</si>
  <si>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</si>
  <si>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</si>
  <si>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</si>
  <si>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</si>
  <si>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</si>
  <si>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</si>
  <si>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</si>
  <si>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</si>
  <si>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</si>
  <si>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</si>
  <si>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</si>
  <si>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</si>
  <si>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</si>
  <si>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</si>
  <si>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</si>
  <si>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</si>
  <si>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</si>
  <si>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</si>
  <si>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</si>
  <si>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</si>
  <si>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</si>
  <si>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</si>
  <si>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</si>
  <si>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</si>
  <si>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</si>
  <si>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</si>
  <si>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</si>
  <si>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</si>
  <si>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</si>
  <si>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</si>
  <si>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</si>
  <si>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</si>
  <si>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</si>
  <si>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</si>
  <si>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</si>
  <si>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</si>
  <si>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</si>
  <si>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</si>
  <si>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</si>
  <si>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</si>
  <si>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</si>
  <si>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</si>
  <si>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</si>
  <si>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</si>
  <si>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</si>
  <si>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</si>
  <si>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</si>
  <si>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</si>
  <si>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</si>
  <si>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</si>
  <si>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</si>
  <si>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</si>
  <si>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</si>
  <si>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</si>
  <si>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</si>
  <si>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</si>
  <si>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</si>
  <si>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</si>
  <si>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</si>
  <si>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</si>
  <si>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</si>
  <si>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</si>
  <si>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</si>
  <si>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</si>
  <si>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</si>
  <si>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</si>
  <si>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</si>
  <si>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</si>
  <si>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</si>
  <si>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</si>
  <si>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</si>
  <si>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</si>
  <si>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</si>
  <si>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</si>
  <si>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</si>
  <si>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</si>
  <si>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</si>
  <si>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</si>
  <si>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</si>
  <si>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</si>
  <si>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</si>
  <si>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</si>
  <si>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</si>
  <si>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</si>
  <si>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</si>
  <si>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</si>
  <si>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</si>
  <si>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</si>
  <si>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</si>
  <si>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</si>
  <si>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</si>
  <si>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</si>
  <si>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</si>
  <si>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</si>
  <si>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</si>
  <si>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</si>
  <si>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</si>
  <si>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</si>
  <si>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</si>
  <si>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</si>
  <si>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</si>
  <si>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</si>
  <si>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</si>
  <si>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</si>
  <si>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</si>
  <si>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</si>
  <si>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</si>
  <si>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</si>
  <si>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</si>
  <si>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</si>
  <si>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</si>
  <si>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</si>
  <si>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</si>
  <si>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</si>
  <si>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</si>
  <si>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</si>
  <si>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</si>
  <si>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</si>
  <si>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</si>
  <si>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</si>
  <si>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</si>
  <si>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</si>
  <si>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</si>
  <si>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</si>
  <si>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</si>
  <si>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</si>
  <si>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</si>
  <si>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</si>
  <si>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</si>
  <si>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</si>
  <si>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</si>
  <si>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</si>
  <si>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</si>
  <si>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</si>
  <si>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</si>
  <si>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</si>
  <si>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</si>
  <si>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</si>
  <si>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</si>
  <si>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</si>
  <si>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</si>
  <si>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</si>
  <si>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</si>
  <si>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</si>
  <si>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</si>
  <si>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</si>
  <si>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</si>
  <si>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</si>
  <si>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</si>
  <si>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</si>
  <si>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</si>
  <si>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</si>
  <si>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</si>
  <si>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</si>
  <si>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</si>
  <si>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</si>
  <si>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</si>
  <si>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</si>
  <si>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</si>
  <si>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</si>
  <si>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</si>
  <si>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</si>
  <si>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</si>
  <si>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</si>
  <si>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</si>
  <si>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</si>
  <si>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</si>
  <si>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</si>
  <si>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</si>
  <si>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</si>
  <si>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</si>
  <si>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</si>
  <si>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</si>
  <si>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</si>
  <si>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</si>
  <si>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</si>
  <si>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</si>
  <si>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</si>
  <si>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</si>
  <si>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</si>
  <si>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</si>
  <si>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</si>
  <si>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</si>
  <si>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</si>
  <si>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</si>
  <si>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</si>
  <si>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</si>
  <si>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</si>
  <si>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</si>
  <si>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</si>
  <si>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</si>
  <si>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</si>
  <si>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</si>
  <si>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</si>
  <si>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</si>
  <si>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</si>
  <si>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</si>
  <si>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</si>
  <si>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</si>
  <si>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</si>
  <si>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</si>
  <si>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</si>
  <si>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</si>
  <si>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</si>
  <si>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</si>
  <si>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</si>
  <si>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</si>
  <si>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</si>
  <si>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</si>
  <si>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</si>
  <si>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</si>
  <si>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</si>
  <si>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</si>
  <si>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</si>
  <si>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</si>
  <si>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</si>
  <si>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</si>
  <si>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</si>
  <si>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</si>
  <si>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</si>
  <si>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</si>
  <si>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</si>
  <si>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</si>
  <si>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</si>
  <si>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</si>
  <si>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</si>
  <si>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</si>
  <si>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</si>
  <si>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</si>
  <si>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</si>
  <si>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</si>
  <si>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</si>
  <si>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</si>
  <si>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</si>
  <si>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</si>
  <si>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</si>
  <si>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</si>
  <si>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</si>
  <si>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</si>
  <si>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</si>
  <si>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</si>
  <si>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</si>
  <si>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</si>
  <si>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</si>
  <si>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</si>
  <si>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</si>
  <si>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</si>
  <si>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</si>
  <si>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</si>
  <si>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</si>
  <si>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</si>
  <si>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</si>
  <si>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</si>
  <si>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</si>
  <si>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</si>
  <si>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</si>
  <si>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</si>
  <si>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</si>
  <si>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</si>
  <si>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</si>
  <si>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</si>
  <si>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</si>
  <si>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</si>
  <si>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</si>
  <si>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</si>
  <si>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</si>
  <si>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</si>
  <si>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</si>
  <si>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</si>
  <si>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</si>
  <si>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</si>
  <si>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</si>
  <si>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</si>
  <si>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</si>
  <si>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</si>
  <si>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</si>
  <si>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</si>
  <si>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</si>
  <si>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</si>
  <si>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</si>
  <si>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</si>
  <si>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</si>
  <si>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</si>
  <si>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</si>
  <si>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</si>
  <si>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</si>
  <si>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</si>
  <si>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</si>
  <si>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</si>
  <si>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</si>
  <si>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</si>
  <si>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</si>
  <si>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</si>
  <si>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</si>
  <si>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</si>
  <si>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</si>
  <si>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</si>
  <si>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</si>
  <si>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</si>
  <si>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</si>
  <si>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</si>
  <si>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</si>
  <si>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</si>
  <si>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</si>
  <si>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</si>
  <si>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</si>
  <si>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</si>
  <si>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</si>
  <si>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</si>
  <si>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</si>
  <si>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</si>
  <si>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</si>
  <si>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</si>
  <si>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</si>
  <si>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</si>
  <si>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</si>
  <si>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</si>
  <si>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</si>
  <si>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</si>
  <si>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</si>
  <si>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</si>
  <si>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</si>
  <si>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</si>
  <si>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</si>
  <si>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</si>
  <si>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</si>
  <si>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</si>
  <si>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</si>
  <si>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</si>
  <si>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</si>
  <si>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</si>
  <si>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</si>
  <si>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</si>
  <si>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</si>
  <si>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</si>
  <si>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</si>
  <si>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</si>
  <si>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</si>
  <si>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</si>
  <si>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</si>
  <si>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</si>
  <si>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</si>
  <si>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</si>
  <si>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</si>
  <si>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</si>
  <si>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</si>
  <si>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</si>
  <si>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</si>
  <si>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</si>
  <si>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</si>
  <si>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</si>
  <si>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</si>
  <si>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</si>
  <si>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</si>
  <si>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</si>
  <si>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</si>
  <si>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</si>
  <si>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</si>
  <si>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</si>
  <si>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</si>
  <si>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</si>
  <si>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</si>
  <si>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</si>
  <si>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</si>
  <si>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</si>
  <si>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</si>
  <si>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</si>
  <si>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</si>
  <si>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</si>
  <si>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</si>
  <si>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</si>
  <si>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</si>
  <si>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</si>
  <si>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</si>
  <si>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</si>
  <si>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</si>
  <si>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</si>
  <si>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</si>
  <si>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</si>
  <si>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</si>
  <si>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</si>
  <si>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</si>
  <si>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</si>
  <si>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</si>
  <si>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</si>
  <si>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</si>
  <si>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</si>
  <si>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</si>
  <si>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</si>
  <si>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</si>
  <si>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</si>
  <si>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</si>
  <si>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</si>
  <si>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</si>
  <si>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</si>
  <si>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</si>
  <si>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</si>
  <si>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</si>
  <si>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</si>
  <si>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</si>
  <si>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</si>
  <si>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</si>
  <si>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</si>
  <si>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</si>
  <si>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</si>
  <si>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</si>
  <si>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</si>
  <si>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</si>
  <si>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</si>
  <si>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</si>
  <si>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</si>
  <si>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</si>
  <si>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</si>
  <si>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</si>
  <si>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</si>
  <si>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</si>
  <si>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</si>
  <si>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</si>
  <si>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</si>
  <si>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</si>
  <si>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</si>
  <si>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</si>
  <si>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</si>
  <si>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</si>
  <si>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</si>
  <si>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</si>
  <si>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</si>
  <si>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</si>
  <si>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</si>
  <si>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</si>
  <si>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</si>
  <si>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</si>
  <si>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</si>
  <si>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</si>
  <si>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</si>
  <si>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</si>
  <si>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</si>
  <si>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</si>
  <si>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</si>
  <si>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</si>
  <si>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</si>
  <si>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</si>
  <si>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</si>
  <si>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</si>
  <si>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</si>
  <si>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</si>
  <si>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</si>
  <si>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</si>
  <si>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</si>
  <si>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</si>
  <si>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</si>
  <si>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</si>
  <si>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</si>
  <si>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</si>
  <si>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</si>
  <si>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</si>
  <si>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</si>
  <si>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</si>
  <si>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</si>
  <si>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</si>
  <si>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</si>
  <si>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</si>
  <si>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</si>
  <si>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</si>
  <si>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</si>
  <si>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</si>
  <si>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</si>
  <si>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</si>
  <si>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</si>
  <si>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</si>
  <si>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</si>
  <si>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</si>
  <si>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</si>
  <si>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</si>
  <si>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</si>
  <si>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</si>
  <si>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</si>
  <si>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</si>
  <si>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</si>
  <si>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</si>
  <si>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</si>
  <si>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</si>
  <si>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</si>
  <si>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</si>
  <si>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</si>
  <si>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</si>
  <si>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</si>
  <si>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</si>
  <si>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</si>
  <si>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</si>
  <si>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</si>
  <si>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</si>
  <si>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</si>
  <si>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</si>
  <si>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</si>
  <si>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</si>
  <si>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</si>
  <si>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</si>
  <si>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</si>
  <si>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</si>
  <si>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</si>
  <si>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</si>
  <si>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</si>
  <si>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</si>
  <si>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</si>
  <si>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</si>
  <si>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</si>
  <si>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</si>
  <si>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</si>
  <si>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</si>
  <si>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</si>
  <si>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</si>
  <si>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</si>
  <si>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</si>
  <si>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</si>
  <si>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</si>
  <si>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</si>
  <si>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</si>
  <si>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</si>
  <si>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</si>
  <si>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</si>
  <si>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</si>
  <si>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</si>
  <si>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</si>
  <si>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</si>
  <si>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</si>
  <si>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</si>
  <si>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</si>
  <si>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</si>
  <si>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</si>
  <si>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</si>
  <si>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</si>
  <si>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</si>
  <si>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</si>
  <si>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</si>
  <si>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</si>
  <si>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</si>
  <si>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</si>
  <si>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</si>
  <si>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</si>
  <si>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</si>
  <si>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</si>
  <si>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</si>
  <si>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</si>
  <si>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</si>
  <si>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</si>
  <si>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</si>
  <si>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</si>
  <si>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</si>
  <si>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</si>
  <si>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</si>
  <si>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</si>
  <si>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</si>
  <si>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</si>
  <si>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</si>
  <si>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</si>
  <si>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</si>
  <si>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</si>
  <si>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</si>
  <si>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KONSTRUKSI JARINGAN 3 PHASE</t>
  </si>
  <si>
    <t>CJ6-T</t>
  </si>
  <si>
    <t>Trafo 1 Fasa CSP 50 KVA (G105, G106, G136)</t>
  </si>
  <si>
    <t>NFA2X-T 2 x 70 + N 50 mm²</t>
  </si>
  <si>
    <t>Sepatu Kabel AL/CU Ring-70 mm²</t>
  </si>
  <si>
    <t>Pemasangan APP 1 Fasa Di Bangunan</t>
  </si>
  <si>
    <t>Daya 11.000 VA</t>
  </si>
  <si>
    <t>CM5-9</t>
  </si>
  <si>
    <t>CJ5-T</t>
  </si>
  <si>
    <t>C12-200</t>
  </si>
  <si>
    <t>CG105</t>
  </si>
  <si>
    <t>B2</t>
  </si>
  <si>
    <t>MJ6-T</t>
  </si>
  <si>
    <t>KOORDINAT : -6.778550, 110.621719</t>
  </si>
  <si>
    <t>ALFAMART WEDUNG : 23 KVA</t>
  </si>
  <si>
    <t>BALAIDESA : 5.5</t>
  </si>
  <si>
    <t>SMART TELKOM : 11 KVA</t>
  </si>
  <si>
    <t>SD : 3.5 + 4.4</t>
  </si>
  <si>
    <t>LAS : 11</t>
  </si>
  <si>
    <t>IOH BUNGO WEDUNG</t>
  </si>
  <si>
    <t>BUNGO RT 7 RW 1 DS BUNGO WEDUNG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</si>
</sst>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43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43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168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6" fillId="0" borderId="0" applyFont="0" applyFill="0" applyBorder="0" applyAlignment="0" applyProtection="0"/>
    <xf numFmtId="18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204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5" fontId="35" fillId="0" borderId="3"/>
    <xf numFmtId="185" fontId="21" fillId="0" borderId="3"/>
    <xf numFmtId="42" fontId="22" fillId="0" borderId="0" applyFont="0" applyFill="0" applyBorder="0" applyAlignment="0" applyProtection="0"/>
    <xf numFmtId="42" fontId="47" fillId="0" borderId="0" applyFont="0" applyFill="0" applyBorder="0" applyAlignment="0" applyProtection="0"/>
    <xf numFmtId="172" fontId="35" fillId="0" borderId="0" applyFont="0" applyFill="0" applyBorder="0" applyAlignment="0" applyProtection="0"/>
    <xf numFmtId="172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69" fillId="0" borderId="0" applyFont="0" applyFill="0" applyBorder="0" applyAlignment="0" applyProtection="0"/>
    <xf numFmtId="187" fontId="71" fillId="0" borderId="0">
      <protection locked="0"/>
    </xf>
    <xf numFmtId="14" fontId="63" fillId="0" borderId="0" applyFill="0" applyBorder="0" applyAlignment="0"/>
    <xf numFmtId="188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89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0" fontId="76" fillId="0" borderId="0">
      <protection locked="0"/>
    </xf>
    <xf numFmtId="190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1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2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21" fillId="0" borderId="0"/>
    <xf numFmtId="192" fontId="35" fillId="0" borderId="0"/>
    <xf numFmtId="171" fontId="82" fillId="0" borderId="0"/>
    <xf numFmtId="171" fontId="83" fillId="0" borderId="0"/>
    <xf numFmtId="171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3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1" fontId="83" fillId="0" borderId="0"/>
    <xf numFmtId="0" fontId="83" fillId="0" borderId="0"/>
    <xf numFmtId="194" fontId="83" fillId="0" borderId="0"/>
    <xf numFmtId="195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4" fontId="83" fillId="0" borderId="0"/>
    <xf numFmtId="0" fontId="83" fillId="0" borderId="0"/>
    <xf numFmtId="0" fontId="35" fillId="0" borderId="0"/>
    <xf numFmtId="0" fontId="21" fillId="0" borderId="0"/>
    <xf numFmtId="181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7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6" fontId="83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3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3" fontId="42" fillId="0" borderId="0"/>
    <xf numFmtId="193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5" fontId="35" fillId="0" borderId="0" applyFont="0" applyFill="0" applyBorder="0" applyAlignment="0" applyProtection="0"/>
    <xf numFmtId="175" fontId="21" fillId="0" borderId="0" applyFont="0" applyFill="0" applyBorder="0" applyAlignment="0" applyProtection="0"/>
    <xf numFmtId="199" fontId="35" fillId="0" borderId="0" applyFont="0" applyFill="0" applyBorder="0" applyAlignment="0" applyProtection="0"/>
    <xf numFmtId="199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3" fillId="0" borderId="0"/>
    <xf numFmtId="200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1" fontId="35" fillId="0" borderId="0" applyFill="0" applyBorder="0" applyAlignment="0"/>
    <xf numFmtId="201" fontId="21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8" fillId="0" borderId="0"/>
    <xf numFmtId="165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165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4" fillId="0" borderId="0"/>
    <xf numFmtId="165" fontId="21" fillId="0" borderId="0" applyFont="0" applyFill="0" applyBorder="0" applyAlignment="0" applyProtection="0"/>
    <xf numFmtId="0" fontId="4" fillId="0" borderId="0"/>
    <xf numFmtId="166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15" fillId="0" borderId="0" applyFont="0" applyFill="0" applyBorder="0" applyAlignment="0" applyProtection="0"/>
    <xf numFmtId="42" fontId="15" fillId="0" borderId="0" applyFont="0" applyFill="0" applyBorder="0" applyAlignment="0" applyProtection="0"/>
    <xf numFmtId="42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166" fontId="21" fillId="0" borderId="0" applyFont="0" applyFill="0" applyBorder="0" applyAlignment="0" applyProtection="0"/>
  </cellStyleXfs>
  <cellXfs count="716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41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41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41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43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8" fontId="44" fillId="0" borderId="0" xfId="714" applyFont="1" applyFill="1" applyAlignment="1">
      <alignment horizontal="center" wrapText="1"/>
    </xf>
    <xf numFmtId="168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8" fontId="44" fillId="0" borderId="21" xfId="715" applyNumberFormat="1" applyFont="1" applyFill="1" applyBorder="1" applyAlignment="1">
      <alignment horizontal="center" vertical="center" wrapText="1"/>
    </xf>
    <xf numFmtId="168" fontId="44" fillId="0" borderId="21" xfId="714" applyFont="1" applyFill="1" applyBorder="1" applyAlignment="1">
      <alignment horizontal="center" vertical="center" wrapText="1"/>
    </xf>
    <xf numFmtId="168" fontId="44" fillId="0" borderId="33" xfId="714" applyFont="1" applyFill="1" applyBorder="1" applyAlignment="1">
      <alignment horizontal="center" vertical="center" wrapText="1"/>
    </xf>
    <xf numFmtId="43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43" fontId="43" fillId="0" borderId="0" xfId="1615" applyNumberFormat="1" applyFont="1" applyAlignment="1">
      <alignment horizontal="left" vertical="center"/>
    </xf>
    <xf numFmtId="43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6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41" fontId="95" fillId="0" borderId="0" xfId="1448" applyNumberFormat="1" applyFont="1" applyAlignment="1">
      <alignment wrapText="1"/>
    </xf>
    <xf numFmtId="41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8" fontId="44" fillId="0" borderId="21" xfId="717" applyNumberFormat="1" applyFont="1" applyFill="1" applyBorder="1" applyAlignment="1" applyProtection="1">
      <alignment horizontal="center" vertical="center" wrapText="1"/>
    </xf>
    <xf numFmtId="41" fontId="44" fillId="0" borderId="21" xfId="1451" applyNumberFormat="1" applyFont="1" applyBorder="1" applyAlignment="1">
      <alignment horizontal="center" vertical="center" wrapText="1"/>
    </xf>
    <xf numFmtId="168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8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8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8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43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41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8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2" fillId="0" borderId="0" xfId="1538"/>
    <xf numFmtId="43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43" fontId="0" fillId="0" borderId="3" xfId="1026" applyFont="1" applyFill="1" applyBorder="1" applyProtection="1"/>
    <xf numFmtId="43" fontId="112" fillId="0" borderId="3" xfId="1538" applyNumberFormat="1" applyBorder="1"/>
    <xf numFmtId="43" fontId="140" fillId="0" borderId="3" xfId="1026" applyFont="1" applyBorder="1" applyProtection="1"/>
    <xf numFmtId="43" fontId="0" fillId="0" borderId="3" xfId="1026" applyFont="1" applyBorder="1" applyProtection="1"/>
    <xf numFmtId="43" fontId="128" fillId="0" borderId="3" xfId="1538" applyNumberFormat="1" applyFont="1" applyBorder="1"/>
    <xf numFmtId="0" fontId="61" fillId="0" borderId="3" xfId="1538" applyFont="1" applyBorder="1"/>
    <xf numFmtId="41" fontId="112" fillId="0" borderId="3" xfId="1538" applyNumberFormat="1" applyBorder="1"/>
    <xf numFmtId="43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43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43" fontId="49" fillId="0" borderId="0" xfId="1538" applyNumberFormat="1" applyFont="1"/>
    <xf numFmtId="0" fontId="112" fillId="29" borderId="3" xfId="1538" applyFill="1" applyBorder="1"/>
    <xf numFmtId="168" fontId="112" fillId="29" borderId="3" xfId="1538" applyNumberFormat="1" applyFill="1" applyBorder="1" applyAlignment="1">
      <alignment horizontal="right"/>
    </xf>
    <xf numFmtId="166" fontId="112" fillId="0" borderId="0" xfId="1538" applyNumberFormat="1"/>
    <xf numFmtId="43" fontId="112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43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6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41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43" fontId="141" fillId="40" borderId="85" xfId="2672" applyFont="1" applyFill="1" applyBorder="1" applyAlignment="1" applyProtection="1">
      <alignment horizontal="right" vertical="center" wrapText="1"/>
      <protection locked="0"/>
    </xf>
    <xf numFmtId="43" fontId="141" fillId="40" borderId="87" xfId="2672" applyFont="1" applyFill="1" applyBorder="1" applyAlignment="1" applyProtection="1">
      <alignment horizontal="right" vertical="center"/>
      <protection locked="0"/>
    </xf>
    <xf numFmtId="168" fontId="141" fillId="40" borderId="87" xfId="2672" applyNumberFormat="1" applyFont="1" applyFill="1" applyBorder="1" applyAlignment="1" applyProtection="1">
      <alignment horizontal="right" vertical="center"/>
      <protection locked="0"/>
    </xf>
    <xf numFmtId="168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165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6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8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8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vertical="center"/>
    </xf>
    <xf numFmtId="0" fontId="44" fillId="0" borderId="21" xfId="1450" applyFont="1" applyBorder="1" applyAlignment="1">
      <alignment vertical="center" wrapText="1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76" fillId="33" borderId="0" xfId="0" applyFont="1" applyFill="1" applyAlignment="1">
      <alignment horizontal="left"/>
    </xf>
    <xf numFmtId="0" fontId="115" fillId="33" borderId="0" xfId="0" applyFont="1" applyFill="1" applyAlignment="1">
      <alignment horizontal="left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168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166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166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166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horizontal="center" vertical="center"/>
    </xf>
    <xf numFmtId="0" fontId="112" fillId="38" borderId="3" xfId="1538" applyFill="1" applyBorder="1" applyAlignment="1">
      <alignment horizontal="center" vertical="center" wrapText="1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7" fontId="120" fillId="0" borderId="73" xfId="1450" applyNumberFormat="1" applyFont="1" applyBorder="1" applyAlignment="1">
      <alignment horizontal="left" vertical="center"/>
    </xf>
    <xf numFmtId="207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49" fontId="115" fillId="33" borderId="50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92" fillId="33" borderId="61" xfId="0" applyFont="1" applyFill="1" applyBorder="1" applyAlignment="1">
      <alignment horizontal="left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115" fillId="33" borderId="64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9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9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123</xdr:row>
      <xdr:rowOff>81642</xdr:rowOff>
    </xdr:from>
    <xdr:to>
      <xdr:col>12</xdr:col>
      <xdr:colOff>41108</xdr:colOff>
      <xdr:row>126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202407</xdr:colOff>
      <xdr:row>14</xdr:row>
      <xdr:rowOff>17859</xdr:rowOff>
    </xdr:from>
    <xdr:to>
      <xdr:col>10</xdr:col>
      <xdr:colOff>231913</xdr:colOff>
      <xdr:row>43</xdr:row>
      <xdr:rowOff>8282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749FE12-F2B0-7206-D64B-8504F4AFE3A4}"/>
            </a:ext>
          </a:extLst>
        </xdr:cNvPr>
        <xdr:cNvCxnSpPr>
          <a:cxnSpLocks/>
        </xdr:cNvCxnSpPr>
      </xdr:nvCxnSpPr>
      <xdr:spPr>
        <a:xfrm flipH="1" flipV="1">
          <a:off x="3554016" y="2202656"/>
          <a:ext cx="29506" cy="4479079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6124" y="819779"/>
          <a:ext cx="1489344" cy="177913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14557</xdr:colOff>
      <xdr:row>32</xdr:row>
      <xdr:rowOff>135915</xdr:rowOff>
    </xdr:from>
    <xdr:to>
      <xdr:col>11</xdr:col>
      <xdr:colOff>99457</xdr:colOff>
      <xdr:row>33</xdr:row>
      <xdr:rowOff>84292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B69D30DA-A132-2B7B-A535-9D04829B9C17}"/>
            </a:ext>
          </a:extLst>
        </xdr:cNvPr>
        <xdr:cNvGrpSpPr/>
      </xdr:nvGrpSpPr>
      <xdr:grpSpPr>
        <a:xfrm>
          <a:off x="3752298" y="5003518"/>
          <a:ext cx="84900" cy="9946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10FC9EAF-4C13-BE96-48C7-BEA5F8DEC6E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F4EC4E9C-0A2B-CDBA-245B-680EF392FF94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F1FE10C7-5C4C-9151-893F-994B5EEE6665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339451</xdr:colOff>
      <xdr:row>33</xdr:row>
      <xdr:rowOff>147465</xdr:rowOff>
    </xdr:from>
    <xdr:to>
      <xdr:col>6</xdr:col>
      <xdr:colOff>312122</xdr:colOff>
      <xdr:row>35</xdr:row>
      <xdr:rowOff>144212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1786060" y="5261199"/>
          <a:ext cx="353671" cy="306310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10</xdr:col>
      <xdr:colOff>251863</xdr:colOff>
      <xdr:row>32</xdr:row>
      <xdr:rowOff>35496</xdr:rowOff>
    </xdr:from>
    <xdr:to>
      <xdr:col>11</xdr:col>
      <xdr:colOff>13738</xdr:colOff>
      <xdr:row>33</xdr:row>
      <xdr:rowOff>35496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3D9459FA-1445-4DA4-B88B-3D1612AAD79E}"/>
            </a:ext>
          </a:extLst>
        </xdr:cNvPr>
        <xdr:cNvSpPr/>
      </xdr:nvSpPr>
      <xdr:spPr>
        <a:xfrm>
          <a:off x="3604663" y="4931346"/>
          <a:ext cx="142875" cy="15240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371772</xdr:colOff>
      <xdr:row>15</xdr:row>
      <xdr:rowOff>100950</xdr:rowOff>
    </xdr:from>
    <xdr:to>
      <xdr:col>11</xdr:col>
      <xdr:colOff>79138</xdr:colOff>
      <xdr:row>16</xdr:row>
      <xdr:rowOff>40308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108E7204-E74D-4C02-BB85-9256A527ECA6}"/>
            </a:ext>
          </a:extLst>
        </xdr:cNvPr>
        <xdr:cNvGrpSpPr/>
      </xdr:nvGrpSpPr>
      <xdr:grpSpPr>
        <a:xfrm>
          <a:off x="3728513" y="2406657"/>
          <a:ext cx="88366" cy="9044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58BE2DCC-E1BB-4983-FECB-918E0615DF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1747A3E-9350-F373-C115-75007E2F6305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CEF1296-D2B3-02AA-DD18-3B4605E4D277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353363</xdr:colOff>
      <xdr:row>17</xdr:row>
      <xdr:rowOff>122278</xdr:rowOff>
    </xdr:from>
    <xdr:to>
      <xdr:col>11</xdr:col>
      <xdr:colOff>161644</xdr:colOff>
      <xdr:row>19</xdr:row>
      <xdr:rowOff>150786</xdr:rowOff>
    </xdr:to>
    <xdr:sp macro="" textlink="">
      <xdr:nvSpPr>
        <xdr:cNvPr id="219" name="Rectangle 218">
          <a:extLst>
            <a:ext uri="{FF2B5EF4-FFF2-40B4-BE49-F238E27FC236}">
              <a16:creationId xmlns:a16="http://schemas.microsoft.com/office/drawing/2014/main" id="{A6EBD15B-A1FB-4B76-BBC5-C4DCE8FBB262}"/>
            </a:ext>
          </a:extLst>
        </xdr:cNvPr>
        <xdr:cNvSpPr/>
      </xdr:nvSpPr>
      <xdr:spPr>
        <a:xfrm rot="4232260">
          <a:off x="3630578" y="2845813"/>
          <a:ext cx="338070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7</xdr:col>
      <xdr:colOff>360744</xdr:colOff>
      <xdr:row>32</xdr:row>
      <xdr:rowOff>27157</xdr:rowOff>
    </xdr:from>
    <xdr:to>
      <xdr:col>8</xdr:col>
      <xdr:colOff>314762</xdr:colOff>
      <xdr:row>33</xdr:row>
      <xdr:rowOff>69351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F9B7247B-60D1-41E3-8E63-C456F49423A4}"/>
            </a:ext>
          </a:extLst>
        </xdr:cNvPr>
        <xdr:cNvSpPr/>
      </xdr:nvSpPr>
      <xdr:spPr>
        <a:xfrm rot="21345887">
          <a:off x="2569353" y="4986110"/>
          <a:ext cx="335018" cy="19697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7</xdr:col>
      <xdr:colOff>171710</xdr:colOff>
      <xdr:row>32</xdr:row>
      <xdr:rowOff>115401</xdr:rowOff>
    </xdr:from>
    <xdr:to>
      <xdr:col>9</xdr:col>
      <xdr:colOff>148829</xdr:colOff>
      <xdr:row>32</xdr:row>
      <xdr:rowOff>121355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236B0FE2-5DD7-4CB9-8C1D-EE401CA27C0B}"/>
            </a:ext>
          </a:extLst>
        </xdr:cNvPr>
        <xdr:cNvCxnSpPr>
          <a:stCxn id="4" idx="2"/>
          <a:endCxn id="22" idx="6"/>
        </xdr:cNvCxnSpPr>
      </xdr:nvCxnSpPr>
      <xdr:spPr>
        <a:xfrm flipH="1">
          <a:off x="2380319" y="5074354"/>
          <a:ext cx="739119" cy="5954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188165</xdr:colOff>
      <xdr:row>12</xdr:row>
      <xdr:rowOff>113567</xdr:rowOff>
    </xdr:from>
    <xdr:to>
      <xdr:col>13</xdr:col>
      <xdr:colOff>289322</xdr:colOff>
      <xdr:row>12</xdr:row>
      <xdr:rowOff>114300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24F7D7FD-E129-437B-94A6-7FC88BFBEB92}"/>
            </a:ext>
          </a:extLst>
        </xdr:cNvPr>
        <xdr:cNvCxnSpPr/>
      </xdr:nvCxnSpPr>
      <xdr:spPr>
        <a:xfrm flipH="1" flipV="1">
          <a:off x="2777774" y="1982848"/>
          <a:ext cx="2006157" cy="733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15</xdr:row>
      <xdr:rowOff>148020</xdr:rowOff>
    </xdr:from>
    <xdr:to>
      <xdr:col>10</xdr:col>
      <xdr:colOff>371772</xdr:colOff>
      <xdr:row>20</xdr:row>
      <xdr:rowOff>85170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DA17C0A4-5D98-419F-BCC0-3366D53336A8}"/>
            </a:ext>
          </a:extLst>
        </xdr:cNvPr>
        <xdr:cNvCxnSpPr>
          <a:stCxn id="12" idx="2"/>
          <a:endCxn id="191" idx="2"/>
        </xdr:cNvCxnSpPr>
      </xdr:nvCxnSpPr>
      <xdr:spPr>
        <a:xfrm flipV="1">
          <a:off x="3713559" y="2487598"/>
          <a:ext cx="9822" cy="711056"/>
        </a:xfrm>
        <a:prstGeom prst="line">
          <a:avLst/>
        </a:prstGeom>
        <a:ln w="635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361950</xdr:colOff>
      <xdr:row>20</xdr:row>
      <xdr:rowOff>38100</xdr:rowOff>
    </xdr:from>
    <xdr:to>
      <xdr:col>11</xdr:col>
      <xdr:colOff>69316</xdr:colOff>
      <xdr:row>20</xdr:row>
      <xdr:rowOff>132239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8C9E038-C902-4ACC-9D63-A00DEE40E48D}"/>
            </a:ext>
          </a:extLst>
        </xdr:cNvPr>
        <xdr:cNvGrpSpPr/>
      </xdr:nvGrpSpPr>
      <xdr:grpSpPr>
        <a:xfrm>
          <a:off x="3718691" y="3099238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" name="Oval 11">
            <a:extLst>
              <a:ext uri="{FF2B5EF4-FFF2-40B4-BE49-F238E27FC236}">
                <a16:creationId xmlns:a16="http://schemas.microsoft.com/office/drawing/2014/main" id="{6ECA31D9-50EE-938B-0191-36859A81796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393F4F1D-10EB-4E74-D042-8C54B362DCBB}"/>
              </a:ext>
            </a:extLst>
          </xdr:cNvPr>
          <xdr:cNvCxnSpPr>
            <a:stCxn id="12" idx="1"/>
            <a:endCxn id="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D114DFEE-5D4E-90C3-52F8-376BEDCFF5B9}"/>
              </a:ext>
            </a:extLst>
          </xdr:cNvPr>
          <xdr:cNvCxnSpPr>
            <a:stCxn id="12" idx="3"/>
            <a:endCxn id="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13</xdr:col>
      <xdr:colOff>123081</xdr:colOff>
      <xdr:row>40</xdr:row>
      <xdr:rowOff>69272</xdr:rowOff>
    </xdr:from>
    <xdr:to>
      <xdr:col>21</xdr:col>
      <xdr:colOff>314201</xdr:colOff>
      <xdr:row>53</xdr:row>
      <xdr:rowOff>150311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BFC74C-2FDA-48EC-8E54-B7C1743BF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3126" y="6286499"/>
          <a:ext cx="3239120" cy="2193857"/>
        </a:xfrm>
        <a:prstGeom prst="rect">
          <a:avLst/>
        </a:prstGeom>
      </xdr:spPr>
    </xdr:pic>
    <xdr:clientData/>
  </xdr:twoCellAnchor>
  <xdr:twoCellAnchor>
    <xdr:from>
      <xdr:col>10</xdr:col>
      <xdr:colOff>371475</xdr:colOff>
      <xdr:row>25</xdr:row>
      <xdr:rowOff>142875</xdr:rowOff>
    </xdr:from>
    <xdr:to>
      <xdr:col>11</xdr:col>
      <xdr:colOff>78841</xdr:colOff>
      <xdr:row>26</xdr:row>
      <xdr:rowOff>84614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9B9CD3CD-7EFD-4296-9BF5-49577FDBEE42}"/>
            </a:ext>
          </a:extLst>
        </xdr:cNvPr>
        <xdr:cNvGrpSpPr/>
      </xdr:nvGrpSpPr>
      <xdr:grpSpPr>
        <a:xfrm>
          <a:off x="3728216" y="3959444"/>
          <a:ext cx="88366" cy="9282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id="{59ACDEDF-2813-FDD1-67B9-C7EF0AE40F5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37A9E697-A722-08E6-57EA-D35DA7A8CD6A}"/>
              </a:ext>
            </a:extLst>
          </xdr:cNvPr>
          <xdr:cNvCxnSpPr>
            <a:stCxn id="6" idx="1"/>
            <a:endCxn id="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79AB5597-E0AD-5D1B-8EAB-2C6C2593FFBD}"/>
              </a:ext>
            </a:extLst>
          </xdr:cNvPr>
          <xdr:cNvCxnSpPr>
            <a:stCxn id="6" idx="3"/>
            <a:endCxn id="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9525</xdr:colOff>
      <xdr:row>32</xdr:row>
      <xdr:rowOff>38100</xdr:rowOff>
    </xdr:from>
    <xdr:to>
      <xdr:col>11</xdr:col>
      <xdr:colOff>97891</xdr:colOff>
      <xdr:row>32</xdr:row>
      <xdr:rowOff>132239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98DF4D5D-E6E1-49FA-AF6B-D3E63B0AE466}"/>
            </a:ext>
          </a:extLst>
        </xdr:cNvPr>
        <xdr:cNvGrpSpPr/>
      </xdr:nvGrpSpPr>
      <xdr:grpSpPr>
        <a:xfrm>
          <a:off x="3747266" y="4905703"/>
          <a:ext cx="88366" cy="94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46ED4ABC-E282-9BF0-CF9B-71DC8E9C7DD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597CF762-A10A-3D71-8379-16980DF3868A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34FBC1D4-081F-73C0-70E7-9F400A3782AD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374891</xdr:colOff>
      <xdr:row>20</xdr:row>
      <xdr:rowOff>118453</xdr:rowOff>
    </xdr:from>
    <xdr:to>
      <xdr:col>11</xdr:col>
      <xdr:colOff>16565</xdr:colOff>
      <xdr:row>42</xdr:row>
      <xdr:rowOff>41413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33658574-09F7-44DA-BB3B-A386A974916C}"/>
            </a:ext>
          </a:extLst>
        </xdr:cNvPr>
        <xdr:cNvCxnSpPr>
          <a:endCxn id="12" idx="3"/>
        </xdr:cNvCxnSpPr>
      </xdr:nvCxnSpPr>
      <xdr:spPr>
        <a:xfrm flipH="1" flipV="1">
          <a:off x="3737630" y="3149888"/>
          <a:ext cx="22674" cy="3227721"/>
        </a:xfrm>
        <a:prstGeom prst="line">
          <a:avLst/>
        </a:prstGeom>
        <a:ln w="635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194072</xdr:colOff>
      <xdr:row>15</xdr:row>
      <xdr:rowOff>35718</xdr:rowOff>
    </xdr:from>
    <xdr:to>
      <xdr:col>10</xdr:col>
      <xdr:colOff>336947</xdr:colOff>
      <xdr:row>16</xdr:row>
      <xdr:rowOff>35718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7DB7045E-D48C-490B-85CC-37F458CEFFFE}"/>
            </a:ext>
          </a:extLst>
        </xdr:cNvPr>
        <xdr:cNvSpPr/>
      </xdr:nvSpPr>
      <xdr:spPr>
        <a:xfrm>
          <a:off x="3545681" y="2375296"/>
          <a:ext cx="142875" cy="154781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93179</xdr:colOff>
      <xdr:row>12</xdr:row>
      <xdr:rowOff>136405</xdr:rowOff>
    </xdr:from>
    <xdr:to>
      <xdr:col>13</xdr:col>
      <xdr:colOff>76614</xdr:colOff>
      <xdr:row>12</xdr:row>
      <xdr:rowOff>144688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D9D55B50-B0C0-4654-9822-FA92F28C4211}"/>
            </a:ext>
          </a:extLst>
        </xdr:cNvPr>
        <xdr:cNvCxnSpPr/>
      </xdr:nvCxnSpPr>
      <xdr:spPr>
        <a:xfrm flipH="1">
          <a:off x="2301788" y="2005686"/>
          <a:ext cx="2269435" cy="8283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66197</xdr:colOff>
      <xdr:row>16</xdr:row>
      <xdr:rowOff>26522</xdr:rowOff>
    </xdr:from>
    <xdr:to>
      <xdr:col>11</xdr:col>
      <xdr:colOff>69316</xdr:colOff>
      <xdr:row>20</xdr:row>
      <xdr:rowOff>85170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947F2A46-70CA-4102-A283-EE1CDBC90F9B}"/>
            </a:ext>
          </a:extLst>
        </xdr:cNvPr>
        <xdr:cNvCxnSpPr>
          <a:stCxn id="12" idx="6"/>
          <a:endCxn id="191" idx="5"/>
        </xdr:cNvCxnSpPr>
      </xdr:nvCxnSpPr>
      <xdr:spPr>
        <a:xfrm flipH="1" flipV="1">
          <a:off x="3798806" y="2520881"/>
          <a:ext cx="3119" cy="677773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69002</xdr:colOff>
      <xdr:row>20</xdr:row>
      <xdr:rowOff>118070</xdr:rowOff>
    </xdr:from>
    <xdr:to>
      <xdr:col>11</xdr:col>
      <xdr:colOff>90795</xdr:colOff>
      <xdr:row>42</xdr:row>
      <xdr:rowOff>148856</xdr:rowOff>
    </xdr:to>
    <xdr:cxnSp macro="">
      <xdr:nvCxnSpPr>
        <xdr:cNvPr id="64" name="Straight Connector 63">
          <a:extLst>
            <a:ext uri="{FF2B5EF4-FFF2-40B4-BE49-F238E27FC236}">
              <a16:creationId xmlns:a16="http://schemas.microsoft.com/office/drawing/2014/main" id="{734D343A-8282-4167-BDF3-FF8AF0D3E997}"/>
            </a:ext>
          </a:extLst>
        </xdr:cNvPr>
        <xdr:cNvCxnSpPr/>
      </xdr:nvCxnSpPr>
      <xdr:spPr>
        <a:xfrm flipH="1" flipV="1">
          <a:off x="3801611" y="3231554"/>
          <a:ext cx="21793" cy="3435974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364435</xdr:colOff>
      <xdr:row>22</xdr:row>
      <xdr:rowOff>82827</xdr:rowOff>
    </xdr:from>
    <xdr:to>
      <xdr:col>11</xdr:col>
      <xdr:colOff>172716</xdr:colOff>
      <xdr:row>24</xdr:row>
      <xdr:rowOff>111335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7CD2ACF5-0B52-4509-BB6A-574DFB45AF0F}"/>
            </a:ext>
          </a:extLst>
        </xdr:cNvPr>
        <xdr:cNvSpPr/>
      </xdr:nvSpPr>
      <xdr:spPr>
        <a:xfrm rot="5400000">
          <a:off x="3658474" y="3481136"/>
          <a:ext cx="326682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10</xdr:col>
      <xdr:colOff>367800</xdr:colOff>
      <xdr:row>28</xdr:row>
      <xdr:rowOff>57979</xdr:rowOff>
    </xdr:from>
    <xdr:to>
      <xdr:col>11</xdr:col>
      <xdr:colOff>176081</xdr:colOff>
      <xdr:row>30</xdr:row>
      <xdr:rowOff>94769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27086B3C-17D8-4839-87A8-3E04FCE6E5DF}"/>
            </a:ext>
          </a:extLst>
        </xdr:cNvPr>
        <xdr:cNvSpPr/>
      </xdr:nvSpPr>
      <xdr:spPr>
        <a:xfrm rot="5123478">
          <a:off x="3646826" y="4482296"/>
          <a:ext cx="334447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11</xdr:col>
      <xdr:colOff>0</xdr:colOff>
      <xdr:row>38</xdr:row>
      <xdr:rowOff>107674</xdr:rowOff>
    </xdr:from>
    <xdr:to>
      <xdr:col>11</xdr:col>
      <xdr:colOff>88366</xdr:colOff>
      <xdr:row>39</xdr:row>
      <xdr:rowOff>52726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7DA613D0-B7F0-429B-913F-B3ABF5470270}"/>
            </a:ext>
          </a:extLst>
        </xdr:cNvPr>
        <xdr:cNvGrpSpPr/>
      </xdr:nvGrpSpPr>
      <xdr:grpSpPr>
        <a:xfrm>
          <a:off x="3737741" y="5908071"/>
          <a:ext cx="88366" cy="9613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A1F2CB0C-8296-3D94-1BC2-EE7568D5125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60BEF747-7593-8736-4924-7D6955DB90EC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0F34AA78-AEC9-78AC-F185-A94B30378B20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372717</xdr:colOff>
      <xdr:row>35</xdr:row>
      <xdr:rowOff>49696</xdr:rowOff>
    </xdr:from>
    <xdr:to>
      <xdr:col>11</xdr:col>
      <xdr:colOff>180998</xdr:colOff>
      <xdr:row>37</xdr:row>
      <xdr:rowOff>61639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F33BEAF8-0824-42E0-821D-39FD998C894C}"/>
            </a:ext>
          </a:extLst>
        </xdr:cNvPr>
        <xdr:cNvSpPr/>
      </xdr:nvSpPr>
      <xdr:spPr>
        <a:xfrm rot="5123478">
          <a:off x="3666756" y="5377853"/>
          <a:ext cx="326682" cy="18928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////</a:t>
          </a:r>
        </a:p>
      </xdr:txBody>
    </xdr:sp>
    <xdr:clientData/>
  </xdr:twoCellAnchor>
  <xdr:twoCellAnchor>
    <xdr:from>
      <xdr:col>9</xdr:col>
      <xdr:colOff>148829</xdr:colOff>
      <xdr:row>32</xdr:row>
      <xdr:rowOff>65484</xdr:rowOff>
    </xdr:from>
    <xdr:to>
      <xdr:col>9</xdr:col>
      <xdr:colOff>237195</xdr:colOff>
      <xdr:row>33</xdr:row>
      <xdr:rowOff>10536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F31BE67C-E160-4C35-BC4B-E39A909EC9B3}"/>
            </a:ext>
          </a:extLst>
        </xdr:cNvPr>
        <xdr:cNvGrpSpPr/>
      </xdr:nvGrpSpPr>
      <xdr:grpSpPr>
        <a:xfrm>
          <a:off x="3124570" y="4933087"/>
          <a:ext cx="88366" cy="96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2635474F-EC9B-82F6-5EF4-27E5F17FE18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64564C70-4018-FF20-E66D-30766C91F5BC}"/>
              </a:ext>
            </a:extLst>
          </xdr:cNvPr>
          <xdr:cNvCxnSpPr>
            <a:stCxn id="4" idx="1"/>
            <a:endCxn id="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BA376B8A-6654-0CBC-A8CC-7F606477C6F3}"/>
              </a:ext>
            </a:extLst>
          </xdr:cNvPr>
          <xdr:cNvCxnSpPr>
            <a:stCxn id="4" idx="3"/>
            <a:endCxn id="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83344</xdr:colOff>
      <xdr:row>32</xdr:row>
      <xdr:rowOff>71438</xdr:rowOff>
    </xdr:from>
    <xdr:to>
      <xdr:col>7</xdr:col>
      <xdr:colOff>171710</xdr:colOff>
      <xdr:row>33</xdr:row>
      <xdr:rowOff>16490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F9373D2F-17A7-480B-AFA2-D7DAD2DDAB70}"/>
            </a:ext>
          </a:extLst>
        </xdr:cNvPr>
        <xdr:cNvGrpSpPr/>
      </xdr:nvGrpSpPr>
      <xdr:grpSpPr>
        <a:xfrm>
          <a:off x="2297085" y="4939041"/>
          <a:ext cx="88366" cy="9613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7B976676-C2C7-0A41-ABDD-C633E1BA0D2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7FB8FEC2-4AFD-62FD-9EC3-E2AB811D6714}"/>
              </a:ext>
            </a:extLst>
          </xdr:cNvPr>
          <xdr:cNvCxnSpPr>
            <a:stCxn id="22" idx="1"/>
            <a:endCxn id="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48AC7EED-D3BF-198C-AA67-3BF379410AAC}"/>
              </a:ext>
            </a:extLst>
          </xdr:cNvPr>
          <xdr:cNvCxnSpPr>
            <a:stCxn id="22" idx="3"/>
            <a:endCxn id="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336351</xdr:colOff>
      <xdr:row>33</xdr:row>
      <xdr:rowOff>145853</xdr:rowOff>
    </xdr:from>
    <xdr:to>
      <xdr:col>7</xdr:col>
      <xdr:colOff>241101</xdr:colOff>
      <xdr:row>39</xdr:row>
      <xdr:rowOff>116086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E48972FF-7DDE-4EC4-BA09-FCEF0A713DAE}"/>
            </a:ext>
          </a:extLst>
        </xdr:cNvPr>
        <xdr:cNvSpPr/>
      </xdr:nvSpPr>
      <xdr:spPr>
        <a:xfrm rot="5400000">
          <a:off x="1851421" y="5572126"/>
          <a:ext cx="910827" cy="285750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chemeClr val="tx1"/>
              </a:solidFill>
            </a:rPr>
            <a:t>SELEPAN</a:t>
          </a:r>
        </a:p>
      </xdr:txBody>
    </xdr:sp>
    <xdr:clientData/>
  </xdr:twoCellAnchor>
  <xdr:twoCellAnchor>
    <xdr:from>
      <xdr:col>9</xdr:col>
      <xdr:colOff>237195</xdr:colOff>
      <xdr:row>32</xdr:row>
      <xdr:rowOff>85170</xdr:rowOff>
    </xdr:from>
    <xdr:to>
      <xdr:col>11</xdr:col>
      <xdr:colOff>9525</xdr:colOff>
      <xdr:row>32</xdr:row>
      <xdr:rowOff>115401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4683183A-7082-4462-9165-0A4C1965043C}"/>
            </a:ext>
          </a:extLst>
        </xdr:cNvPr>
        <xdr:cNvCxnSpPr>
          <a:stCxn id="13" idx="2"/>
          <a:endCxn id="4" idx="6"/>
        </xdr:cNvCxnSpPr>
      </xdr:nvCxnSpPr>
      <xdr:spPr>
        <a:xfrm flipH="1">
          <a:off x="3207804" y="5044123"/>
          <a:ext cx="534330" cy="30231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285750</xdr:colOff>
      <xdr:row>32</xdr:row>
      <xdr:rowOff>11907</xdr:rowOff>
    </xdr:from>
    <xdr:to>
      <xdr:col>10</xdr:col>
      <xdr:colOff>239768</xdr:colOff>
      <xdr:row>33</xdr:row>
      <xdr:rowOff>54101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2D9DC07-7FE4-47D8-8918-187D20B1A4C3}"/>
            </a:ext>
          </a:extLst>
        </xdr:cNvPr>
        <xdr:cNvSpPr/>
      </xdr:nvSpPr>
      <xdr:spPr>
        <a:xfrm rot="21345887">
          <a:off x="3256359" y="4970860"/>
          <a:ext cx="335018" cy="19697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///</a:t>
          </a:r>
        </a:p>
      </xdr:txBody>
    </xdr:sp>
    <xdr:clientData/>
  </xdr:twoCellAnchor>
  <xdr:twoCellAnchor>
    <xdr:from>
      <xdr:col>11</xdr:col>
      <xdr:colOff>151377</xdr:colOff>
      <xdr:row>33</xdr:row>
      <xdr:rowOff>127186</xdr:rowOff>
    </xdr:from>
    <xdr:to>
      <xdr:col>12</xdr:col>
      <xdr:colOff>343131</xdr:colOff>
      <xdr:row>38</xdr:row>
      <xdr:rowOff>95250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5B123E80-7AA3-4586-91D6-898B445084BE}"/>
            </a:ext>
          </a:extLst>
        </xdr:cNvPr>
        <xdr:cNvSpPr/>
      </xdr:nvSpPr>
      <xdr:spPr>
        <a:xfrm>
          <a:off x="3883986" y="5240920"/>
          <a:ext cx="572754" cy="753877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>
              <a:solidFill>
                <a:srgbClr val="FF0000"/>
              </a:solidFill>
            </a:rPr>
            <a:t>1 C12-350</a:t>
          </a:r>
        </a:p>
        <a:p>
          <a:pPr algn="l"/>
          <a:r>
            <a:rPr lang="en-US" sz="60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600">
              <a:solidFill>
                <a:srgbClr val="FF0000"/>
              </a:solidFill>
            </a:rPr>
            <a:t>1 CG105</a:t>
          </a:r>
        </a:p>
        <a:p>
          <a:pPr algn="l"/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CM5-9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2 CJ6-T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CJ5-T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163712</xdr:colOff>
      <xdr:row>29</xdr:row>
      <xdr:rowOff>95250</xdr:rowOff>
    </xdr:from>
    <xdr:to>
      <xdr:col>13</xdr:col>
      <xdr:colOff>77392</xdr:colOff>
      <xdr:row>33</xdr:row>
      <xdr:rowOff>41671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3E3D9B1A-657D-4E17-B8AD-0404506C152A}"/>
            </a:ext>
          </a:extLst>
        </xdr:cNvPr>
        <xdr:cNvSpPr/>
      </xdr:nvSpPr>
      <xdr:spPr>
        <a:xfrm>
          <a:off x="3896321" y="4601766"/>
          <a:ext cx="675680" cy="553639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chemeClr val="tx1"/>
              </a:solidFill>
            </a:rPr>
            <a:t>ALFAMART</a:t>
          </a:r>
        </a:p>
      </xdr:txBody>
    </xdr:sp>
    <xdr:clientData/>
  </xdr:twoCellAnchor>
  <xdr:twoCellAnchor>
    <xdr:from>
      <xdr:col>10</xdr:col>
      <xdr:colOff>9216</xdr:colOff>
      <xdr:row>15</xdr:row>
      <xdr:rowOff>22199</xdr:rowOff>
    </xdr:from>
    <xdr:to>
      <xdr:col>10</xdr:col>
      <xdr:colOff>292326</xdr:colOff>
      <xdr:row>16</xdr:row>
      <xdr:rowOff>33768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E423A5B4-9E03-493D-BAD8-82D56B911D01}"/>
            </a:ext>
          </a:extLst>
        </xdr:cNvPr>
        <xdr:cNvSpPr/>
      </xdr:nvSpPr>
      <xdr:spPr>
        <a:xfrm rot="21344203">
          <a:off x="3360825" y="2361777"/>
          <a:ext cx="283110" cy="16635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3P</a:t>
          </a:r>
        </a:p>
      </xdr:txBody>
    </xdr:sp>
    <xdr:clientData/>
  </xdr:twoCellAnchor>
  <xdr:twoCellAnchor>
    <xdr:from>
      <xdr:col>10</xdr:col>
      <xdr:colOff>101203</xdr:colOff>
      <xdr:row>31</xdr:row>
      <xdr:rowOff>89297</xdr:rowOff>
    </xdr:from>
    <xdr:to>
      <xdr:col>11</xdr:col>
      <xdr:colOff>3313</xdr:colOff>
      <xdr:row>32</xdr:row>
      <xdr:rowOff>100866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C668619F-0AAE-41DF-9B9F-E24E99407B93}"/>
            </a:ext>
          </a:extLst>
        </xdr:cNvPr>
        <xdr:cNvSpPr/>
      </xdr:nvSpPr>
      <xdr:spPr>
        <a:xfrm rot="191508">
          <a:off x="3452812" y="4893469"/>
          <a:ext cx="283110" cy="166350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1P</a:t>
          </a:r>
        </a:p>
      </xdr:txBody>
    </xdr:sp>
    <xdr:clientData/>
  </xdr:twoCellAnchor>
  <xdr:twoCellAnchor>
    <xdr:from>
      <xdr:col>10</xdr:col>
      <xdr:colOff>375047</xdr:colOff>
      <xdr:row>32</xdr:row>
      <xdr:rowOff>17860</xdr:rowOff>
    </xdr:from>
    <xdr:to>
      <xdr:col>11</xdr:col>
      <xdr:colOff>154781</xdr:colOff>
      <xdr:row>32</xdr:row>
      <xdr:rowOff>134542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41C898C6-185D-232F-1765-7AF83F0C88EA}"/>
            </a:ext>
          </a:extLst>
        </xdr:cNvPr>
        <xdr:cNvGrpSpPr/>
      </xdr:nvGrpSpPr>
      <xdr:grpSpPr>
        <a:xfrm>
          <a:off x="3731788" y="4885463"/>
          <a:ext cx="160734" cy="116682"/>
          <a:chOff x="2589609" y="4191000"/>
          <a:chExt cx="178594" cy="152401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6E77F232-8BE1-47FD-8033-8DAFC9D28D6F}"/>
              </a:ext>
            </a:extLst>
          </xdr:cNvPr>
          <xdr:cNvCxnSpPr/>
        </xdr:nvCxnSpPr>
        <xdr:spPr>
          <a:xfrm flipH="1" flipV="1">
            <a:off x="2589609" y="4202907"/>
            <a:ext cx="178594" cy="130968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6E24EE54-88A1-4FCC-82C6-B2264B23922F}"/>
              </a:ext>
            </a:extLst>
          </xdr:cNvPr>
          <xdr:cNvCxnSpPr/>
        </xdr:nvCxnSpPr>
        <xdr:spPr>
          <a:xfrm flipH="1">
            <a:off x="2593181" y="4191000"/>
            <a:ext cx="151210" cy="15240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238126</xdr:colOff>
      <xdr:row>28</xdr:row>
      <xdr:rowOff>23813</xdr:rowOff>
    </xdr:from>
    <xdr:to>
      <xdr:col>10</xdr:col>
      <xdr:colOff>357188</xdr:colOff>
      <xdr:row>31</xdr:row>
      <xdr:rowOff>107156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7A68710E-9C0F-E45B-DC7C-679DFC1CBD15}"/>
            </a:ext>
          </a:extLst>
        </xdr:cNvPr>
        <xdr:cNvGrpSpPr/>
      </xdr:nvGrpSpPr>
      <xdr:grpSpPr>
        <a:xfrm>
          <a:off x="3213867" y="4293641"/>
          <a:ext cx="500062" cy="530032"/>
          <a:chOff x="3089672" y="4333875"/>
          <a:chExt cx="500062" cy="535781"/>
        </a:xfrm>
      </xdr:grpSpPr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2ED2E4E3-A22A-49B5-B344-CAAD12B8C9F1}"/>
              </a:ext>
            </a:extLst>
          </xdr:cNvPr>
          <xdr:cNvSpPr/>
        </xdr:nvSpPr>
        <xdr:spPr>
          <a:xfrm>
            <a:off x="3089672" y="4333875"/>
            <a:ext cx="500062" cy="535781"/>
          </a:xfrm>
          <a:prstGeom prst="rect">
            <a:avLst/>
          </a:prstGeom>
          <a:solidFill>
            <a:schemeClr val="bg1"/>
          </a:solidFill>
          <a:ln w="635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t"/>
          <a:lstStyle/>
          <a:p>
            <a:pPr algn="l"/>
            <a:r>
              <a:rPr lang="en-US" sz="600">
                <a:solidFill>
                  <a:schemeClr val="tx1"/>
                </a:solidFill>
              </a:rPr>
              <a:t>1 C11-200</a:t>
            </a:r>
          </a:p>
          <a:p>
            <a:pPr algn="l"/>
            <a:r>
              <a:rPr lang="en-US" sz="600">
                <a:solidFill>
                  <a:schemeClr val="tx1"/>
                </a:solidFill>
              </a:rPr>
              <a:t>1 CC10</a:t>
            </a:r>
            <a:br>
              <a:rPr lang="en-US" sz="600">
                <a:solidFill>
                  <a:schemeClr val="tx1"/>
                </a:solidFill>
              </a:rPr>
            </a:br>
            <a:r>
              <a:rPr lang="en-US" sz="600">
                <a:solidFill>
                  <a:schemeClr val="tx1"/>
                </a:solidFill>
              </a:rPr>
              <a:t>1</a:t>
            </a:r>
            <a:r>
              <a:rPr lang="en-US" sz="600" baseline="0">
                <a:solidFill>
                  <a:schemeClr val="tx1"/>
                </a:solidFill>
              </a:rPr>
              <a:t> P12C-2</a:t>
            </a:r>
            <a:endParaRPr lang="en-US" sz="600">
              <a:solidFill>
                <a:schemeClr val="tx1"/>
              </a:solidFill>
            </a:endParaRPr>
          </a:p>
          <a:p>
            <a:pPr algn="l"/>
            <a:r>
              <a:rPr lang="en-US" sz="600" baseline="0">
                <a:solidFill>
                  <a:schemeClr val="tx1"/>
                </a:solidFill>
              </a:rPr>
              <a:t>1 CJ6-T</a:t>
            </a:r>
          </a:p>
          <a:p>
            <a:pPr algn="l"/>
            <a:r>
              <a:rPr lang="en-US" sz="600" baseline="0">
                <a:solidFill>
                  <a:schemeClr val="tx1"/>
                </a:solidFill>
              </a:rPr>
              <a:t>1 CJ5-T</a:t>
            </a:r>
            <a:endParaRPr lang="en-US" sz="600">
              <a:solidFill>
                <a:schemeClr val="tx1"/>
              </a:solidFill>
            </a:endParaRPr>
          </a:p>
        </xdr:txBody>
      </xdr:sp>
      <xdr:grpSp>
        <xdr:nvGrpSpPr>
          <xdr:cNvPr id="56" name="Group 55">
            <a:extLst>
              <a:ext uri="{FF2B5EF4-FFF2-40B4-BE49-F238E27FC236}">
                <a16:creationId xmlns:a16="http://schemas.microsoft.com/office/drawing/2014/main" id="{FD6508CB-52BB-4ABB-B09B-7694D7F4D33A}"/>
              </a:ext>
            </a:extLst>
          </xdr:cNvPr>
          <xdr:cNvGrpSpPr/>
        </xdr:nvGrpSpPr>
        <xdr:grpSpPr>
          <a:xfrm>
            <a:off x="3167062" y="4387453"/>
            <a:ext cx="309563" cy="375048"/>
            <a:chOff x="2589609" y="4191000"/>
            <a:chExt cx="178594" cy="152401"/>
          </a:xfrm>
        </xdr:grpSpPr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106A2E9A-2D12-9E5B-051A-F0C8A5021B33}"/>
                </a:ext>
              </a:extLst>
            </xdr:cNvPr>
            <xdr:cNvCxnSpPr/>
          </xdr:nvCxnSpPr>
          <xdr:spPr>
            <a:xfrm flipH="1" flipV="1">
              <a:off x="2589609" y="4202907"/>
              <a:ext cx="178594" cy="130968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B81CD7AF-31CE-79A0-661F-088A200EA269}"/>
                </a:ext>
              </a:extLst>
            </xdr:cNvPr>
            <xdr:cNvCxnSpPr/>
          </xdr:nvCxnSpPr>
          <xdr:spPr>
            <a:xfrm flipH="1">
              <a:off x="2593181" y="4191000"/>
              <a:ext cx="151210" cy="152401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9</xdr:col>
      <xdr:colOff>275305</xdr:colOff>
      <xdr:row>15</xdr:row>
      <xdr:rowOff>93857</xdr:rowOff>
    </xdr:from>
    <xdr:to>
      <xdr:col>10</xdr:col>
      <xdr:colOff>303676</xdr:colOff>
      <xdr:row>16</xdr:row>
      <xdr:rowOff>94254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E7B7B4CF-AAD4-449E-89EF-C920D75D8F0A}"/>
            </a:ext>
          </a:extLst>
        </xdr:cNvPr>
        <xdr:cNvSpPr/>
      </xdr:nvSpPr>
      <xdr:spPr>
        <a:xfrm>
          <a:off x="3251046" y="2399564"/>
          <a:ext cx="409371" cy="151483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chemeClr val="tx1"/>
              </a:solidFill>
            </a:rPr>
            <a:t>50 kva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435429</xdr:colOff>
      <xdr:row>8</xdr:row>
      <xdr:rowOff>95250</xdr:rowOff>
    </xdr:from>
    <xdr:to>
      <xdr:col>20</xdr:col>
      <xdr:colOff>136071</xdr:colOff>
      <xdr:row>53</xdr:row>
      <xdr:rowOff>120790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EA049D-EFE1-CA8E-487B-72231A99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4679" y="1551214"/>
          <a:ext cx="9497785" cy="737339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1134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1135</v>
      </c>
      <c r="G7" s="527" t="s">
        <v>41</v>
      </c>
      <c r="H7" s="523" t="s">
        <v>1042</v>
      </c>
      <c r="I7" s="523" t="s">
        <v>1137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2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2 x 70 + N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90</v>
      </c>
      <c r="G17" s="41">
        <f ca="1">IF(ISERROR(OFFSET('HARGA SATUAN'!$I$6,MATCH(C17,'HARGA SATUAN'!$C$7:$C$1492,0),0)),"",OFFSET('HARGA SATUAN'!$I$6,MATCH(C17,'HARGA SATUAN'!$C$7:$C$1492,0),0))</f>
        <v>53300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2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35</v>
      </c>
      <c r="G18" s="41">
        <f ca="1">IF(ISERROR(OFFSET('HARGA SATUAN'!$I$6,MATCH(C18,'HARGA SATUAN'!$C$7:$C$1492,0),0)),"",OFFSET('HARGA SATUAN'!$I$6,MATCH(C18,'HARGA SATUAN'!$C$7:$C$1492,0),0))</f>
        <v>6600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SUMIFS(RAB!$F$14:$F$107,RAB!$C$14:$C$107,C714)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SUMIFS(RAB!$F$14:$F$107,RAB!$C$14:$C$107,C715)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SUMIFS(RAB!$F$14:$F$107,RAB!$C$14:$C$107,C716)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SUMIFS(RAB!$F$14:$F$107,RAB!$C$14:$C$107,C717)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SUMIFS(RAB!$F$14:$F$107,RAB!$C$14:$C$107,C718)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SUMIFS(RAB!$F$14:$F$107,RAB!$C$14:$C$107,C719)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SUMIFS(RAB!$F$14:$F$107,RAB!$C$14:$C$107,C720)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SUMIFS(RAB!$F$14:$F$107,RAB!$C$14:$C$107,C721)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SUMIFS(RAB!$F$14:$F$107,RAB!$C$14:$C$107,C722)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SUMIFS(RAB!$F$14:$F$107,RAB!$C$14:$C$107,C723)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SUMIFS(RAB!$F$14:$F$107,RAB!$C$14:$C$107,C724)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SUMIFS(RAB!$F$14:$F$107,RAB!$C$14:$C$107,C725)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SUMIFS(RAB!$F$14:$F$107,RAB!$C$14:$C$107,C726)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SUMIFS(RAB!$F$14:$F$107,RAB!$C$14:$C$107,C727)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SUMIFS(RAB!$F$14:$F$107,RAB!$C$14:$C$107,C728)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SUMIFS(RAB!$F$14:$F$107,RAB!$C$14:$C$107,C729)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SUMIFS(RAB!$F$14:$F$107,RAB!$C$14:$C$107,C730)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SUMIFS(RAB!$F$14:$F$107,RAB!$C$14:$C$107,C731)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SUMIFS(RAB!$F$14:$F$107,RAB!$C$14:$C$107,C732)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SUMIFS(RAB!$F$14:$F$107,RAB!$C$14:$C$107,C733)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SUMIFS(RAB!$F$14:$F$107,RAB!$C$14:$C$107,C734)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SUMIFS(RAB!$F$14:$F$107,RAB!$C$14:$C$107,C735)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SUMIFS(RAB!$F$14:$F$107,RAB!$C$14:$C$107,C736)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SUMIFS(RAB!$F$14:$F$107,RAB!$C$14:$C$107,C737)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SUMIFS(RAB!$F$14:$F$107,RAB!$C$14:$C$107,C738)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SUMIFS(RAB!$F$14:$F$107,RAB!$C$14:$C$107,C739)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SUMIFS(RAB!$F$14:$F$107,RAB!$C$14:$C$107,C740)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SUMIFS(RAB!$F$14:$F$107,RAB!$C$14:$C$107,C741)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SUMIFS(RAB!$F$14:$F$107,RAB!$C$14:$C$107,C742)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SUMIFS(RAB!$F$14:$F$107,RAB!$C$14:$C$107,C743)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SUMIFS(RAB!$F$14:$F$107,RAB!$C$14:$C$107,C744)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SUMIFS(RAB!$F$14:$F$107,RAB!$C$14:$C$107,C745)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SUMIFS(RAB!$F$14:$F$107,RAB!$C$14:$C$107,C746)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SUMIFS(RAB!$F$14:$F$107,RAB!$C$14:$C$107,C747)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SUMIFS(RAB!$F$14:$F$107,RAB!$C$14:$C$107,C748)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SUMIFS(RAB!$F$14:$F$107,RAB!$C$14:$C$107,C749)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SUMIFS(RAB!$F$14:$F$107,RAB!$C$14:$C$107,C750)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SUMIFS(RAB!$F$14:$F$107,RAB!$C$14:$C$107,C751)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SUMIFS(RAB!$F$14:$F$107,RAB!$C$14:$C$107,C752)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SUMIFS(RAB!$F$14:$F$107,RAB!$C$14:$C$107,C753)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SUMIFS(RAB!$F$14:$F$107,RAB!$C$14:$C$107,C754)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SUMIFS(RAB!$F$14:$F$107,RAB!$C$14:$C$107,C755)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SUMIFS(RAB!$F$14:$F$107,RAB!$C$14:$C$107,C756)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SUMIFS(RAB!$F$14:$F$107,RAB!$C$14:$C$107,C757)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SUMIFS(RAB!$F$14:$F$107,RAB!$C$14:$C$107,C758)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SUMIFS(RAB!$F$14:$F$107,RAB!$C$14:$C$107,C759)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SUMIFS(RAB!$F$14:$F$107,RAB!$C$14:$C$107,C760)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SUMIFS(RAB!$F$14:$F$107,RAB!$C$14:$C$107,C761)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SUMIFS(RAB!$F$14:$F$107,RAB!$C$14:$C$107,C762)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SUMIFS(RAB!$F$14:$F$107,RAB!$C$14:$C$107,C763)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SUMIFS(RAB!$F$14:$F$107,RAB!$C$14:$C$107,C764)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SUMIFS(RAB!$F$14:$F$107,RAB!$C$14:$C$107,C765)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SUMIFS(RAB!$F$14:$F$107,RAB!$C$14:$C$107,C766)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SUMIFS(RAB!$F$14:$F$107,RAB!$C$14:$C$107,C767)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SUMIFS(RAB!$F$14:$F$107,RAB!$C$14:$C$107,C768)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SUMIFS(RAB!$F$14:$F$107,RAB!$C$14:$C$107,C769)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SUMIFS(RAB!$F$14:$F$107,RAB!$C$14:$C$107,C770)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SUMIFS(RAB!$F$14:$F$107,RAB!$C$14:$C$107,C771)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SUMIFS(RAB!$F$14:$F$107,RAB!$C$14:$C$107,C772)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SUMIFS(RAB!$F$14:$F$107,RAB!$C$14:$C$107,C773)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SUMIFS(RAB!$F$14:$F$107,RAB!$C$14:$C$107,C774)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SUMIFS(RAB!$F$14:$F$107,RAB!$C$14:$C$107,C775)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SUMIFS(RAB!$F$14:$F$107,RAB!$C$14:$C$107,C776)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SUMIFS(RAB!$F$14:$F$107,RAB!$C$14:$C$107,C777)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SUMIFS(RAB!$F$14:$F$107,RAB!$C$14:$C$107,C778)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SUMIFS(RAB!$F$14:$F$107,RAB!$C$14:$C$107,C779)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SUMIFS(RAB!$F$14:$F$107,RAB!$C$14:$C$107,C780)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SUMIFS(RAB!$F$14:$F$107,RAB!$C$14:$C$107,C781)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SUMIFS(RAB!$F$14:$F$107,RAB!$C$14:$C$107,C782)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SUMIFS(RAB!$F$14:$F$107,RAB!$C$14:$C$107,C783)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SUMIFS(RAB!$F$14:$F$107,RAB!$C$14:$C$107,C784)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SUMIFS(RAB!$F$14:$F$107,RAB!$C$14:$C$107,C785)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SUMIFS(RAB!$F$14:$F$107,RAB!$C$14:$C$107,C786)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SUMIFS(RAB!$F$14:$F$107,RAB!$C$14:$C$107,C787)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SUMIFS(RAB!$F$14:$F$107,RAB!$C$14:$C$107,C788)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SUMIFS(RAB!$F$14:$F$107,RAB!$C$14:$C$107,C789)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SUMIFS(RAB!$F$14:$F$107,RAB!$C$14:$C$107,C790)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SUMIFS(RAB!$F$14:$F$107,RAB!$C$14:$C$107,C791)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SUMIFS(RAB!$F$14:$F$107,RAB!$C$14:$C$107,C792)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SUMIFS(RAB!$F$14:$F$107,RAB!$C$14:$C$107,C793)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SUMIFS(RAB!$F$14:$F$107,RAB!$C$14:$C$107,C794)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SUMIFS(RAB!$F$14:$F$107,RAB!$C$14:$C$107,C795)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SUMIFS(RAB!$F$14:$F$107,RAB!$C$14:$C$107,C796)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SUMIFS(RAB!$F$14:$F$107,RAB!$C$14:$C$107,C797)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SUMIFS(RAB!$F$14:$F$107,RAB!$C$14:$C$107,C798)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SUMIFS(RAB!$F$14:$F$107,RAB!$C$14:$C$107,C799)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SUMIFS(RAB!$F$14:$F$107,RAB!$C$14:$C$107,C800)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SUMIFS(RAB!$F$14:$F$107,RAB!$C$14:$C$107,C801)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SUMIFS(RAB!$F$14:$F$107,RAB!$C$14:$C$107,C802)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SUMIFS(RAB!$F$14:$F$107,RAB!$C$14:$C$107,C803)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SUMIFS(RAB!$F$14:$F$107,RAB!$C$14:$C$107,C804)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SUMIFS(RAB!$F$14:$F$107,RAB!$C$14:$C$107,C805)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SUMIFS(RAB!$F$14:$F$107,RAB!$C$14:$C$107,C806)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SUMIFS(RAB!$F$14:$F$107,RAB!$C$14:$C$107,C807)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SUMIFS(RAB!$F$14:$F$107,RAB!$C$14:$C$107,C808)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SUMIFS(RAB!$F$14:$F$107,RAB!$C$14:$C$107,C809)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SUMIFS(RAB!$F$14:$F$107,RAB!$C$14:$C$107,C810)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SUMIFS(RAB!$F$14:$F$107,RAB!$C$14:$C$107,C811)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SUMIFS(RAB!$F$14:$F$107,RAB!$C$14:$C$107,C812)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SUMIFS(RAB!$F$14:$F$107,RAB!$C$14:$C$107,C813)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SUMIFS(RAB!$F$14:$F$107,RAB!$C$14:$C$107,C814)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SUMIFS(RAB!$F$14:$F$107,RAB!$C$14:$C$107,C815)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SUMIFS(RAB!$F$14:$F$107,RAB!$C$14:$C$107,C816)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SUMIFS(RAB!$F$14:$F$107,RAB!$C$14:$C$107,C817)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SUMIFS(RAB!$F$14:$F$107,RAB!$C$14:$C$107,C818)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SUMIFS(RAB!$F$14:$F$107,RAB!$C$14:$C$107,C819)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SUMIFS(RAB!$F$14:$F$107,RAB!$C$14:$C$107,C820)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SUMIFS(RAB!$F$14:$F$107,RAB!$C$14:$C$107,C821)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SUMIFS(RAB!$F$14:$F$107,RAB!$C$14:$C$107,C822)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SUMIFS(RAB!$F$14:$F$107,RAB!$C$14:$C$107,C823)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SUMIFS(RAB!$F$14:$F$107,RAB!$C$14:$C$107,C824)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SUMIFS(RAB!$F$14:$F$107,RAB!$C$14:$C$107,C825)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SUMIFS(RAB!$F$14:$F$107,RAB!$C$14:$C$107,C826)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SUMIFS(RAB!$F$14:$F$107,RAB!$C$14:$C$107,C827)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SUMIFS(RAB!$F$14:$F$107,RAB!$C$14:$C$107,C828)</f>
        <v>2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SUMIFS(RAB!$F$14:$F$107,RAB!$C$14:$C$107,C829)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SUMIFS(RAB!$F$14:$F$107,RAB!$C$14:$C$107,C830)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SUMIFS(RAB!$F$14:$F$107,RAB!$C$14:$C$107,C831)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SUMIFS(RAB!$F$14:$F$107,RAB!$C$14:$C$107,C832)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SUMIFS(RAB!$F$14:$F$107,RAB!$C$14:$C$107,C833)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SUMIFS(RAB!$F$14:$F$107,RAB!$C$14:$C$107,C834)</f>
        <v>90</v>
      </c>
      <c r="E834" s="26">
        <f t="shared" ca="1" si="34"/>
        <v>1</v>
      </c>
      <c r="F834" s="26">
        <f ca="1">IF(D834=0,0,SUM($E$713:E834))</f>
        <v>6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SUMIFS(RAB!$F$14:$F$107,RAB!$C$14:$C$107,C835)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SUMIFS(RAB!$F$14:$F$107,RAB!$C$14:$C$107,C836)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SUMIFS(RAB!$F$14:$F$107,RAB!$C$14:$C$107,C837)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SUMIFS(RAB!$F$14:$F$107,RAB!$C$14:$C$107,C838)</f>
        <v>35</v>
      </c>
      <c r="E838" s="26">
        <f t="shared" ca="1" si="34"/>
        <v>1</v>
      </c>
      <c r="F838" s="26">
        <f ca="1">IF(D838=0,0,SUM($E$713:E838))</f>
        <v>7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SUMIFS(RAB!$F$14:$F$107,RAB!$C$14:$C$107,C839)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SUMIFS(RAB!$F$14:$F$107,RAB!$C$14:$C$107,C840)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SUMIFS(RAB!$F$14:$F$107,RAB!$C$14:$C$107,C841)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SUMIFS(RAB!$F$14:$F$107,RAB!$C$14:$C$107,C842)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SUMIFS(RAB!$F$14:$F$107,RAB!$C$14:$C$107,C843)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SUMIFS(RAB!$F$14:$F$107,RAB!$C$14:$C$107,C844)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SUMIFS(RAB!$F$14:$F$107,RAB!$C$14:$C$107,C845)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SUMIFS(RAB!$F$14:$F$107,RAB!$C$14:$C$107,C846)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SUMIFS(RAB!$F$14:$F$107,RAB!$C$14:$C$107,C847)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SUMIFS(RAB!$F$14:$F$107,RAB!$C$14:$C$107,C848)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SUMIFS(RAB!$F$14:$F$107,RAB!$C$14:$C$107,C849)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SUMIFS(RAB!$F$14:$F$107,RAB!$C$14:$C$107,C850)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SUMIFS(RAB!$F$14:$F$107,RAB!$C$14:$C$107,C851)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SUMIFS(RAB!$F$14:$F$107,RAB!$C$14:$C$107,C852)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SUMIFS(RAB!$F$14:$F$107,RAB!$C$14:$C$107,C853)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SUMIFS(RAB!$F$14:$F$107,RAB!$C$14:$C$107,C854)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SUMIFS(RAB!$F$14:$F$107,RAB!$C$14:$C$107,C855)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SUMIFS(RAB!$F$14:$F$107,RAB!$C$14:$C$107,C856)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SUMIFS(RAB!$F$14:$F$107,RAB!$C$14:$C$107,C857)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SUMIFS(RAB!$F$14:$F$107,RAB!$C$14:$C$107,C858)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SUMIFS(RAB!$F$14:$F$107,RAB!$C$14:$C$107,C859)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SUMIFS(RAB!$F$14:$F$107,RAB!$C$14:$C$107,C860)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SUMIFS(RAB!$F$14:$F$107,RAB!$C$14:$C$107,C861)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SUMIFS(RAB!$F$14:$F$107,RAB!$C$14:$C$107,C862)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SUMIFS(RAB!$F$14:$F$107,RAB!$C$14:$C$107,C863)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SUMIFS(RAB!$F$14:$F$107,RAB!$C$14:$C$107,C864)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SUMIFS(RAB!$F$14:$F$107,RAB!$C$14:$C$107,C865)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SUMIFS(RAB!$F$14:$F$107,RAB!$C$14:$C$107,C866)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SUMIFS(RAB!$F$14:$F$107,RAB!$C$14:$C$107,C867)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SUMIFS(RAB!$F$14:$F$107,RAB!$C$14:$C$107,C868)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SUMIFS(RAB!$F$14:$F$107,RAB!$C$14:$C$107,C869)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SUMIFS(RAB!$F$14:$F$107,RAB!$C$14:$C$107,C870)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SUMIFS(RAB!$F$14:$F$107,RAB!$C$14:$C$107,C871)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SUMIFS(RAB!$F$14:$F$107,RAB!$C$14:$C$107,C872)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SUMIFS(RAB!$F$14:$F$107,RAB!$C$14:$C$107,C873)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SUMIFS(RAB!$F$14:$F$107,RAB!$C$14:$C$107,C874)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SUMIFS(RAB!$F$14:$F$107,RAB!$C$14:$C$107,C875)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SUMIFS(RAB!$F$14:$F$107,RAB!$C$14:$C$107,C876)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SUMIFS(RAB!$F$14:$F$107,RAB!$C$14:$C$107,C877)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SUMIFS(RAB!$F$14:$F$107,RAB!$C$14:$C$107,C878)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SUMIFS(RAB!$F$14:$F$107,RAB!$C$14:$C$107,C879)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SUMIFS(RAB!$F$14:$F$107,RAB!$C$14:$C$107,C880)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SUMIFS(RAB!$F$14:$F$107,RAB!$C$14:$C$107,C881)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SUMIFS(RAB!$F$14:$F$107,RAB!$C$14:$C$107,C882)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SUMIFS(RAB!$F$14:$F$107,RAB!$C$14:$C$107,C883)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SUMIFS(RAB!$F$14:$F$107,RAB!$C$14:$C$107,C884)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SUMIFS(RAB!$F$14:$F$107,RAB!$C$14:$C$107,C885)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SUMIFS(RAB!$F$14:$F$107,RAB!$C$14:$C$107,C886)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SUMIFS(RAB!$F$14:$F$107,RAB!$C$14:$C$107,C887)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SUMIFS(RAB!$F$14:$F$107,RAB!$C$14:$C$107,C888)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SUMIFS(RAB!$F$14:$F$107,RAB!$C$14:$C$107,C889)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SUMIFS(RAB!$F$14:$F$107,RAB!$C$14:$C$107,C890)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SUMIFS(RAB!$F$14:$F$107,RAB!$C$14:$C$107,C891)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SUMIFS(RAB!$F$14:$F$107,RAB!$C$14:$C$107,C892)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SUMIFS(RAB!$F$14:$F$107,RAB!$C$14:$C$107,C893)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SUMIFS(RAB!$F$14:$F$107,RAB!$C$14:$C$107,C894)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SUMIFS(RAB!$F$14:$F$107,RAB!$C$14:$C$107,C895)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SUMIFS(RAB!$F$14:$F$107,RAB!$C$14:$C$107,C896)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SUMIFS(RAB!$F$14:$F$107,RAB!$C$14:$C$107,C897)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SUMIFS(RAB!$F$14:$F$107,RAB!$C$14:$C$107,C898)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SUMIFS(RAB!$F$14:$F$107,RAB!$C$14:$C$107,C899)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SUMIFS(RAB!$F$14:$F$107,RAB!$C$14:$C$107,C900)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SUMIFS(RAB!$F$14:$F$107,RAB!$C$14:$C$107,C901)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SUMIFS(RAB!$F$14:$F$107,RAB!$C$14:$C$107,C902)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SUMIFS(RAB!$F$14:$F$107,RAB!$C$14:$C$107,C903)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SUMIFS(RAB!$F$14:$F$107,RAB!$C$14:$C$107,C904)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SUMIFS(RAB!$F$14:$F$107,RAB!$C$14:$C$107,C905)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SUMIFS(RAB!$F$14:$F$107,RAB!$C$14:$C$107,C906)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SUMIFS(RAB!$F$14:$F$107,RAB!$C$14:$C$107,C907)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SUMIFS(RAB!$F$14:$F$107,RAB!$C$14:$C$107,C908)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SUMIFS(RAB!$F$14:$F$107,RAB!$C$14:$C$107,C909)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SUMIFS(RAB!$F$14:$F$107,RAB!$C$14:$C$107,C910)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SUMIFS(RAB!$F$14:$F$107,RAB!$C$14:$C$107,C911)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SUMIFS(RAB!$F$14:$F$107,RAB!$C$14:$C$107,C912)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SUMIFS(RAB!$F$14:$F$107,RAB!$C$14:$C$107,C913)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SUMIFS(RAB!$F$14:$F$107,RAB!$C$14:$C$107,C914)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SUMIFS(RAB!$F$14:$F$107,RAB!$C$14:$C$107,C915)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SUMIFS(RAB!$F$14:$F$107,RAB!$C$14:$C$107,C916)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SUMIFS(RAB!$F$14:$F$107,RAB!$C$14:$C$107,C917)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SUMIFS(RAB!$F$14:$F$107,RAB!$C$14:$C$107,C918)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SUMIFS(RAB!$F$14:$F$107,RAB!$C$14:$C$107,C919)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SUMIFS(RAB!$F$14:$F$107,RAB!$C$14:$C$107,C920)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SUMIFS(RAB!$F$14:$F$107,RAB!$C$14:$C$107,C921)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SUMIFS(RAB!$F$14:$F$107,RAB!$C$14:$C$107,C922)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SUMIFS(RAB!$F$14:$F$107,RAB!$C$14:$C$107,C923)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SUMIFS(RAB!$F$14:$F$107,RAB!$C$14:$C$107,C924)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SUMIFS(RAB!$F$14:$F$107,RAB!$C$14:$C$107,C925)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SUMIFS(RAB!$F$14:$F$107,RAB!$C$14:$C$107,C926)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SUMIFS(RAB!$F$14:$F$107,RAB!$C$14:$C$107,C927)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SUMIFS(RAB!$F$14:$F$107,RAB!$C$14:$C$107,C928)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SUMIFS(RAB!$F$14:$F$107,RAB!$C$14:$C$107,C929)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SUMIFS(RAB!$F$14:$F$107,RAB!$C$14:$C$107,C930)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SUMIFS(RAB!$F$14:$F$107,RAB!$C$14:$C$107,C931)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SUMIFS(RAB!$F$14:$F$107,RAB!$C$14:$C$107,C932)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SUMIFS(RAB!$F$14:$F$107,RAB!$C$14:$C$107,C933)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SUMIFS(RAB!$F$14:$F$107,RAB!$C$14:$C$107,C934)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SUMIFS(RAB!$F$14:$F$107,RAB!$C$14:$C$107,C935)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SUMIFS(RAB!$F$14:$F$107,RAB!$C$14:$C$107,C936)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SUMIFS(RAB!$F$14:$F$107,RAB!$C$14:$C$107,C937)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SUMIFS(RAB!$F$14:$F$107,RAB!$C$14:$C$107,C938)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SUMIFS(RAB!$F$14:$F$107,RAB!$C$14:$C$107,C939)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SUMIFS(RAB!$F$14:$F$107,RAB!$C$14:$C$107,C940)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SUMIFS(RAB!$F$14:$F$107,RAB!$C$14:$C$107,C941)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SUMIFS(RAB!$F$14:$F$107,RAB!$C$14:$C$107,C942)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SUMIFS(RAB!$F$14:$F$107,RAB!$C$14:$C$107,C943)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SUMIFS(RAB!$F$14:$F$107,RAB!$C$14:$C$107,C944)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SUMIFS(RAB!$F$14:$F$107,RAB!$C$14:$C$107,C945)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SUMIFS(RAB!$F$14:$F$107,RAB!$C$14:$C$107,C946)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SUMIFS(RAB!$F$14:$F$107,RAB!$C$14:$C$107,C947)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SUMIFS(RAB!$F$14:$F$107,RAB!$C$14:$C$107,C948)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SUMIFS(RAB!$F$14:$F$107,RAB!$C$14:$C$107,C949)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SUMIFS(RAB!$F$14:$F$107,RAB!$C$14:$C$107,C950)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SUMIFS(RAB!$F$14:$F$107,RAB!$C$14:$C$107,C951)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SUMIFS(RAB!$F$14:$F$107,RAB!$C$14:$C$107,C952)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SUMIFS(RAB!$F$14:$F$107,RAB!$C$14:$C$107,C953)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SUMIFS(RAB!$F$14:$F$107,RAB!$C$14:$C$107,C954)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SUMIFS(RAB!$F$14:$F$107,RAB!$C$14:$C$107,C955)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SUMIFS(RAB!$F$14:$F$107,RAB!$C$14:$C$107,C956)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SUMIFS(RAB!$F$14:$F$107,RAB!$C$14:$C$107,C957)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SUMIFS(RAB!$F$14:$F$107,RAB!$C$14:$C$107,C958)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SUMIFS(RAB!$F$14:$F$107,RAB!$C$14:$C$107,C959)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SUMIFS(RAB!$F$14:$F$107,RAB!$C$14:$C$107,C960)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SUMIFS(RAB!$F$14:$F$107,RAB!$C$14:$C$107,C961)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SUMIFS(RAB!$F$14:$F$107,RAB!$C$14:$C$107,C962)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SUMIFS(RAB!$F$14:$F$107,RAB!$C$14:$C$107,C963)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SUMIFS(RAB!$F$14:$F$107,RAB!$C$14:$C$107,C964)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SUMIFS(RAB!$F$14:$F$107,RAB!$C$14:$C$107,C965)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SUMIFS(RAB!$F$14:$F$107,RAB!$C$14:$C$107,C966)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SUMIFS(RAB!$F$14:$F$107,RAB!$C$14:$C$107,C967)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SUMIFS(RAB!$F$14:$F$107,RAB!$C$14:$C$107,C968)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SUMIFS(RAB!$F$14:$F$107,RAB!$C$14:$C$107,C969)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SUMIFS(RAB!$F$14:$F$107,RAB!$C$14:$C$107,C970)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SUMIFS(RAB!$F$14:$F$107,RAB!$C$14:$C$107,C971)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SUMIFS(RAB!$F$14:$F$107,RAB!$C$14:$C$107,C972)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SUMIFS(RAB!$F$14:$F$107,RAB!$C$14:$C$107,C973)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SUMIFS(RAB!$F$14:$F$107,RAB!$C$14:$C$107,C974)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SUMIFS(RAB!$F$14:$F$107,RAB!$C$14:$C$107,C975)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SUMIFS(RAB!$F$14:$F$107,RAB!$C$14:$C$107,C976)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SUMIFS(RAB!$F$14:$F$107,RAB!$C$14:$C$107,C977)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SUMIFS(RAB!$F$14:$F$107,RAB!$C$14:$C$107,C978)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SUMIFS(RAB!$F$14:$F$107,RAB!$C$14:$C$107,C979)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SUMIFS(RAB!$F$14:$F$107,RAB!$C$14:$C$107,C980)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SUMIFS(RAB!$F$14:$F$107,RAB!$C$14:$C$107,C981)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SUMIFS(RAB!$F$14:$F$107,RAB!$C$14:$C$107,C982)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SUMIFS(RAB!$F$14:$F$107,RAB!$C$14:$C$107,C983)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SUMIFS(RAB!$F$14:$F$107,RAB!$C$14:$C$107,C984)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SUMIFS(RAB!$F$14:$F$107,RAB!$C$14:$C$107,C985)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SUMIFS(RAB!$F$14:$F$107,RAB!$C$14:$C$107,C986)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SUMIFS(RAB!$F$14:$F$107,RAB!$C$14:$C$107,C987)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SUMIFS(RAB!$F$14:$F$107,RAB!$C$14:$C$107,C988)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SUMIFS(RAB!$F$14:$F$107,RAB!$C$14:$C$107,C989)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SUMIFS(RAB!$F$14:$F$107,RAB!$C$14:$C$107,C990)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SUMIFS(RAB!$F$14:$F$107,RAB!$C$14:$C$107,C991)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SUMIFS(RAB!$F$14:$F$107,RAB!$C$14:$C$107,C992)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SUMIFS(RAB!$F$14:$F$107,RAB!$C$14:$C$107,C993)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SUMIFS(RAB!$F$14:$F$107,RAB!$C$14:$C$107,C994)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SUMIFS(RAB!$F$14:$F$107,RAB!$C$14:$C$107,C995)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SUMIFS(RAB!$F$14:$F$107,RAB!$C$14:$C$107,C996)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SUMIFS(RAB!$F$14:$F$107,RAB!$C$14:$C$107,C997)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SUMIFS(RAB!$F$14:$F$107,RAB!$C$14:$C$107,C998)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SUMIFS(RAB!$F$14:$F$107,RAB!$C$14:$C$107,C999)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SUMIFS(RAB!$F$14:$F$107,RAB!$C$14:$C$107,C1000)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SUMIFS(RAB!$F$14:$F$107,RAB!$C$14:$C$107,C1001)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SUMIFS(RAB!$F$14:$F$107,RAB!$C$14:$C$107,C1002)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SUMIFS(RAB!$F$14:$F$107,RAB!$C$14:$C$107,C1003)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SUMIFS(RAB!$F$14:$F$107,RAB!$C$14:$C$107,C1004)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SUMIFS(RAB!$F$14:$F$107,RAB!$C$14:$C$107,C1005)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SUMIFS(RAB!$F$14:$F$107,RAB!$C$14:$C$107,C1006)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SUMIFS(RAB!$F$14:$F$107,RAB!$C$14:$C$107,C1007)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SUMIFS(RAB!$F$14:$F$107,RAB!$C$14:$C$107,C1008)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SUMIFS(RAB!$F$14:$F$107,RAB!$C$14:$C$107,C1009)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SUMIFS(RAB!$F$14:$F$107,RAB!$C$14:$C$107,C1010)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SUMIFS(RAB!$F$14:$F$107,RAB!$C$14:$C$107,C1011)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SUMIFS(RAB!$F$14:$F$107,RAB!$C$14:$C$107,C1012)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SUMIFS(RAB!$F$14:$F$107,RAB!$C$14:$C$107,C1013)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SUMIFS(RAB!$F$14:$F$107,RAB!$C$14:$C$107,C1014)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SUMIFS(RAB!$F$14:$F$107,RAB!$C$14:$C$107,C1015)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SUMIFS(RAB!$F$14:$F$107,RAB!$C$14:$C$107,C1016)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SUMIFS(RAB!$F$14:$F$107,RAB!$C$14:$C$107,C1017)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SUMIFS(RAB!$F$14:$F$107,RAB!$C$14:$C$107,C1018)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SUMIFS(RAB!$F$14:$F$107,RAB!$C$14:$C$107,C1019)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SUMIFS(RAB!$F$14:$F$107,RAB!$C$14:$C$107,C1020)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SUMIFS(RAB!$F$14:$F$107,RAB!$C$14:$C$107,C1021)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SUMIFS(RAB!$F$14:$F$107,RAB!$C$14:$C$107,C1022)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SUMIFS(RAB!$F$14:$F$107,RAB!$C$14:$C$107,C1023)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SUMIFS(RAB!$F$14:$F$107,RAB!$C$14:$C$107,C1024)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SUMIFS(RAB!$F$14:$F$107,RAB!$C$14:$C$107,C1025)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SUMIFS(RAB!$F$14:$F$107,RAB!$C$14:$C$107,C1026)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SUMIFS(RAB!$F$14:$F$107,RAB!$C$14:$C$107,C1027)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SUMIFS(RAB!$F$14:$F$107,RAB!$C$14:$C$107,C1028)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SUMIFS(RAB!$F$14:$F$107,RAB!$C$14:$C$107,C1029)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SUMIFS(RAB!$F$14:$F$107,RAB!$C$14:$C$107,C1030)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SUMIFS(RAB!$F$14:$F$107,RAB!$C$14:$C$107,C1031)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SUMIFS(RAB!$F$14:$F$107,RAB!$C$14:$C$107,C1032)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SUMIFS(RAB!$F$14:$F$107,RAB!$C$14:$C$107,C1033)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SUMIFS(RAB!$F$14:$F$107,RAB!$C$14:$C$107,C1034)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SUMIFS(RAB!$F$14:$F$107,RAB!$C$14:$C$107,C1035)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SUMIFS(RAB!$F$14:$F$107,RAB!$C$14:$C$107,C1036)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SUMIFS(RAB!$F$14:$F$107,RAB!$C$14:$C$107,C1037)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SUMIFS(RAB!$F$14:$F$107,RAB!$C$14:$C$107,C1038)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SUMIFS(RAB!$F$14:$F$107,RAB!$C$14:$C$107,C1039)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SUMIFS(RAB!$F$14:$F$107,RAB!$C$14:$C$107,C1040)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SUMIFS(RAB!$F$14:$F$107,RAB!$C$14:$C$107,C1041)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SUMIFS(RAB!$F$14:$F$107,RAB!$C$14:$C$107,C1042)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SUMIFS(RAB!$F$14:$F$107,RAB!$C$14:$C$107,C1043)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SUMIFS(RAB!$F$14:$F$107,RAB!$C$14:$C$107,C1044)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SUMIFS(RAB!$F$14:$F$107,RAB!$C$14:$C$107,C1045)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SUMIFS(RAB!$F$14:$F$107,RAB!$C$14:$C$107,C1046)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SUMIFS(RAB!$F$14:$F$107,RAB!$C$14:$C$107,C1047)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SUMIFS(RAB!$F$14:$F$107,RAB!$C$14:$C$107,C1048)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SUMIFS(RAB!$F$14:$F$107,RAB!$C$14:$C$107,C1049)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SUMIFS(RAB!$F$14:$F$107,RAB!$C$14:$C$107,C1050)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SUMIFS(RAB!$F$14:$F$107,RAB!$C$14:$C$107,C1051)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SUMIFS(RAB!$F$14:$F$107,RAB!$C$14:$C$107,C1052)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SUMIFS(RAB!$F$14:$F$107,RAB!$C$14:$C$107,C1053)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SUMIFS(RAB!$F$14:$F$107,RAB!$C$14:$C$107,C1054)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SUMIFS(RAB!$F$14:$F$107,RAB!$C$14:$C$107,C1055)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SUMIFS(RAB!$F$14:$F$107,RAB!$C$14:$C$107,C1056)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SUMIFS(RAB!$F$14:$F$107,RAB!$C$14:$C$107,C1057)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SUMIFS(RAB!$F$14:$F$107,RAB!$C$14:$C$107,C1058)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SUMIFS(RAB!$F$14:$F$107,RAB!$C$14:$C$107,C1059)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SUMIFS(RAB!$F$14:$F$107,RAB!$C$14:$C$107,C1060)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SUMIFS(RAB!$F$14:$F$107,RAB!$C$14:$C$107,C1061)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SUMIFS(RAB!$F$14:$F$107,RAB!$C$14:$C$107,C1062)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SUMIFS(RAB!$F$14:$F$107,RAB!$C$14:$C$107,C1063)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SUMIFS(RAB!$F$14:$F$107,RAB!$C$14:$C$107,C1064)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SUMIFS(RAB!$F$14:$F$107,RAB!$C$14:$C$107,C1065)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SUMIFS(RAB!$F$14:$F$107,RAB!$C$14:$C$107,C1066)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SUMIFS(RAB!$F$14:$F$107,RAB!$C$14:$C$107,C1067)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SUMIFS(RAB!$F$14:$F$107,RAB!$C$14:$C$107,C1068)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SUMIFS(RAB!$F$14:$F$107,RAB!$C$14:$C$107,C1069)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SUMIFS(RAB!$F$14:$F$107,RAB!$C$14:$C$107,C1070)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SUMIFS(RAB!$F$14:$F$107,RAB!$C$14:$C$107,C1071)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SUMIFS(RAB!$F$14:$F$107,RAB!$C$14:$C$107,C1072)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SUMIFS(RAB!$F$14:$F$107,RAB!$C$14:$C$107,C1073)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SUMIFS(RAB!$F$14:$F$107,RAB!$C$14:$C$107,C1074)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SUMIFS(RAB!$F$14:$F$107,RAB!$C$14:$C$107,C1075)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SUMIFS(RAB!$F$14:$F$107,RAB!$C$14:$C$107,C1076)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SUMIFS(RAB!$F$14:$F$107,RAB!$C$14:$C$107,C1077)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SUMIFS(RAB!$F$14:$F$107,RAB!$C$14:$C$107,C1078)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SUMIFS(RAB!$F$14:$F$107,RAB!$C$14:$C$107,C1079)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SUMIFS(RAB!$F$14:$F$107,RAB!$C$14:$C$107,C1080)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SUMIFS(RAB!$F$14:$F$107,RAB!$C$14:$C$107,C1081)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SUMIFS(RAB!$F$14:$F$107,RAB!$C$14:$C$107,C1082)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SUMIFS(RAB!$F$14:$F$107,RAB!$C$14:$C$107,C1083)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SUMIFS(RAB!$F$14:$F$107,RAB!$C$14:$C$107,C1084)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SUMIFS(RAB!$F$14:$F$107,RAB!$C$14:$C$107,C1085)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SUMIFS(RAB!$F$14:$F$107,RAB!$C$14:$C$107,C1086)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SUMIFS(RAB!$F$14:$F$107,RAB!$C$14:$C$107,C1087)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SUMIFS(RAB!$F$14:$F$107,RAB!$C$14:$C$107,C1088)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SUMIFS(RAB!$F$14:$F$107,RAB!$C$14:$C$107,C1089)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SUMIFS(RAB!$F$14:$F$107,RAB!$C$14:$C$107,C1090)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SUMIFS(RAB!$F$14:$F$107,RAB!$C$14:$C$107,C1091)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SUMIFS(RAB!$F$14:$F$107,RAB!$C$14:$C$107,C1092)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SUMIFS(RAB!$F$14:$F$107,RAB!$C$14:$C$107,C1093)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SUMIFS(RAB!$F$14:$F$107,RAB!$C$14:$C$107,C1094)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SUMIFS(RAB!$F$14:$F$107,RAB!$C$14:$C$107,C1095)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SUMIFS(RAB!$F$14:$F$107,RAB!$C$14:$C$107,C1096)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SUMIFS(RAB!$F$14:$F$107,RAB!$C$14:$C$107,C1097)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SUMIFS(RAB!$F$14:$F$107,RAB!$C$14:$C$107,C1098)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SUMIFS(RAB!$F$14:$F$107,RAB!$C$14:$C$107,C1099)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SUMIFS(RAB!$F$14:$F$107,RAB!$C$14:$C$107,C1100)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SUMIFS(RAB!$F$14:$F$107,RAB!$C$14:$C$107,C1101)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SUMIFS(RAB!$F$14:$F$107,RAB!$C$14:$C$107,C1102)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SUMIFS(RAB!$F$14:$F$107,RAB!$C$14:$C$107,C1103)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SUMIFS(RAB!$F$14:$F$107,RAB!$C$14:$C$107,C1104)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SUMIFS(RAB!$F$14:$F$107,RAB!$C$14:$C$107,C1105)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SUMIFS(RAB!$F$14:$F$107,RAB!$C$14:$C$107,C1106)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SUMIFS(RAB!$F$14:$F$107,RAB!$C$14:$C$107,C1107)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SUMIFS(RAB!$F$14:$F$107,RAB!$C$14:$C$107,C1108)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SUMIFS(RAB!$F$14:$F$107,RAB!$C$14:$C$107,C1109)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SUMIFS(RAB!$F$14:$F$107,RAB!$C$14:$C$107,C1110)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SUMIFS(RAB!$F$14:$F$107,RAB!$C$14:$C$107,C1111)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SUMIFS(RAB!$F$14:$F$107,RAB!$C$14:$C$107,C1112)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SUMIFS(RAB!$F$14:$F$107,RAB!$C$14:$C$107,C1113)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SUMIFS(RAB!$F$14:$F$107,RAB!$C$14:$C$107,C1114)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SUMIFS(RAB!$F$14:$F$107,RAB!$C$14:$C$107,C1115)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SUMIFS(RAB!$F$14:$F$107,RAB!$C$14:$C$107,C1116)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SUMIFS(RAB!$F$14:$F$107,RAB!$C$14:$C$107,C1117)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SUMIFS(RAB!$F$14:$F$107,RAB!$C$14:$C$107,C1118)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SUMIFS(RAB!$F$14:$F$107,RAB!$C$14:$C$107,C1119)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SUMIFS(RAB!$F$14:$F$107,RAB!$C$14:$C$107,C1120)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SUMIFS(RAB!$F$14:$F$107,RAB!$C$14:$C$107,C1121)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SUMIFS(RAB!$F$14:$F$107,RAB!$C$14:$C$107,C1122)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SUMIFS(RAB!$F$14:$F$107,RAB!$C$14:$C$107,C1123)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SUMIFS(RAB!$F$14:$F$107,RAB!$C$14:$C$107,C1124)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SUMIFS(RAB!$F$14:$F$107,RAB!$C$14:$C$107,C1125)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SUMIFS(RAB!$F$14:$F$107,RAB!$C$14:$C$107,C1126)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SUMIFS(RAB!$F$14:$F$107,RAB!$C$14:$C$107,C1127)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SUMIFS(RAB!$F$14:$F$107,RAB!$C$14:$C$107,C1128)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SUMIFS(RAB!$F$14:$F$107,RAB!$C$14:$C$107,C1129)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SUMIFS(RAB!$F$14:$F$107,RAB!$C$14:$C$107,C1130)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SUMIFS(RAB!$F$14:$F$107,RAB!$C$14:$C$107,C1131)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SUMIFS(RAB!$F$14:$F$107,RAB!$C$14:$C$107,C1132)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SUMIFS(RAB!$F$14:$F$107,RAB!$C$14:$C$107,C1133)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SUMIFS(RAB!$F$14:$F$107,RAB!$C$14:$C$107,C1134)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SUMIFS(RAB!$F$14:$F$107,RAB!$C$14:$C$107,C1135)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SUMIFS(RAB!$F$14:$F$107,RAB!$C$14:$C$107,C1136)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SUMIFS(RAB!$F$14:$F$107,RAB!$C$14:$C$107,C1137)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SUMIFS(RAB!$F$14:$F$107,RAB!$C$14:$C$107,C1138)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SUMIFS(RAB!$F$14:$F$107,RAB!$C$14:$C$107,C1139)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SUMIFS(RAB!$F$14:$F$107,RAB!$C$14:$C$107,C1140)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SUMIFS(RAB!$F$14:$F$107,RAB!$C$14:$C$107,C1141)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SUMIFS(RAB!$F$14:$F$107,RAB!$C$14:$C$107,C1142)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SUMIFS(RAB!$F$14:$F$107,RAB!$C$14:$C$107,C1143)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SUMIFS(RAB!$F$14:$F$107,RAB!$C$14:$C$107,C1144)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SUMIFS(RAB!$F$14:$F$107,RAB!$C$14:$C$107,C1145)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SUMIFS(RAB!$F$14:$F$107,RAB!$C$14:$C$107,C1146)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SUMIFS(RAB!$F$14:$F$107,RAB!$C$14:$C$107,C1147)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SUMIFS(RAB!$F$14:$F$107,RAB!$C$14:$C$107,C1148)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SUMIFS(RAB!$F$14:$F$107,RAB!$C$14:$C$107,C1149)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SUMIFS(RAB!$F$14:$F$107,RAB!$C$14:$C$107,C1150)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SUMIFS(RAB!$F$14:$F$107,RAB!$C$14:$C$107,C1151)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SUMIFS(RAB!$F$14:$F$107,RAB!$C$14:$C$107,C1152)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SUMIFS(RAB!$F$14:$F$107,RAB!$C$14:$C$107,C1153)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SUMIFS(RAB!$F$14:$F$107,RAB!$C$14:$C$107,C1154)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SUMIFS(RAB!$F$14:$F$107,RAB!$C$14:$C$107,C1155)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SUMIFS(RAB!$F$14:$F$107,RAB!$C$14:$C$107,C1156)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SUMIFS(RAB!$F$14:$F$107,RAB!$C$14:$C$107,C1157)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SUMIFS(RAB!$F$14:$F$107,RAB!$C$14:$C$107,C1158)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SUMIFS(RAB!$F$14:$F$107,RAB!$C$14:$C$107,C1159)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SUMIFS(RAB!$F$14:$F$107,RAB!$C$14:$C$107,C1160)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SUMIFS(RAB!$F$14:$F$107,RAB!$C$14:$C$107,C1161)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SUMIFS(RAB!$F$14:$F$107,RAB!$C$14:$C$107,C1162)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SUMIFS(RAB!$F$14:$F$107,RAB!$C$14:$C$107,C1163)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SUMIFS(RAB!$F$14:$F$107,RAB!$C$14:$C$107,C1164)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SUMIFS(RAB!$F$14:$F$107,RAB!$C$14:$C$107,C1165)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SUMIFS(RAB!$F$14:$F$107,RAB!$C$14:$C$107,C1166)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SUMIFS(RAB!$F$14:$F$107,RAB!$C$14:$C$107,C1167)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SUMIFS(RAB!$F$14:$F$107,RAB!$C$14:$C$107,C1168)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SUMIFS(RAB!$F$14:$F$107,RAB!$C$14:$C$107,C1169)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SUMIFS(RAB!$F$14:$F$107,RAB!$C$14:$C$107,C1170)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SUMIFS(RAB!$F$14:$F$107,RAB!$C$14:$C$107,C1171)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SUMIFS(RAB!$F$14:$F$107,RAB!$C$14:$C$107,C1172)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SUMIFS(RAB!$F$14:$F$107,RAB!$C$14:$C$107,C1173)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SUMIFS(RAB!$F$14:$F$107,RAB!$C$14:$C$107,C1174)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SUMIFS(RAB!$F$14:$F$107,RAB!$C$14:$C$107,C1175)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SUMIFS(RAB!$F$14:$F$107,RAB!$C$14:$C$107,C1176)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SUMIFS(RAB!$F$14:$F$107,RAB!$C$14:$C$107,C1177)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SUMIFS(RAB!$F$14:$F$107,RAB!$C$14:$C$107,C1178)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SUMIFS(RAB!$F$14:$F$107,RAB!$C$14:$C$107,C1179)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SUMIFS(RAB!$F$14:$F$107,RAB!$C$14:$C$107,C1180)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SUMIFS(RAB!$F$14:$F$107,RAB!$C$14:$C$107,C1181)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SUMIFS(RAB!$F$14:$F$107,RAB!$C$14:$C$107,C1182)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SUMIFS(RAB!$F$14:$F$107,RAB!$C$14:$C$107,C1183)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SUMIFS(RAB!$F$14:$F$107,RAB!$C$14:$C$107,C1184)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SUMIFS(RAB!$F$14:$F$107,RAB!$C$14:$C$107,C1185)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SUMIFS(RAB!$F$14:$F$107,RAB!$C$14:$C$107,C1186)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SUMIFS(RAB!$F$14:$F$107,RAB!$C$14:$C$107,C1187)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SUMIFS(RAB!$F$14:$F$107,RAB!$C$14:$C$107,C1188)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SUMIFS(RAB!$F$14:$F$107,RAB!$C$14:$C$107,C1189)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SUMIFS(RAB!$F$14:$F$107,RAB!$C$14:$C$107,C1190)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SUMIFS(RAB!$F$14:$F$107,RAB!$C$14:$C$107,C1191)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SUMIFS(RAB!$F$14:$F$107,RAB!$C$14:$C$107,C1192)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SUMIFS(RAB!$F$14:$F$107,RAB!$C$14:$C$107,C1193)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SUMIFS(RAB!$F$14:$F$107,RAB!$C$14:$C$107,C1194)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SUMIFS(RAB!$F$14:$F$107,RAB!$C$14:$C$107,C1195)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SUMIFS(RAB!$F$14:$F$107,RAB!$C$14:$C$107,C1196)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SUMIFS(RAB!$F$14:$F$107,RAB!$C$14:$C$107,C1197)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SUMIFS(RAB!$F$14:$F$107,RAB!$C$14:$C$107,C1198)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SUMIFS(RAB!$F$14:$F$107,RAB!$C$14:$C$107,C1199)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SUMIFS(RAB!$F$14:$F$107,RAB!$C$14:$C$107,C1200)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SUMIFS(RAB!$F$14:$F$107,RAB!$C$14:$C$107,C1201)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SUMIFS(RAB!$F$14:$F$107,RAB!$C$14:$C$107,C1202)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SUMIFS(RAB!$F$14:$F$107,RAB!$C$14:$C$107,C1203)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SUMIFS(RAB!$F$14:$F$107,RAB!$C$14:$C$107,C1204)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SUMIFS(RAB!$F$14:$F$107,RAB!$C$14:$C$107,C1205)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SUMIFS(RAB!$F$14:$F$107,RAB!$C$14:$C$107,C1206)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SUMIFS(RAB!$F$14:$F$107,RAB!$C$14:$C$107,C1207)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SUMIFS(RAB!$F$14:$F$107,RAB!$C$14:$C$107,C1208)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SUMIFS(RAB!$F$14:$F$107,RAB!$C$14:$C$107,C1209)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SUMIFS(RAB!$F$14:$F$107,RAB!$C$14:$C$107,C1210)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SUMIFS(RAB!$F$14:$F$107,RAB!$C$14:$C$107,C1211)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SUMIFS(RAB!$F$14:$F$107,RAB!$C$14:$C$107,C1212)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SUMIFS(RAB!$F$14:$F$107,RAB!$C$14:$C$107,C1213)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SUMIFS(RAB!$F$14:$F$107,RAB!$C$14:$C$107,C1214)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SUMIFS(RAB!$F$14:$F$107,RAB!$C$14:$C$107,C1215)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SUMIFS(RAB!$F$14:$F$107,RAB!$C$14:$C$107,C1216)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SUMIFS(RAB!$F$14:$F$107,RAB!$C$14:$C$107,C1217)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SUMIFS(RAB!$F$14:$F$107,RAB!$C$14:$C$107,C1218)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SUMIFS(RAB!$F$14:$F$107,RAB!$C$14:$C$107,C1219)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SUMIFS(RAB!$F$14:$F$107,RAB!$C$14:$C$107,C1220)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SUMIFS(RAB!$F$14:$F$107,RAB!$C$14:$C$107,C1221)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SUMIFS(RAB!$F$14:$F$107,RAB!$C$14:$C$107,C1222)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SUMIFS(RAB!$F$14:$F$107,RAB!$C$14:$C$107,C1223)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SUMIFS(RAB!$F$14:$F$107,RAB!$C$14:$C$107,C1224)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SUMIFS(RAB!$F$14:$F$107,RAB!$C$14:$C$107,C1225)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SUMIFS(RAB!$F$14:$F$107,RAB!$C$14:$C$107,C1226)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SUMIFS(RAB!$F$14:$F$107,RAB!$C$14:$C$107,C1227)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SUMIFS(RAB!$F$14:$F$107,RAB!$C$14:$C$107,C1228)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SUMIFS(RAB!$F$14:$F$107,RAB!$C$14:$C$107,C1229)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SUMIFS(RAB!$F$14:$F$107,RAB!$C$14:$C$107,C1230)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SUMIFS(RAB!$F$14:$F$107,RAB!$C$14:$C$107,C1231)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SUMIFS(RAB!$F$14:$F$107,RAB!$C$14:$C$107,C1232)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SUMIFS(RAB!$F$14:$F$107,RAB!$C$14:$C$107,C1233)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SUMIFS(RAB!$F$14:$F$107,RAB!$C$14:$C$107,C1234)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SUMIFS(RAB!$F$14:$F$107,RAB!$C$14:$C$107,C1235)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SUMIFS(RAB!$F$14:$F$107,RAB!$C$14:$C$107,C1236)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SUMIFS(RAB!$F$14:$F$107,RAB!$C$14:$C$107,C1237)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SUMIFS(RAB!$F$14:$F$107,RAB!$C$14:$C$107,C1238)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SUMIFS(RAB!$F$14:$F$107,RAB!$C$14:$C$107,C1239)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SUMIFS(RAB!$F$14:$F$107,RAB!$C$14:$C$107,C1240)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SUMIFS(RAB!$F$14:$F$107,RAB!$C$14:$C$107,C1241)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SUMIFS(RAB!$F$14:$F$107,RAB!$C$14:$C$107,C1242)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SUMIFS(RAB!$F$14:$F$107,RAB!$C$14:$C$107,C1243)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SUMIFS(RAB!$F$14:$F$107,RAB!$C$14:$C$107,C1244)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SUMIFS(RAB!$F$14:$F$107,RAB!$C$14:$C$107,C1245)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SUMIFS(RAB!$F$14:$F$107,RAB!$C$14:$C$107,C1246)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SUMIFS(RAB!$F$14:$F$107,RAB!$C$14:$C$107,C1247)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SUMIFS(RAB!$F$14:$F$107,RAB!$C$14:$C$107,C1248)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SUMIFS(RAB!$F$14:$F$107,RAB!$C$14:$C$107,C1249)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SUMIFS(RAB!$F$14:$F$107,RAB!$C$14:$C$107,C1250)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SUMIFS(RAB!$F$14:$F$107,RAB!$C$14:$C$107,C1251)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SUMIFS(RAB!$F$14:$F$107,RAB!$C$14:$C$107,C1252)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SUMIFS(RAB!$F$14:$F$107,RAB!$C$14:$C$107,C1253)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SUMIFS(RAB!$F$14:$F$107,RAB!$C$14:$C$107,C1254)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SUMIFS(RAB!$F$14:$F$107,RAB!$C$14:$C$107,C1255)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SUMIFS(RAB!$F$14:$F$107,RAB!$C$14:$C$107,C1256)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SUMIFS(RAB!$F$14:$F$107,RAB!$C$14:$C$107,C1257)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SUMIFS(RAB!$F$14:$F$107,RAB!$C$14:$C$107,C1258)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SUMIFS(RAB!$F$14:$F$107,RAB!$C$14:$C$107,C1259)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SUMIFS(RAB!$F$14:$F$107,RAB!$C$14:$C$107,C1260)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SUMIFS(RAB!$F$14:$F$107,RAB!$C$14:$C$107,C1261)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SUMIFS(RAB!$F$14:$F$107,RAB!$C$14:$C$107,C1262)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SUMIFS(RAB!$F$14:$F$107,RAB!$C$14:$C$107,C1263)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SUMIFS(RAB!$F$14:$F$107,RAB!$C$14:$C$107,C1264)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SUMIFS(RAB!$F$14:$F$107,RAB!$C$14:$C$107,C1265)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SUMIFS(RAB!$F$14:$F$107,RAB!$C$14:$C$107,C1266)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SUMIFS(RAB!$F$14:$F$107,RAB!$C$14:$C$107,C1267)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SUMIFS(RAB!$F$14:$F$107,RAB!$C$14:$C$107,C1268)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SUMIFS(RAB!$F$14:$F$107,RAB!$C$14:$C$107,C1269)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SUMIFS(RAB!$F$14:$F$107,RAB!$C$14:$C$107,C1270)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SUMIFS(RAB!$F$14:$F$107,RAB!$C$14:$C$107,C1271)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SUMIFS(RAB!$F$14:$F$107,RAB!$C$14:$C$107,C1272)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SUMIFS(RAB!$F$14:$F$107,RAB!$C$14:$C$107,C1273)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SUMIFS(RAB!$F$14:$F$107,RAB!$C$14:$C$107,C1274)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SUMIFS(RAB!$F$14:$F$107,RAB!$C$14:$C$107,C1275)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SUMIFS(RAB!$F$14:$F$107,RAB!$C$14:$C$107,C1276)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SUMIFS(RAB!$F$14:$F$107,RAB!$C$14:$C$107,C1277)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SUMIFS(RAB!$F$14:$F$107,RAB!$C$14:$C$107,C1278)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SUMIFS(RAB!$F$14:$F$107,RAB!$C$14:$C$107,C1279)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SUMIFS(RAB!$F$14:$F$107,RAB!$C$14:$C$107,C1280)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SUMIFS(RAB!$F$14:$F$107,RAB!$C$14:$C$107,C1281)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SUMIFS(RAB!$F$14:$F$107,RAB!$C$14:$C$107,C1282)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SUMIFS(RAB!$F$14:$F$107,RAB!$C$14:$C$107,C1283)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SUMIFS(RAB!$F$14:$F$107,RAB!$C$14:$C$107,C1284)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SUMIFS(RAB!$F$14:$F$107,RAB!$C$14:$C$107,C1285)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SUMIFS(RAB!$F$14:$F$107,RAB!$C$14:$C$107,C1286)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SUMIFS(RAB!$F$14:$F$107,RAB!$C$14:$C$107,C1287)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SUMIFS(RAB!$F$14:$F$107,RAB!$C$14:$C$107,C1288)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SUMIFS(RAB!$F$14:$F$107,RAB!$C$14:$C$107,C1289)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SUMIFS(RAB!$F$14:$F$107,RAB!$C$14:$C$107,C1290)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SUMIFS(RAB!$F$14:$F$107,RAB!$C$14:$C$107,C1291)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SUMIFS(RAB!$F$14:$F$107,RAB!$C$14:$C$107,C1292)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SUMIFS(RAB!$F$14:$F$107,RAB!$C$14:$C$107,C1293)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SUMIFS(RAB!$F$14:$F$107,RAB!$C$14:$C$107,C1294)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SUMIFS(RAB!$F$14:$F$107,RAB!$C$14:$C$107,C1295)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SUMIFS(RAB!$F$14:$F$107,RAB!$C$14:$C$107,C1296)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SUMIFS(RAB!$F$14:$F$107,RAB!$C$14:$C$107,C1297)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SUMIFS(RAB!$F$14:$F$107,RAB!$C$14:$C$107,C1298)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SUMIFS(RAB!$F$14:$F$107,RAB!$C$14:$C$107,C1299)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SUMIFS(RAB!$F$14:$F$107,RAB!$C$14:$C$107,C1300)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SUMIFS(RAB!$F$14:$F$107,RAB!$C$14:$C$107,C1301)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SUMIFS(RAB!$F$14:$F$107,RAB!$C$14:$C$107,C1302)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SUMIFS(RAB!$F$14:$F$107,RAB!$C$14:$C$107,C1303)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SUMIFS(RAB!$F$14:$F$107,RAB!$C$14:$C$107,C1304)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SUMIFS(RAB!$F$14:$F$107,RAB!$C$14:$C$107,C1305)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SUMIFS(RAB!$F$14:$F$107,RAB!$C$14:$C$107,C1306)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SUMIFS(RAB!$F$14:$F$107,RAB!$C$14:$C$107,C1307)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SUMIFS(RAB!$F$14:$F$107,RAB!$C$14:$C$107,C1308)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SUMIFS(RAB!$F$14:$F$107,RAB!$C$14:$C$107,C1309)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SUMIFS(RAB!$F$14:$F$107,RAB!$C$14:$C$107,C1310)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SUMIFS(RAB!$F$14:$F$107,RAB!$C$14:$C$107,C1311)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SUMIFS(RAB!$F$14:$F$107,RAB!$C$14:$C$107,C1312)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SUMIFS(RAB!$F$14:$F$107,RAB!$C$14:$C$107,C1313)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SUMIFS(RAB!$F$14:$F$107,RAB!$C$14:$C$107,C1314)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SUMIFS(RAB!$F$14:$F$107,RAB!$C$14:$C$107,C1315)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SUMIFS(RAB!$F$14:$F$107,RAB!$C$14:$C$107,C1316)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SUMIFS(RAB!$F$14:$F$107,RAB!$C$14:$C$107,C1317)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SUMIFS(RAB!$F$14:$F$107,RAB!$C$14:$C$107,C1318)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SUMIFS(RAB!$F$14:$F$107,RAB!$C$14:$C$107,C1319)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SUMIFS(RAB!$F$14:$F$107,RAB!$C$14:$C$107,C1320)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1" priority="5" operator="equal">
      <formula>0</formula>
    </cfRule>
  </conditionalFormatting>
  <conditionalFormatting sqref="A10:L65536">
    <cfRule type="cellIs" dxfId="60" priority="1" operator="equal">
      <formula>0</formula>
    </cfRule>
  </conditionalFormatting>
  <conditionalFormatting sqref="C12:C711">
    <cfRule type="cellIs" dxfId="59" priority="66" stopIfTrue="1" operator="equal">
      <formula>0</formula>
    </cfRule>
  </conditionalFormatting>
  <conditionalFormatting sqref="E712:E65536">
    <cfRule type="cellIs" dxfId="58" priority="16" stopIfTrue="1" operator="equal">
      <formula>0</formula>
    </cfRule>
  </conditionalFormatting>
  <conditionalFormatting sqref="G1:G11 E6:E11 E1:E3 H7 H10:H11 F10:F711 G712:G65536">
    <cfRule type="cellIs" dxfId="57" priority="69" stopIfTrue="1" operator="equal">
      <formula>0</formula>
    </cfRule>
  </conditionalFormatting>
  <conditionalFormatting sqref="G12:H711">
    <cfRule type="cellIs" dxfId="56" priority="12" stopIfTrue="1" operator="equal">
      <formula>0</formula>
    </cfRule>
  </conditionalFormatting>
  <conditionalFormatting sqref="I7:K7">
    <cfRule type="cellIs" dxfId="55" priority="4" stopIfTrue="1" operator="equal">
      <formula>0</formula>
    </cfRule>
  </conditionalFormatting>
  <conditionalFormatting sqref="I10:L711">
    <cfRule type="cellIs" dxfId="54" priority="2" stopIfTrue="1" operator="equal">
      <formula>0</formula>
    </cfRule>
  </conditionalFormatting>
  <conditionalFormatting sqref="L1:L6">
    <cfRule type="cellIs" dxfId="53" priority="10" operator="equal">
      <formula>0</formula>
    </cfRule>
  </conditionalFormatting>
  <conditionalFormatting sqref="M1:IV1048576 A8:G9">
    <cfRule type="cellIs" dxfId="52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1127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IOH BUNGO WEDUNG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BUNGO RT 7 RW 1 DS BUNGO WEDUNG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1008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462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463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SUMIFS(RAB!$F$14:$F$107,RAB!$C$14:$C$107,'REKAP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SUMIFS(RAB!$F$14:$F$107,RAB!$C$14:$C$107,'REKAP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SUMIFS(RAB!$F$14:$F$107,RAB!$C$14:$C$107,'REKAP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SUMIFS(RAB!$F$14:$F$107,RAB!$C$14:$C$107,'REKAP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SUMIFS(RAB!$F$14:$F$107,RAB!$C$14:$C$107,'REKAP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SUMIFS(RAB!$F$14:$F$107,RAB!$C$14:$C$107,'REKAP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SUMIFS(RAB!$F$14:$F$107,RAB!$C$14:$C$107,'REKAP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SUMIFS(RAB!$F$14:$F$107,RAB!$C$14:$C$107,'REKAP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SUMIFS(RAB!$F$14:$F$107,RAB!$C$14:$C$107,'REKAP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SUMIFS(RAB!$F$14:$F$107,RAB!$C$14:$C$107,'REKAP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SUMIFS(RAB!$F$14:$F$107,RAB!$C$14:$C$107,'REKAP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SUMIFS(RAB!$F$14:$F$107,RAB!$C$14:$C$107,'REKAP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SUMIFS(RAB!$F$14:$F$107,RAB!$C$14:$C$107,'REKAP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SUMIFS(RAB!$F$14:$F$107,RAB!$C$14:$C$107,'REKAP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SUMIFS(RAB!$F$14:$F$107,RAB!$C$14:$C$107,'REKAP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SUMIFS(RAB!$F$14:$F$107,RAB!$C$14:$C$107,'REKAP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SUMIFS(RAB!$F$14:$F$107,RAB!$C$14:$C$107,'REKAP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SUMIFS(RAB!$F$14:$F$107,RAB!$C$14:$C$107,'REKAP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SUMIFS(RAB!$F$14:$F$107,RAB!$C$14:$C$107,'REKAP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SUMIFS(RAB!$F$14:$F$107,RAB!$C$14:$C$107,'REKAP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1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1034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IOH BUNGO WEDUNG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BUNGO RT 7 RW 1 DS BUNGO WEDUNG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2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28400</v>
      </c>
      <c r="I20" s="42">
        <f t="shared" ca="1" si="2"/>
        <v>0</v>
      </c>
      <c r="J20" s="42">
        <f t="shared" ca="1" si="3"/>
        <v>0</v>
      </c>
      <c r="K20" s="43">
        <f t="shared" ca="1" si="0"/>
        <v>28400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2 x 70 + N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90</v>
      </c>
      <c r="G21" s="41">
        <f ca="1">IF(ISERROR(OFFSET('HARGA SATUAN'!$I$6,MATCH(C21,'HARGA SATUAN'!$C$7:$C$1492,0),0)),"",OFFSET('HARGA SATUAN'!$I$6,MATCH(C21,'HARGA SATUAN'!$C$7:$C$1492,0),0))</f>
        <v>53300</v>
      </c>
      <c r="H21" s="42">
        <f t="shared" ca="1" si="1"/>
        <v>4797000</v>
      </c>
      <c r="I21" s="42">
        <f t="shared" ca="1" si="2"/>
        <v>0</v>
      </c>
      <c r="J21" s="42">
        <f t="shared" ca="1" si="3"/>
        <v>0</v>
      </c>
      <c r="K21" s="43">
        <f t="shared" ca="1" si="0"/>
        <v>4797000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2 x 16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35</v>
      </c>
      <c r="G22" s="41">
        <f ca="1">IF(ISERROR(OFFSET('HARGA SATUAN'!$I$6,MATCH(C22,'HARGA SATUAN'!$C$7:$C$1492,0),0)),"",OFFSET('HARGA SATUAN'!$I$6,MATCH(C22,'HARGA SATUAN'!$C$7:$C$1492,0),0))</f>
        <v>6600</v>
      </c>
      <c r="H22" s="42">
        <f t="shared" ca="1" si="1"/>
        <v>231000</v>
      </c>
      <c r="I22" s="42">
        <f t="shared" ca="1" si="2"/>
        <v>0</v>
      </c>
      <c r="J22" s="42">
        <f t="shared" ca="1" si="3"/>
        <v>0</v>
      </c>
      <c r="K22" s="43">
        <f t="shared" ca="1" si="0"/>
        <v>231000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1008</v>
      </c>
      <c r="D168" s="538"/>
      <c r="E168" s="538"/>
      <c r="F168" s="538"/>
      <c r="G168" s="77" t="s">
        <v>9</v>
      </c>
      <c r="H168" s="55">
        <f ca="1">SUM(H14:H167)</f>
        <v>35529800</v>
      </c>
      <c r="I168" s="55">
        <f ca="1">SUM(I14:I167)</f>
        <v>0</v>
      </c>
      <c r="J168" s="55">
        <f ca="1">SUM(J14:J167)</f>
        <v>0</v>
      </c>
      <c r="K168" s="55">
        <f ca="1">SUM(K14:K167)</f>
        <v>35529800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462</v>
      </c>
      <c r="D169" s="539"/>
      <c r="E169" s="539"/>
      <c r="F169" s="539"/>
      <c r="G169" s="59" t="s">
        <v>9</v>
      </c>
      <c r="H169" s="60">
        <f ca="1">H168*0.1</f>
        <v>3552980</v>
      </c>
      <c r="I169" s="60">
        <f ca="1">I168*0.1</f>
        <v>0</v>
      </c>
      <c r="J169" s="60">
        <f ca="1">J168*0.1</f>
        <v>0</v>
      </c>
      <c r="K169" s="60">
        <f ca="1">K168*0.1</f>
        <v>3552980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463</v>
      </c>
      <c r="D170" s="528"/>
      <c r="E170" s="528"/>
      <c r="F170" s="528"/>
      <c r="G170" s="61" t="s">
        <v>9</v>
      </c>
      <c r="H170" s="78">
        <f ca="1">SUM(H168:H169)</f>
        <v>39082780</v>
      </c>
      <c r="I170" s="78">
        <f ca="1">SUM(I168:I169)</f>
        <v>0</v>
      </c>
      <c r="J170" s="61">
        <f ca="1">SUM(J168:J169)</f>
        <v>0</v>
      </c>
      <c r="K170" s="61">
        <f ca="1">SUM(K168:K169)</f>
        <v>39082780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SUMIFS(RAB!$F$14:$F$107,RAB!$C$14:$C$107,C224)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SUMIFS(RAB!$F$14:$F$107,RAB!$C$14:$C$107,C225)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SUMIFS(RAB!$F$14:$F$107,RAB!$C$14:$C$107,C226)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SUMIFS(RAB!$F$14:$F$107,RAB!$C$14:$C$107,C227)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SUMIFS(RAB!$F$14:$F$107,RAB!$C$14:$C$107,C228)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SUMIFS(RAB!$F$14:$F$107,RAB!$C$14:$C$107,C229)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SUMIFS(RAB!$F$14:$F$107,RAB!$C$14:$C$107,C230)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SUMIFS(RAB!$F$14:$F$107,RAB!$C$14:$C$107,C231)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SUMIFS(RAB!$F$14:$F$107,RAB!$C$14:$C$107,C232)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SUMIFS(RAB!$F$14:$F$107,RAB!$C$14:$C$107,C233)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SUMIFS(RAB!$F$14:$F$107,RAB!$C$14:$C$107,C234)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SUMIFS(RAB!$F$14:$F$107,RAB!$C$14:$C$107,C235)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SUMIFS(RAB!$F$14:$F$107,RAB!$C$14:$C$107,C236)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SUMIFS(RAB!$F$14:$F$107,RAB!$C$14:$C$107,C237)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SUMIFS(RAB!$F$14:$F$107,RAB!$C$14:$C$107,C238)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SUMIFS(RAB!$F$14:$F$107,RAB!$C$14:$C$107,C239)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SUMIFS(RAB!$F$14:$F$107,RAB!$C$14:$C$107,C240)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SUMIFS(RAB!$F$14:$F$107,RAB!$C$14:$C$107,C241)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SUMIFS(RAB!$F$14:$F$107,RAB!$C$14:$C$107,C242)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SUMIFS(RAB!$F$14:$F$107,RAB!$C$14:$C$107,C243)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SUMIFS(RAB!$F$14:$F$107,RAB!$C$14:$C$107,C244)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SUMIFS(RAB!$F$14:$F$107,RAB!$C$14:$C$107,C245)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SUMIFS(RAB!$F$14:$F$107,RAB!$C$14:$C$107,C246)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SUMIFS(RAB!$F$14:$F$107,RAB!$C$14:$C$107,C247)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SUMIFS(RAB!$F$14:$F$107,RAB!$C$14:$C$107,C248)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SUMIFS(RAB!$F$14:$F$107,RAB!$C$14:$C$107,C249)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SUMIFS(RAB!$F$14:$F$107,RAB!$C$14:$C$107,C250)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SUMIFS(RAB!$F$14:$F$107,RAB!$C$14:$C$107,C251)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SUMIFS(RAB!$F$14:$F$107,RAB!$C$14:$C$107,C252)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SUMIFS(RAB!$F$14:$F$107,RAB!$C$14:$C$107,C253)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SUMIFS(RAB!$F$14:$F$107,RAB!$C$14:$C$107,C254)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SUMIFS(RAB!$F$14:$F$107,RAB!$C$14:$C$107,C255)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SUMIFS(RAB!$F$14:$F$107,RAB!$C$14:$C$107,C256)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SUMIFS(RAB!$F$14:$F$107,RAB!$C$14:$C$107,C257)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SUMIFS(RAB!$F$14:$F$107,RAB!$C$14:$C$107,C258)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SUMIFS(RAB!$F$14:$F$107,RAB!$C$14:$C$107,C259)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SUMIFS(RAB!$F$14:$F$107,RAB!$C$14:$C$107,C260)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SUMIFS(RAB!$F$14:$F$107,RAB!$C$14:$C$107,C261)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SUMIFS(RAB!$F$14:$F$107,RAB!$C$14:$C$107,C262)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SUMIFS(RAB!$F$14:$F$107,RAB!$C$14:$C$107,C263)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SUMIFS(RAB!$F$14:$F$107,RAB!$C$14:$C$107,C264)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SUMIFS(RAB!$F$14:$F$107,RAB!$C$14:$C$107,C265)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SUMIFS(RAB!$F$14:$F$107,RAB!$C$14:$C$107,C266)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SUMIFS(RAB!$F$14:$F$107,RAB!$C$14:$C$107,C267)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SUMIFS(RAB!$F$14:$F$107,RAB!$C$14:$C$107,C268)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SUMIFS(RAB!$F$14:$F$107,RAB!$C$14:$C$107,C269)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SUMIFS(RAB!$F$14:$F$107,RAB!$C$14:$C$107,C270)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SUMIFS(RAB!$F$14:$F$107,RAB!$C$14:$C$107,C271)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SUMIFS(RAB!$F$14:$F$107,RAB!$C$14:$C$107,C272)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SUMIFS(RAB!$F$14:$F$107,RAB!$C$14:$C$107,C273)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SUMIFS(RAB!$F$14:$F$107,RAB!$C$14:$C$107,C274)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SUMIFS(RAB!$F$14:$F$107,RAB!$C$14:$C$107,C275)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SUMIFS(RAB!$F$14:$F$107,RAB!$C$14:$C$107,C276)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SUMIFS(RAB!$F$14:$F$107,RAB!$C$14:$C$107,C277)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SUMIFS(RAB!$F$14:$F$107,RAB!$C$14:$C$107,C278)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SUMIFS(RAB!$F$14:$F$107,RAB!$C$14:$C$107,C279)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SUMIFS(RAB!$F$14:$F$107,RAB!$C$14:$C$107,C280)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SUMIFS(RAB!$F$14:$F$107,RAB!$C$14:$C$107,C281)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SUMIFS(RAB!$F$14:$F$107,RAB!$C$14:$C$107,C282)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SUMIFS(RAB!$F$14:$F$107,RAB!$C$14:$C$107,C283)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SUMIFS(RAB!$F$14:$F$107,RAB!$C$14:$C$107,C284)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SUMIFS(RAB!$F$14:$F$107,RAB!$C$14:$C$107,C285)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SUMIFS(RAB!$F$14:$F$107,RAB!$C$14:$C$107,C286)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SUMIFS(RAB!$F$14:$F$107,RAB!$C$14:$C$107,C287)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SUMIFS(RAB!$F$14:$F$107,RAB!$C$14:$C$107,C288)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SUMIFS(RAB!$F$14:$F$107,RAB!$C$14:$C$107,C289)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SUMIFS(RAB!$F$14:$F$107,RAB!$C$14:$C$107,C290)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SUMIFS(RAB!$F$14:$F$107,RAB!$C$14:$C$107,C291)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SUMIFS(RAB!$F$14:$F$107,RAB!$C$14:$C$107,C292)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SUMIFS(RAB!$F$14:$F$107,RAB!$C$14:$C$107,C293)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SUMIFS(RAB!$F$14:$F$107,RAB!$C$14:$C$107,C294)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SUMIFS(RAB!$F$14:$F$107,RAB!$C$14:$C$107,C295)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SUMIFS(RAB!$F$14:$F$107,RAB!$C$14:$C$107,C296)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SUMIFS(RAB!$F$14:$F$107,RAB!$C$14:$C$107,C297)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SUMIFS(RAB!$F$14:$F$107,RAB!$C$14:$C$107,C298)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SUMIFS(RAB!$F$14:$F$107,RAB!$C$14:$C$107,C299)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SUMIFS(RAB!$F$14:$F$107,RAB!$C$14:$C$107,C300)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SUMIFS(RAB!$F$14:$F$107,RAB!$C$14:$C$107,C301)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SUMIFS(RAB!$F$14:$F$107,RAB!$C$14:$C$107,C302)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SUMIFS(RAB!$F$14:$F$107,RAB!$C$14:$C$107,C303)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SUMIFS(RAB!$F$14:$F$107,RAB!$C$14:$C$107,C304)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SUMIFS(RAB!$F$14:$F$107,RAB!$C$14:$C$107,C305)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SUMIFS(RAB!$F$14:$F$107,RAB!$C$14:$C$107,C306)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SUMIFS(RAB!$F$14:$F$107,RAB!$C$14:$C$107,C307)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SUMIFS(RAB!$F$14:$F$107,RAB!$C$14:$C$107,C308)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SUMIFS(RAB!$F$14:$F$107,RAB!$C$14:$C$107,C309)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SUMIFS(RAB!$F$14:$F$107,RAB!$C$14:$C$107,C310)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SUMIFS(RAB!$F$14:$F$107,RAB!$C$14:$C$107,C311)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SUMIFS(RAB!$F$14:$F$107,RAB!$C$14:$C$107,C312)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SUMIFS(RAB!$F$14:$F$107,RAB!$C$14:$C$107,C313)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SUMIFS(RAB!$F$14:$F$107,RAB!$C$14:$C$107,C314)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SUMIFS(RAB!$F$14:$F$107,RAB!$C$14:$C$107,C315)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SUMIFS(RAB!$F$14:$F$107,RAB!$C$14:$C$107,C316)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SUMIFS(RAB!$F$14:$F$107,RAB!$C$14:$C$107,C317)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SUMIFS(RAB!$F$14:$F$107,RAB!$C$14:$C$107,C318)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SUMIFS(RAB!$F$14:$F$107,RAB!$C$14:$C$107,C319)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SUMIFS(RAB!$F$14:$F$107,RAB!$C$14:$C$107,C320)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SUMIFS(RAB!$F$14:$F$107,RAB!$C$14:$C$107,C321)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SUMIFS(RAB!$F$14:$F$107,RAB!$C$14:$C$107,C322)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SUMIFS(RAB!$F$14:$F$107,RAB!$C$14:$C$107,C323)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SUMIFS(RAB!$F$14:$F$107,RAB!$C$14:$C$107,C324)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SUMIFS(RAB!$F$14:$F$107,RAB!$C$14:$C$107,C325)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SUMIFS(RAB!$F$14:$F$107,RAB!$C$14:$C$107,C326)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SUMIFS(RAB!$F$14:$F$107,RAB!$C$14:$C$107,C327)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SUMIFS(RAB!$F$14:$F$107,RAB!$C$14:$C$107,C328)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SUMIFS(RAB!$F$14:$F$107,RAB!$C$14:$C$107,C329)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SUMIFS(RAB!$F$14:$F$107,RAB!$C$14:$C$107,C330)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SUMIFS(RAB!$F$14:$F$107,RAB!$C$14:$C$107,C331)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SUMIFS(RAB!$F$14:$F$107,RAB!$C$14:$C$107,C332)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SUMIFS(RAB!$F$14:$F$107,RAB!$C$14:$C$107,C333)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SUMIFS(RAB!$F$14:$F$107,RAB!$C$14:$C$107,C334)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SUMIFS(RAB!$F$14:$F$107,RAB!$C$14:$C$107,C335)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SUMIFS(RAB!$F$14:$F$107,RAB!$C$14:$C$107,C336)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SUMIFS(RAB!$F$14:$F$107,RAB!$C$14:$C$107,C337)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SUMIFS(RAB!$F$14:$F$107,RAB!$C$14:$C$107,C338)</f>
        <v>2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SUMIFS(RAB!$F$14:$F$107,RAB!$C$14:$C$107,C339)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SUMIFS(RAB!$F$14:$F$107,RAB!$C$14:$C$107,C340)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SUMIFS(RAB!$F$14:$F$107,RAB!$C$14:$C$107,C341)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SUMIFS(RAB!$F$14:$F$107,RAB!$C$14:$C$107,C342)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SUMIFS(RAB!$F$14:$F$107,RAB!$C$14:$C$107,C343)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SUMIFS(RAB!$F$14:$F$107,RAB!$C$14:$C$107,C344)</f>
        <v>90</v>
      </c>
      <c r="E344" s="24">
        <f t="shared" ca="1" si="22"/>
        <v>1</v>
      </c>
      <c r="F344" s="24">
        <f ca="1">IF(D344=0,0,SUM($E$223:E344))</f>
        <v>6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SUMIFS(RAB!$F$14:$F$107,RAB!$C$14:$C$107,C345)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SUMIFS(RAB!$F$14:$F$107,RAB!$C$14:$C$107,C346)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SUMIFS(RAB!$F$14:$F$107,RAB!$C$14:$C$107,C347)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SUMIFS(RAB!$F$14:$F$107,RAB!$C$14:$C$107,C348)</f>
        <v>35</v>
      </c>
      <c r="E348" s="24">
        <f t="shared" ca="1" si="22"/>
        <v>1</v>
      </c>
      <c r="F348" s="24">
        <f ca="1">IF(D348=0,0,SUM($E$223:E348))</f>
        <v>7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SUMIFS(RAB!$F$14:$F$107,RAB!$C$14:$C$107,C349)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SUMIFS(RAB!$F$14:$F$107,RAB!$C$14:$C$107,C350)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SUMIFS(RAB!$F$14:$F$107,RAB!$C$14:$C$107,C351)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SUMIFS(RAB!$F$14:$F$107,RAB!$C$14:$C$107,C352)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SUMIFS(RAB!$F$14:$F$107,RAB!$C$14:$C$107,C353)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SUMIFS(RAB!$F$14:$F$107,RAB!$C$14:$C$107,C354)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SUMIFS(RAB!$F$14:$F$107,RAB!$C$14:$C$107,C355)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SUMIFS(RAB!$F$14:$F$107,RAB!$C$14:$C$107,C356)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SUMIFS(RAB!$F$14:$F$107,RAB!$C$14:$C$107,C357)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SUMIFS(RAB!$F$14:$F$107,RAB!$C$14:$C$107,C358)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SUMIFS(RAB!$F$14:$F$107,RAB!$C$14:$C$107,C359)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SUMIFS(RAB!$F$14:$F$107,RAB!$C$14:$C$107,C360)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SUMIFS(RAB!$F$14:$F$107,RAB!$C$14:$C$107,C361)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SUMIFS(RAB!$F$14:$F$107,RAB!$C$14:$C$107,C362)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SUMIFS(RAB!$F$14:$F$107,RAB!$C$14:$C$107,C363)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SUMIFS(RAB!$F$14:$F$107,RAB!$C$14:$C$107,C364)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SUMIFS(RAB!$F$14:$F$107,RAB!$C$14:$C$107,C365)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SUMIFS(RAB!$F$14:$F$107,RAB!$C$14:$C$107,C366)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SUMIFS(RAB!$F$14:$F$107,RAB!$C$14:$C$107,C367)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SUMIFS(RAB!$F$14:$F$107,RAB!$C$14:$C$107,C368)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SUMIFS(RAB!$F$14:$F$107,RAB!$C$14:$C$107,C369)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SUMIFS(RAB!$F$14:$F$107,RAB!$C$14:$C$107,C370)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SUMIFS(RAB!$F$14:$F$107,RAB!$C$14:$C$107,C371)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SUMIFS(RAB!$F$14:$F$107,RAB!$C$14:$C$107,C372)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SUMIFS(RAB!$F$14:$F$107,RAB!$C$14:$C$107,C373)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9" priority="5" operator="equal">
      <formula>0</formula>
    </cfRule>
  </conditionalFormatting>
  <conditionalFormatting sqref="C16:C165">
    <cfRule type="cellIs" dxfId="48" priority="4" stopIfTrue="1" operator="equal">
      <formula>0</formula>
    </cfRule>
  </conditionalFormatting>
  <conditionalFormatting sqref="C16:E165">
    <cfRule type="cellIs" dxfId="47" priority="1" operator="equal">
      <formula>0</formula>
    </cfRule>
  </conditionalFormatting>
  <conditionalFormatting sqref="D224:F373">
    <cfRule type="cellIs" dxfId="46" priority="8" operator="equal">
      <formula>0</formula>
    </cfRule>
  </conditionalFormatting>
  <conditionalFormatting sqref="E1:E3 G1:G115 E6:E15 H12:I12 N13 F14:F15 H14:K115 E166:K166 G166:G223 E167:F167 H167:K167">
    <cfRule type="cellIs" dxfId="45" priority="43" stopIfTrue="1" operator="equal">
      <formula>0</formula>
    </cfRule>
  </conditionalFormatting>
  <conditionalFormatting sqref="E171:E65536">
    <cfRule type="cellIs" dxfId="44" priority="9" stopIfTrue="1" operator="equal">
      <formula>0</formula>
    </cfRule>
  </conditionalFormatting>
  <conditionalFormatting sqref="G224">
    <cfRule type="cellIs" dxfId="43" priority="10" operator="equal">
      <formula>0</formula>
    </cfRule>
  </conditionalFormatting>
  <conditionalFormatting sqref="G225:G65536">
    <cfRule type="cellIs" dxfId="42" priority="14" stopIfTrue="1" operator="equal">
      <formula>0</formula>
    </cfRule>
  </conditionalFormatting>
  <conditionalFormatting sqref="R14:T166 G116:K165">
    <cfRule type="cellIs" dxfId="41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0" activePane="bottomRight" state="frozen"/>
      <selection activeCell="D209" sqref="D209"/>
      <selection pane="topRight" activeCell="D209" sqref="D209"/>
      <selection pane="bottomLeft" activeCell="D209" sqref="D209"/>
      <selection pane="bottomRight" activeCell="C228" sqref="C22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1609</v>
      </c>
      <c r="G4" s="108" t="s">
        <v>1608</v>
      </c>
      <c r="H4" s="555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0" priority="138" operator="equal">
      <formula>0</formula>
    </cfRule>
  </conditionalFormatting>
  <conditionalFormatting sqref="B8:C135">
    <cfRule type="cellIs" dxfId="39" priority="51" operator="equal">
      <formula>0</formula>
    </cfRule>
  </conditionalFormatting>
  <conditionalFormatting sqref="B150:G1493">
    <cfRule type="cellIs" dxfId="38" priority="1" operator="equal">
      <formula>0</formula>
    </cfRule>
  </conditionalFormatting>
  <conditionalFormatting sqref="C143:G149">
    <cfRule type="cellIs" dxfId="37" priority="5" operator="equal">
      <formula>0</formula>
    </cfRule>
  </conditionalFormatting>
  <conditionalFormatting sqref="D9:G142">
    <cfRule type="cellIs" dxfId="36" priority="11" operator="equal">
      <formula>0</formula>
    </cfRule>
  </conditionalFormatting>
  <conditionalFormatting sqref="D1:IV5 A1:C7 D6:K6 H1455:IV1457 H1458:XFD1485 H1486:H1493 I1486:XFD1494 A1494:H1494 A1495:XFD65536">
    <cfRule type="cellIs" dxfId="35" priority="163" operator="equal">
      <formula>0</formula>
    </cfRule>
  </conditionalFormatting>
  <conditionalFormatting sqref="D7:IV8 C136:C142 B136:B149">
    <cfRule type="cellIs" dxfId="34" priority="62" operator="equal">
      <formula>0</formula>
    </cfRule>
  </conditionalFormatting>
  <conditionalFormatting sqref="H9:H1418">
    <cfRule type="cellIs" dxfId="33" priority="129" operator="equal">
      <formula>0</formula>
    </cfRule>
  </conditionalFormatting>
  <conditionalFormatting sqref="H1419:I1454">
    <cfRule type="cellIs" dxfId="32" priority="128" operator="equal">
      <formula>0</formula>
    </cfRule>
  </conditionalFormatting>
  <conditionalFormatting sqref="I108:I1418">
    <cfRule type="cellIs" dxfId="31" priority="125" operator="equal">
      <formula>0</formula>
    </cfRule>
  </conditionalFormatting>
  <conditionalFormatting sqref="J108:IV1454">
    <cfRule type="cellIs" dxfId="30" priority="139" operator="equal">
      <formula>0</formula>
    </cfRule>
  </conditionalFormatting>
  <conditionalFormatting sqref="M6:IV6">
    <cfRule type="cellIs" dxfId="29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3" t="s">
        <v>1454</v>
      </c>
      <c r="C2" s="563"/>
      <c r="D2" s="563"/>
      <c r="E2" s="563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8" t="s">
        <v>1532</v>
      </c>
      <c r="C4" s="569"/>
      <c r="D4" s="569"/>
      <c r="E4" s="570"/>
      <c r="F4" s="442"/>
      <c r="G4" s="442"/>
      <c r="H4" s="443"/>
      <c r="I4" s="595" t="s">
        <v>1533</v>
      </c>
      <c r="J4" s="596"/>
      <c r="K4" s="596"/>
      <c r="L4" s="597"/>
    </row>
    <row r="5" spans="1:12" ht="34.5" customHeight="1">
      <c r="A5" s="204"/>
      <c r="B5" s="445" t="s">
        <v>1379</v>
      </c>
      <c r="C5" s="277" t="s">
        <v>9</v>
      </c>
      <c r="D5" s="564" t="str">
        <f>DATA!D14</f>
        <v>IOH BUNGO WEDUNG</v>
      </c>
      <c r="E5" s="565"/>
      <c r="F5" s="208"/>
      <c r="G5" s="208"/>
      <c r="I5" s="446" t="s">
        <v>1379</v>
      </c>
      <c r="J5" s="277" t="s">
        <v>9</v>
      </c>
      <c r="K5" s="598" t="str">
        <f>D5</f>
        <v>IOH BUNGO WEDUNG</v>
      </c>
      <c r="L5" s="599"/>
    </row>
    <row r="6" spans="1:12" ht="31.5" customHeight="1">
      <c r="A6" s="204"/>
      <c r="B6" s="445" t="s">
        <v>1529</v>
      </c>
      <c r="C6" s="277" t="s">
        <v>9</v>
      </c>
      <c r="D6" s="573">
        <f>DATA!D17*1000</f>
        <v>0</v>
      </c>
      <c r="E6" s="574"/>
      <c r="F6" s="208"/>
      <c r="G6" s="208"/>
      <c r="I6" s="446" t="s">
        <v>1530</v>
      </c>
      <c r="J6" s="277" t="s">
        <v>9</v>
      </c>
      <c r="K6" s="600">
        <f>DATA!D20*1000</f>
        <v>11000</v>
      </c>
      <c r="L6" s="601"/>
    </row>
    <row r="7" spans="1:12" ht="30.75" customHeight="1">
      <c r="A7" s="204"/>
      <c r="B7" s="445" t="s">
        <v>1441</v>
      </c>
      <c r="C7" s="277" t="s">
        <v>9</v>
      </c>
      <c r="D7" s="571">
        <f>DATA!D18</f>
        <v>1</v>
      </c>
      <c r="E7" s="572"/>
      <c r="F7" s="444" t="s">
        <v>1453</v>
      </c>
      <c r="I7" s="446" t="s">
        <v>1441</v>
      </c>
      <c r="J7" s="277" t="s">
        <v>9</v>
      </c>
      <c r="K7" s="602">
        <f>DATA!D21</f>
        <v>1</v>
      </c>
      <c r="L7" s="603"/>
    </row>
    <row r="8" spans="1:12" ht="51" customHeight="1">
      <c r="A8" s="204"/>
      <c r="B8" s="445" t="s">
        <v>1442</v>
      </c>
      <c r="C8" s="277" t="s">
        <v>9</v>
      </c>
      <c r="D8" s="571">
        <f>DATA!D19</f>
        <v>220</v>
      </c>
      <c r="E8" s="572"/>
      <c r="F8" s="444" t="s">
        <v>1453</v>
      </c>
      <c r="G8" s="439">
        <v>220</v>
      </c>
      <c r="I8" s="446" t="s">
        <v>1442</v>
      </c>
      <c r="J8" s="277" t="s">
        <v>9</v>
      </c>
      <c r="K8" s="602">
        <f>DATA!D22</f>
        <v>220</v>
      </c>
      <c r="L8" s="603"/>
    </row>
    <row r="9" spans="1:12" ht="30" customHeight="1" thickBot="1">
      <c r="A9" s="204"/>
      <c r="B9" s="451" t="s">
        <v>1541</v>
      </c>
      <c r="C9" s="441" t="s">
        <v>9</v>
      </c>
      <c r="D9" s="566">
        <f>IF(D7=1,D6/(380/3^0.5),(D6/(380*3^0.5)))</f>
        <v>0</v>
      </c>
      <c r="E9" s="567"/>
      <c r="F9" s="207"/>
      <c r="G9" s="440">
        <v>380</v>
      </c>
      <c r="I9" s="452" t="s">
        <v>1541</v>
      </c>
      <c r="J9" s="441" t="s">
        <v>9</v>
      </c>
      <c r="K9" s="604">
        <f>IF(K7=1,K6/(380/3^0.5),(K6/(380*3^0.5)))</f>
        <v>50.138312850678027</v>
      </c>
      <c r="L9" s="605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75"/>
      <c r="E12" s="576"/>
      <c r="F12" s="208"/>
      <c r="G12" s="208"/>
      <c r="I12" s="468" t="s">
        <v>1534</v>
      </c>
      <c r="J12" s="469" t="s">
        <v>9</v>
      </c>
      <c r="K12" s="575"/>
      <c r="L12" s="576"/>
    </row>
    <row r="13" spans="1:12" ht="31.5" customHeight="1">
      <c r="A13" s="204"/>
      <c r="B13" s="476" t="s">
        <v>1380</v>
      </c>
      <c r="C13" s="456" t="s">
        <v>9</v>
      </c>
      <c r="D13" s="579"/>
      <c r="E13" s="580"/>
      <c r="F13" s="208"/>
      <c r="G13" s="208"/>
      <c r="I13" s="470" t="s">
        <v>1380</v>
      </c>
      <c r="J13" s="456" t="s">
        <v>9</v>
      </c>
      <c r="K13" s="579"/>
      <c r="L13" s="580"/>
    </row>
    <row r="14" spans="1:12" ht="30.75" customHeight="1">
      <c r="A14" s="204"/>
      <c r="B14" s="476" t="s">
        <v>1535</v>
      </c>
      <c r="C14" s="456" t="s">
        <v>9</v>
      </c>
      <c r="D14" s="587"/>
      <c r="E14" s="588"/>
      <c r="F14" s="444" t="s">
        <v>1453</v>
      </c>
      <c r="G14" s="448">
        <v>50</v>
      </c>
      <c r="I14" s="470" t="s">
        <v>1535</v>
      </c>
      <c r="J14" s="456" t="s">
        <v>9</v>
      </c>
      <c r="K14" s="589"/>
      <c r="L14" s="590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91">
        <v>0</v>
      </c>
      <c r="E16" s="592"/>
      <c r="F16" s="444"/>
      <c r="G16" s="448">
        <v>160</v>
      </c>
      <c r="I16" s="470" t="s">
        <v>1537</v>
      </c>
      <c r="J16" s="456" t="s">
        <v>9</v>
      </c>
      <c r="K16" s="593">
        <f>K9</f>
        <v>50.138312850678027</v>
      </c>
      <c r="L16" s="594"/>
    </row>
    <row r="17" spans="1:12" ht="34.5" customHeight="1">
      <c r="A17" s="204"/>
      <c r="B17" s="476" t="s">
        <v>1538</v>
      </c>
      <c r="C17" s="456" t="s">
        <v>9</v>
      </c>
      <c r="D17" s="581">
        <f>IF(D15=1,D14/(20/3^0.5),(D14/(20*3^0.5)))</f>
        <v>0</v>
      </c>
      <c r="E17" s="582"/>
      <c r="F17" s="444" t="s">
        <v>1453</v>
      </c>
      <c r="G17" s="449">
        <v>200</v>
      </c>
      <c r="I17" s="470" t="s">
        <v>1538</v>
      </c>
      <c r="J17" s="456" t="s">
        <v>9</v>
      </c>
      <c r="K17" s="585">
        <f>IF(K15=1,K14/(20/3^0.5),(K14/(20*3^0.5)))</f>
        <v>0</v>
      </c>
      <c r="L17" s="586"/>
    </row>
    <row r="18" spans="1:12" ht="34.5" customHeight="1">
      <c r="A18" s="204"/>
      <c r="B18" s="476" t="s">
        <v>1539</v>
      </c>
      <c r="C18" s="456" t="s">
        <v>9</v>
      </c>
      <c r="D18" s="581">
        <f>IF(D15=1,D14/(380/3^0.5),(D14/(380*3^0.5)))*1000</f>
        <v>0</v>
      </c>
      <c r="E18" s="582"/>
      <c r="F18" s="444" t="s">
        <v>1453</v>
      </c>
      <c r="G18" s="449">
        <v>250</v>
      </c>
      <c r="I18" s="470" t="s">
        <v>1539</v>
      </c>
      <c r="J18" s="456" t="s">
        <v>9</v>
      </c>
      <c r="K18" s="585">
        <f>IF(K15=1,K14/(380/3^0.5),(K14/(380*3^0.5)))*1000</f>
        <v>0</v>
      </c>
      <c r="L18" s="586"/>
    </row>
    <row r="19" spans="1:12" ht="30" customHeight="1">
      <c r="A19" s="204"/>
      <c r="B19" s="477" t="s">
        <v>1531</v>
      </c>
      <c r="C19" s="455" t="s">
        <v>9</v>
      </c>
      <c r="D19" s="581">
        <f>IF(D15=1,D14/(380/3^0.5),(D14/(380*3^0.5)))</f>
        <v>0</v>
      </c>
      <c r="E19" s="582"/>
      <c r="F19" s="207"/>
      <c r="G19" s="440"/>
      <c r="I19" s="472" t="s">
        <v>1531</v>
      </c>
      <c r="J19" s="455" t="s">
        <v>9</v>
      </c>
      <c r="K19" s="585">
        <f>IF(K15=1,K14/(380/3^0.5),(K14/(380*3^0.5)))</f>
        <v>0</v>
      </c>
      <c r="L19" s="586"/>
    </row>
    <row r="20" spans="1:12" ht="30" customHeight="1" thickBot="1">
      <c r="A20" s="204"/>
      <c r="B20" s="478" t="s">
        <v>1540</v>
      </c>
      <c r="C20" s="474" t="s">
        <v>9</v>
      </c>
      <c r="D20" s="577" t="e">
        <f>D16/D18</f>
        <v>#DIV/0!</v>
      </c>
      <c r="E20" s="578"/>
      <c r="F20" s="207"/>
      <c r="G20" s="440"/>
      <c r="I20" s="473" t="s">
        <v>1531</v>
      </c>
      <c r="J20" s="474" t="s">
        <v>9</v>
      </c>
      <c r="K20" s="583" t="e">
        <f>K16/K18</f>
        <v>#DIV/0!</v>
      </c>
      <c r="L20" s="584"/>
    </row>
    <row r="21" spans="1:12" ht="9.75" customHeight="1">
      <c r="A21" s="204"/>
      <c r="B21" s="463" t="s">
        <v>1540</v>
      </c>
      <c r="C21" s="464" t="s">
        <v>9</v>
      </c>
      <c r="D21" s="562">
        <v>1</v>
      </c>
      <c r="E21" s="562"/>
      <c r="F21" s="465"/>
      <c r="G21" s="466"/>
      <c r="H21" s="467"/>
      <c r="I21" s="463" t="s">
        <v>1531</v>
      </c>
      <c r="J21" s="464" t="s">
        <v>9</v>
      </c>
      <c r="K21" s="562">
        <v>1</v>
      </c>
      <c r="L21" s="562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8" priority="5" stopIfTrue="1" operator="greaterThan">
      <formula>0.89</formula>
    </cfRule>
    <cfRule type="cellIs" dxfId="2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D24" sqref="D24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6"/>
      <c r="C1" s="606"/>
      <c r="D1" s="606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RAB!K113</f>
        <v>54034913.609166265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1080698.2721833254</v>
      </c>
    </row>
    <row r="12" spans="2:11" ht="9" customHeight="1">
      <c r="B12" s="607"/>
      <c r="C12" s="607"/>
      <c r="D12" s="607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1641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1633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8" t="s">
        <v>1357</v>
      </c>
      <c r="C3" s="608"/>
      <c r="D3" s="608"/>
      <c r="E3" s="608"/>
      <c r="F3" s="305" t="str">
        <f>DATA!D14</f>
        <v>IOH BUNGO WEDUNG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9" t="s">
        <v>1349</v>
      </c>
      <c r="C5" s="609" t="s">
        <v>1358</v>
      </c>
      <c r="D5" s="610" t="s">
        <v>1359</v>
      </c>
      <c r="E5" s="610" t="s">
        <v>1360</v>
      </c>
      <c r="F5" s="609" t="s">
        <v>1361</v>
      </c>
      <c r="G5" s="609"/>
      <c r="H5" s="609"/>
      <c r="I5" s="609"/>
      <c r="J5" s="609"/>
      <c r="K5" s="609" t="s">
        <v>1362</v>
      </c>
      <c r="L5" s="609"/>
      <c r="M5" s="307"/>
      <c r="N5" s="613" t="s">
        <v>1363</v>
      </c>
      <c r="O5" s="610" t="s">
        <v>1364</v>
      </c>
      <c r="P5" s="610" t="s">
        <v>1365</v>
      </c>
      <c r="Q5" s="610" t="s">
        <v>1366</v>
      </c>
      <c r="R5" s="308"/>
      <c r="S5" s="309"/>
      <c r="T5" s="611" t="s">
        <v>1367</v>
      </c>
      <c r="U5" s="310"/>
    </row>
    <row r="6" spans="1:21" ht="20.100000000000001" customHeight="1">
      <c r="B6" s="609"/>
      <c r="C6" s="609"/>
      <c r="D6" s="609"/>
      <c r="E6" s="609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4"/>
      <c r="O6" s="609"/>
      <c r="P6" s="609"/>
      <c r="Q6" s="609"/>
      <c r="R6" s="308"/>
      <c r="S6" s="309"/>
      <c r="T6" s="609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54.034913609166267</v>
      </c>
      <c r="G7" s="318">
        <f ca="1">DATA!$D$11/1000000</f>
        <v>1.0806982721833254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59.017594746504592</v>
      </c>
      <c r="K7" s="319">
        <f>DATA!D9/1000000</f>
        <v>10.659000000000001</v>
      </c>
      <c r="L7" s="316">
        <f>((D7*DATA!$D$23)/1000000)+((E7*DATA!$D$24)/1000000)</f>
        <v>5.0853440000000001</v>
      </c>
      <c r="M7" s="316">
        <f>K7+L7</f>
        <v>15.744344000000002</v>
      </c>
      <c r="N7" s="316">
        <f ca="1">M7-J7</f>
        <v>-43.273250746504587</v>
      </c>
      <c r="O7" s="314">
        <v>1</v>
      </c>
      <c r="P7" s="316">
        <f ca="1">O7*N7</f>
        <v>-43.273250746504587</v>
      </c>
      <c r="Q7" s="316">
        <f ca="1">P7</f>
        <v>-43.273250746504587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1.0806982721833254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6.9336725699158155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0.6943434300841842</v>
      </c>
      <c r="O8" s="315">
        <f>1/(1+'[93]Asumsi I'!$C$3)^(KKF!A8)</f>
        <v>0.89285714285714279</v>
      </c>
      <c r="P8" s="316">
        <f ca="1">O8*N8</f>
        <v>0.61994949114659303</v>
      </c>
      <c r="Q8" s="316">
        <f ca="1">Q7+P8</f>
        <v>-42.653301255357995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1.0806982721833254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6.9336725699158155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0.6943434300841842</v>
      </c>
      <c r="O9" s="322">
        <f>1/(1+'[93]Asumsi I'!$C$3)^(KKF!A9)</f>
        <v>0.79719387755102034</v>
      </c>
      <c r="P9" s="316">
        <f t="shared" ref="P9:P32" ca="1" si="7">O9*N9</f>
        <v>0.55352633138088658</v>
      </c>
      <c r="Q9" s="316">
        <f ca="1">Q8+P9</f>
        <v>-42.099774923977108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1.0806982721833254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6.9336725699158155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0.6943434300841842</v>
      </c>
      <c r="O10" s="315">
        <f>1/(1+'[93]Asumsi I'!$C$3)^(KKF!A10)</f>
        <v>0.71178024781341087</v>
      </c>
      <c r="P10" s="316">
        <f t="shared" ca="1" si="7"/>
        <v>0.49421993873293435</v>
      </c>
      <c r="Q10" s="316">
        <f t="shared" ref="Q10:Q30" ca="1" si="9">Q9+P10</f>
        <v>-41.605554985244176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1.0806982721833254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6.9336725699158155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0.6943434300841842</v>
      </c>
      <c r="O11" s="315">
        <f>1/(1+'[93]Asumsi I'!$C$3)^(KKF!A11)</f>
        <v>0.63551807840483121</v>
      </c>
      <c r="P11" s="316">
        <f t="shared" ca="1" si="7"/>
        <v>0.44126780244012004</v>
      </c>
      <c r="Q11" s="316">
        <f t="shared" ca="1" si="9"/>
        <v>-41.164287182804053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1.0806982721833254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6.9336725699158155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0.6943434300841842</v>
      </c>
      <c r="O12" s="315">
        <f>1/(1+'[93]Asumsi I'!$C$3)^(KKF!A12)</f>
        <v>0.56742685571859919</v>
      </c>
      <c r="P12" s="316">
        <f t="shared" ca="1" si="7"/>
        <v>0.39398910932153564</v>
      </c>
      <c r="Q12" s="316">
        <f t="shared" ca="1" si="9"/>
        <v>-40.770298073482515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1.0806982721833254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6.9336725699158155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0.6943434300841842</v>
      </c>
      <c r="O13" s="315">
        <f>1/(1+'[93]Asumsi I'!$C$3)^(KKF!A13)</f>
        <v>0.50663112117732068</v>
      </c>
      <c r="P13" s="316">
        <f t="shared" ca="1" si="7"/>
        <v>0.35177599046565683</v>
      </c>
      <c r="Q13" s="316">
        <f t="shared" ca="1" si="9"/>
        <v>-40.41852208301686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1.0806982721833254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6.9336725699158155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0.6943434300841842</v>
      </c>
      <c r="O14" s="315">
        <f>1/(1+'[93]Asumsi I'!$C$3)^(KKF!A14)</f>
        <v>0.45234921533689343</v>
      </c>
      <c r="P14" s="316">
        <f t="shared" ca="1" si="7"/>
        <v>0.31408570577290784</v>
      </c>
      <c r="Q14" s="316">
        <f t="shared" ca="1" si="9"/>
        <v>-40.10443637724395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1.0806982721833254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6.9336725699158155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0.6943434300841842</v>
      </c>
      <c r="O15" s="315">
        <f>1/(1+'[93]Asumsi I'!$C$3)^(KKF!A15)</f>
        <v>0.4038832279793691</v>
      </c>
      <c r="P15" s="316">
        <f t="shared" ca="1" si="7"/>
        <v>0.28043366586866769</v>
      </c>
      <c r="Q15" s="316">
        <f t="shared" ca="1" si="9"/>
        <v>-39.824002711375279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1.0806982721833254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6.9336725699158155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0.6943434300841842</v>
      </c>
      <c r="O16" s="315">
        <f>1/(1+'[93]Asumsi I'!$C$3)^(KKF!A16)</f>
        <v>0.36061002498157957</v>
      </c>
      <c r="P16" s="316">
        <f t="shared" ca="1" si="7"/>
        <v>0.2503872016684533</v>
      </c>
      <c r="Q16" s="316">
        <f t="shared" ca="1" si="9"/>
        <v>-39.573615509706826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1.0806982721833254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6.9336725699158155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0.6943434300841842</v>
      </c>
      <c r="O17" s="315">
        <f>1/(1+'[93]Asumsi I'!$C$3)^(KKF!A17)</f>
        <v>0.32197323659069599</v>
      </c>
      <c r="P17" s="316">
        <f t="shared" ca="1" si="7"/>
        <v>0.22356000148969041</v>
      </c>
      <c r="Q17" s="316">
        <f t="shared" ca="1" si="9"/>
        <v>-39.350055508217139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1.0806982721833254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6.9336725699158155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0.6943434300841842</v>
      </c>
      <c r="O18" s="315">
        <f>1/(1+'[93]Asumsi I'!$C$3)^(KKF!A18)</f>
        <v>0.28747610409883567</v>
      </c>
      <c r="P18" s="316">
        <f t="shared" ca="1" si="7"/>
        <v>0.19960714418722356</v>
      </c>
      <c r="Q18" s="316">
        <f t="shared" ca="1" si="9"/>
        <v>-39.150448364029913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1.0806982721833254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6.9336725699158155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0.6943434300841842</v>
      </c>
      <c r="O19" s="315">
        <f>1/(1+'[93]Asumsi I'!$C$3)^(KKF!A19)</f>
        <v>0.25667509294538904</v>
      </c>
      <c r="P19" s="316">
        <f t="shared" ca="1" si="7"/>
        <v>0.17822066445287821</v>
      </c>
      <c r="Q19" s="316">
        <f t="shared" ca="1" si="9"/>
        <v>-38.972227699577033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1.0806982721833254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6.9336725699158155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0.6943434300841842</v>
      </c>
      <c r="O20" s="315">
        <f>1/(1+'[93]Asumsi I'!$C$3)^(KKF!A20)</f>
        <v>0.22917419012981158</v>
      </c>
      <c r="P20" s="316">
        <f t="shared" ca="1" si="7"/>
        <v>0.15912559326149836</v>
      </c>
      <c r="Q20" s="316">
        <f t="shared" ca="1" si="9"/>
        <v>-38.813102106315533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1.0806982721833254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6.9336725699158155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0.6943434300841842</v>
      </c>
      <c r="O21" s="315">
        <f>1/(1+'[93]Asumsi I'!$C$3)^(KKF!A21)</f>
        <v>0.20461981261590317</v>
      </c>
      <c r="P21" s="316">
        <f t="shared" ca="1" si="7"/>
        <v>0.14207642255490924</v>
      </c>
      <c r="Q21" s="316">
        <f t="shared" ca="1" si="9"/>
        <v>-38.671025683760625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1.0806982721833254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6.9336725699158155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0.6943434300841842</v>
      </c>
      <c r="O22" s="315">
        <f>1/(1+'[93]Asumsi I'!$C$3)^(KKF!A22)</f>
        <v>0.18269626126419927</v>
      </c>
      <c r="P22" s="316">
        <f t="shared" ca="1" si="7"/>
        <v>0.1268539487097404</v>
      </c>
      <c r="Q22" s="316">
        <f t="shared" ca="1" si="9"/>
        <v>-38.544171735050888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1.0806982721833254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6.9336725699158155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0.6943434300841842</v>
      </c>
      <c r="O23" s="315">
        <f>1/(1+'[93]Asumsi I'!$C$3)^(KKF!A23)</f>
        <v>0.16312166184303503</v>
      </c>
      <c r="P23" s="316">
        <f t="shared" ca="1" si="7"/>
        <v>0.11326245420512533</v>
      </c>
      <c r="Q23" s="316">
        <f t="shared" ca="1" si="9"/>
        <v>-38.430909280845761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1.0806982721833254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6.9336725699158155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0.6943434300841842</v>
      </c>
      <c r="O24" s="315">
        <f>1/(1+'[93]Asumsi I'!$C$3)^(KKF!A24)</f>
        <v>0.14564434093128129</v>
      </c>
      <c r="P24" s="316">
        <f t="shared" ca="1" si="7"/>
        <v>0.1011271912545762</v>
      </c>
      <c r="Q24" s="316">
        <f t="shared" ca="1" si="9"/>
        <v>-38.329782089591184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1.0806982721833254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6.9336725699158155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0.6943434300841842</v>
      </c>
      <c r="O25" s="315">
        <f>1/(1+'[93]Asumsi I'!$C$3)^(KKF!A25)</f>
        <v>0.13003959011721541</v>
      </c>
      <c r="P25" s="316">
        <f t="shared" ca="1" si="7"/>
        <v>9.0292135048728725E-2</v>
      </c>
      <c r="Q25" s="316">
        <f t="shared" ca="1" si="9"/>
        <v>-38.239489954542456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1.0806982721833254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6.9336725699158155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0.6943434300841842</v>
      </c>
      <c r="O26" s="315">
        <f>1/(1+'[93]Asumsi I'!$C$3)^(KKF!A26)</f>
        <v>0.1161067768903709</v>
      </c>
      <c r="P26" s="316">
        <f t="shared" ca="1" si="7"/>
        <v>8.0617977722079223E-2</v>
      </c>
      <c r="Q26" s="316">
        <f t="shared" ca="1" si="9"/>
        <v>-38.158871976820379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1.0806982721833254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6.9336725699158155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0.6943434300841842</v>
      </c>
      <c r="O27" s="315">
        <f>1/(1+'[93]Asumsi I'!$C$3)^(KKF!A27)</f>
        <v>0.1036667650806883</v>
      </c>
      <c r="P27" s="316">
        <f t="shared" ca="1" si="7"/>
        <v>7.1980337251856444E-2</v>
      </c>
      <c r="Q27" s="316">
        <f t="shared" ca="1" si="9"/>
        <v>-38.08689163956852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1.0806982721833254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6.9336725699158155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0.6943434300841842</v>
      </c>
      <c r="O28" s="315">
        <f>1/(1+'[93]Asumsi I'!$C$3)^(KKF!A28)</f>
        <v>9.2559611679185971E-2</v>
      </c>
      <c r="P28" s="316">
        <f t="shared" ca="1" si="7"/>
        <v>6.42681582605861E-2</v>
      </c>
      <c r="Q28" s="316">
        <f t="shared" ca="1" si="9"/>
        <v>-38.022623481307932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1.0806982721833254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6.9336725699158155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0.6943434300841842</v>
      </c>
      <c r="O29" s="315">
        <f>1/(1+'[93]Asumsi I'!$C$3)^(KKF!A29)</f>
        <v>8.2642510427844609E-2</v>
      </c>
      <c r="P29" s="316">
        <f t="shared" ca="1" si="7"/>
        <v>5.7382284161237584E-2</v>
      </c>
      <c r="Q29" s="316">
        <f t="shared" ca="1" si="9"/>
        <v>-37.965241197146696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1.0806982721833254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6.9336725699158155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0.6943434300841842</v>
      </c>
      <c r="O30" s="315">
        <f>1/(1+'[93]Asumsi I'!$C$3)^(KKF!A30)</f>
        <v>7.3787955739146982E-2</v>
      </c>
      <c r="P30" s="316">
        <f t="shared" ca="1" si="7"/>
        <v>5.123418228681928E-2</v>
      </c>
      <c r="Q30" s="316">
        <f t="shared" ca="1" si="9"/>
        <v>-37.914007014859877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1.0806982721833254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6.9336725699158155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0.6943434300841842</v>
      </c>
      <c r="O31" s="315">
        <f>1/(1+'[93]Asumsi I'!$C$3)^(KKF!A31)</f>
        <v>6.5882103338524081E-2</v>
      </c>
      <c r="P31" s="316">
        <f t="shared" ca="1" si="7"/>
        <v>4.5744805613231493E-2</v>
      </c>
      <c r="Q31" s="316">
        <f ca="1">Q30+P31</f>
        <v>-37.868262209246645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1.0806982721833254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6.9336725699158155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0.6943434300841842</v>
      </c>
      <c r="O32" s="315">
        <f>1/(1+'[93]Asumsi I'!$C$3)^(KKF!A32)</f>
        <v>5.8823306552253637E-2</v>
      </c>
      <c r="P32" s="316">
        <f t="shared" ca="1" si="7"/>
        <v>4.0843576440385256E-2</v>
      </c>
      <c r="Q32" s="316">
        <f ca="1">Q31+P32</f>
        <v>-37.827418632806257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2" t="s">
        <v>1374</v>
      </c>
      <c r="G33" s="612"/>
      <c r="H33" s="612"/>
      <c r="I33" s="324"/>
      <c r="J33" s="325">
        <f ca="1">SUM(J7:J32)</f>
        <v>232.35940899439996</v>
      </c>
      <c r="K33" s="612" t="s">
        <v>1375</v>
      </c>
      <c r="L33" s="612"/>
      <c r="M33" s="325">
        <f>SUM(M7:M32)</f>
        <v>206.44474400000004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84.997700258140455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0.88847163492731862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-33.774480922148442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-6.0667195096987037E-2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6" priority="1" stopIfTrue="1" operator="greaterThanOrEqual">
      <formula>$F$7</formula>
    </cfRule>
    <cfRule type="cellIs" dxfId="25" priority="2" stopIfTrue="1" operator="lessThan">
      <formula>$F$7</formula>
    </cfRule>
  </conditionalFormatting>
  <conditionalFormatting sqref="Q7:Q32">
    <cfRule type="cellIs" dxfId="24" priority="3" operator="lessThan">
      <formula>0</formula>
    </cfRule>
    <cfRule type="cellIs" dxfId="23" priority="4" operator="lessThan">
      <formula>0</formula>
    </cfRule>
    <cfRule type="cellIs" dxfId="22" priority="5" operator="lessThan">
      <formula>-6395.81</formula>
    </cfRule>
    <cfRule type="cellIs" dxfId="2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28"/>
  <sheetViews>
    <sheetView showGridLines="0" tabSelected="1" zoomScale="85" zoomScaleNormal="85" zoomScaleSheetLayoutView="70" workbookViewId="0">
      <pane ySplit="13" topLeftCell="A14" activePane="bottomLeft" state="frozen"/>
      <selection activeCell="H1093" sqref="H1093"/>
      <selection pane="bottomLeft" activeCell="H95" sqref="H95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5" t="s">
        <v>1036</v>
      </c>
      <c r="P3" s="615"/>
      <c r="Q3" s="346"/>
      <c r="T3" s="344"/>
      <c r="U3" s="345" t="s">
        <v>1041</v>
      </c>
      <c r="V3" s="344"/>
    </row>
    <row r="4" spans="1:22" ht="15.75" customHeight="1">
      <c r="B4" s="616" t="s">
        <v>1023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2" t="str">
        <f>DATA!D14</f>
        <v>IOH BUNGO WEDUNG</v>
      </c>
      <c r="H6" s="632"/>
      <c r="I6" s="632"/>
      <c r="J6" s="632"/>
      <c r="K6" s="632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1642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8" t="s">
        <v>0</v>
      </c>
      <c r="C11" s="620" t="s">
        <v>1</v>
      </c>
      <c r="D11" s="623" t="s">
        <v>42</v>
      </c>
      <c r="E11" s="623" t="s">
        <v>43</v>
      </c>
      <c r="F11" s="623" t="s">
        <v>2</v>
      </c>
      <c r="G11" s="625" t="s">
        <v>41</v>
      </c>
      <c r="H11" s="623" t="s">
        <v>3</v>
      </c>
      <c r="I11" s="623"/>
      <c r="J11" s="623"/>
      <c r="K11" s="642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9"/>
      <c r="C12" s="621"/>
      <c r="D12" s="624"/>
      <c r="E12" s="624"/>
      <c r="F12" s="624"/>
      <c r="G12" s="626"/>
      <c r="H12" s="628" t="s">
        <v>46</v>
      </c>
      <c r="I12" s="628" t="s">
        <v>5</v>
      </c>
      <c r="J12" s="624" t="s">
        <v>47</v>
      </c>
      <c r="K12" s="643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9"/>
      <c r="C13" s="622"/>
      <c r="D13" s="624"/>
      <c r="E13" s="624"/>
      <c r="F13" s="624"/>
      <c r="G13" s="627"/>
      <c r="H13" s="629"/>
      <c r="I13" s="629"/>
      <c r="J13" s="624"/>
      <c r="K13" s="643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104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6074400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6074400</v>
      </c>
      <c r="J17" s="361">
        <f t="shared" ref="J17" ca="1" si="10">IF(D17="JASA",G17*F17,0)</f>
        <v>0</v>
      </c>
      <c r="K17" s="362">
        <f t="shared" ref="K17" ca="1" si="11">SUM(H17:J17)</f>
        <v>6074400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3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1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ref="H18" ca="1" si="12">IF(OR(D18="MDU",D18="MDU-KD"),(IF($O$3="RAB NON MDU","PLN KD",G18*F18)),0)</f>
        <v>0</v>
      </c>
      <c r="I18" s="361">
        <f t="shared" ref="I18" ca="1" si="13">IF(D18="HDW",G18*F18,0)</f>
        <v>0</v>
      </c>
      <c r="J18" s="361">
        <f t="shared" ref="J18" ca="1" si="14">IF(D18="JASA",G18*F18,0)</f>
        <v>10066.666666666668</v>
      </c>
      <c r="K18" s="362">
        <f t="shared" ref="K18" ca="1" si="15">SUM(H18:J18)</f>
        <v>10066.666666666668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4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368">
        <v>1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ref="H19:H21" ca="1" si="16">IF(OR(D19="MDU",D19="MDU-KD"),(IF($O$3="RAB NON MDU","PLN KD",G19*F19)),0)</f>
        <v>0</v>
      </c>
      <c r="I19" s="361">
        <f t="shared" ref="I19:I21" ca="1" si="17">IF(D19="HDW",G19*F19,0)</f>
        <v>200000</v>
      </c>
      <c r="J19" s="361">
        <f t="shared" ref="J19:J21" ca="1" si="18">IF(D19="JASA",G19*F19,0)</f>
        <v>0</v>
      </c>
      <c r="K19" s="362">
        <f t="shared" ref="K19:K21" ca="1" si="19">SUM(H19:J19)</f>
        <v>200000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109"/>
      <c r="D20" s="358"/>
      <c r="E20" s="359"/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1613</v>
      </c>
      <c r="C21" s="367" t="s">
        <v>1622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6"/>
        <v>0</v>
      </c>
      <c r="I21" s="361">
        <f t="shared" ca="1" si="17"/>
        <v>0</v>
      </c>
      <c r="J21" s="361">
        <f t="shared" ca="1" si="18"/>
        <v>0</v>
      </c>
      <c r="K21" s="362">
        <f t="shared" ca="1" si="19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65" customFormat="1">
      <c r="A22" s="336"/>
      <c r="B22" s="498"/>
      <c r="C22" s="499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28" ca="1" si="20">IF(OR(D22="MDU",D22="MDU-KD"),(IF($O$3="RAB NON MDU","PLN KD",G22*F22)),0)</f>
        <v>0</v>
      </c>
      <c r="I22" s="361">
        <f t="shared" ref="I22:I28" ca="1" si="21">IF(D22="HDW",G22*F22,0)</f>
        <v>0</v>
      </c>
      <c r="J22" s="361">
        <f t="shared" ref="J22:J28" ca="1" si="22">IF(D22="JASA",G22*F22,0)</f>
        <v>0</v>
      </c>
      <c r="K22" s="362">
        <f t="shared" ref="K22:K28" ca="1" si="23">SUM(H22:J22)</f>
        <v>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714" t="s">
        <v>1035</v>
      </c>
      <c r="C23" s="715" t="s">
        <v>1623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1">
        <v>4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20"/>
        <v>0</v>
      </c>
      <c r="I23" s="361">
        <f t="shared" ca="1" si="21"/>
        <v>0</v>
      </c>
      <c r="J23" s="361">
        <f t="shared" ca="1" si="22"/>
        <v>0</v>
      </c>
      <c r="K23" s="362">
        <f t="shared" ca="1" si="23"/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714">
        <v>1</v>
      </c>
      <c r="C24" s="715" t="s">
        <v>595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1">
        <f>F23*1</f>
        <v>4</v>
      </c>
      <c r="G24" s="360">
        <f ca="1">IF(ISERROR(OFFSET('HARGA SATUAN'!$I$6,MATCH(RAB!C24,'HARGA SATUAN'!$C$7:$C$1492,0),0)),0,OFFSET('HARGA SATUAN'!$I$6,MATCH(RAB!C24,'HARGA SATUAN'!$C$7:$C$1492,0),0))</f>
        <v>78500</v>
      </c>
      <c r="H24" s="361">
        <f t="shared" ca="1" si="20"/>
        <v>0</v>
      </c>
      <c r="I24" s="361">
        <f t="shared" ca="1" si="21"/>
        <v>314000</v>
      </c>
      <c r="J24" s="361">
        <f t="shared" ca="1" si="22"/>
        <v>0</v>
      </c>
      <c r="K24" s="362">
        <f t="shared" ca="1" si="23"/>
        <v>314000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714">
        <v>2</v>
      </c>
      <c r="C25" s="715" t="s">
        <v>229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F23*1</f>
        <v>4</v>
      </c>
      <c r="G25" s="360">
        <f ca="1">IF(ISERROR(OFFSET('HARGA SATUAN'!$I$6,MATCH(RAB!C25,'HARGA SATUAN'!$C$7:$C$1492,0),0)),0,OFFSET('HARGA SATUAN'!$I$6,MATCH(RAB!C25,'HARGA SATUAN'!$C$7:$C$1492,0),0))</f>
        <v>4212</v>
      </c>
      <c r="H25" s="361">
        <f t="shared" ca="1" si="20"/>
        <v>0</v>
      </c>
      <c r="I25" s="361">
        <f t="shared" ca="1" si="21"/>
        <v>16848</v>
      </c>
      <c r="J25" s="361">
        <f t="shared" ca="1" si="22"/>
        <v>0</v>
      </c>
      <c r="K25" s="362">
        <f t="shared" ca="1" si="23"/>
        <v>16848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714">
        <v>3</v>
      </c>
      <c r="C26" s="715" t="s">
        <v>266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501">
        <f>F23*1</f>
        <v>4</v>
      </c>
      <c r="G26" s="360">
        <f ca="1">IF(ISERROR(OFFSET('HARGA SATUAN'!$I$6,MATCH(RAB!C26,'HARGA SATUAN'!$C$7:$C$1492,0),0)),0,OFFSET('HARGA SATUAN'!$I$6,MATCH(RAB!C26,'HARGA SATUAN'!$C$7:$C$1492,0),0))</f>
        <v>23310</v>
      </c>
      <c r="H26" s="361">
        <f t="shared" ca="1" si="20"/>
        <v>0</v>
      </c>
      <c r="I26" s="361">
        <f t="shared" ca="1" si="21"/>
        <v>93240</v>
      </c>
      <c r="J26" s="361">
        <f t="shared" ca="1" si="22"/>
        <v>0</v>
      </c>
      <c r="K26" s="362">
        <f t="shared" ca="1" si="23"/>
        <v>93240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714">
        <v>4</v>
      </c>
      <c r="C27" s="715" t="s">
        <v>35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F23*1</f>
        <v>4</v>
      </c>
      <c r="G27" s="360">
        <f ca="1">IF(ISERROR(OFFSET('HARGA SATUAN'!$I$6,MATCH(RAB!C27,'HARGA SATUAN'!$C$7:$C$1492,0),0)),0,OFFSET('HARGA SATUAN'!$I$6,MATCH(RAB!C27,'HARGA SATUAN'!$C$7:$C$1492,0),0))</f>
        <v>2300</v>
      </c>
      <c r="H27" s="361">
        <f t="shared" ca="1" si="20"/>
        <v>0</v>
      </c>
      <c r="I27" s="361">
        <f t="shared" ca="1" si="21"/>
        <v>9200</v>
      </c>
      <c r="J27" s="361">
        <f t="shared" ca="1" si="22"/>
        <v>0</v>
      </c>
      <c r="K27" s="362">
        <f t="shared" ca="1" si="23"/>
        <v>9200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714">
        <v>5</v>
      </c>
      <c r="C28" s="715" t="s">
        <v>630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1">
        <f>F23*1</f>
        <v>4</v>
      </c>
      <c r="G28" s="360">
        <f ca="1">IF(ISERROR(OFFSET('HARGA SATUAN'!$I$6,MATCH(RAB!C28,'HARGA SATUAN'!$C$7:$C$1492,0),0)),0,OFFSET('HARGA SATUAN'!$I$6,MATCH(RAB!C28,'HARGA SATUAN'!$C$7:$C$1492,0),0))</f>
        <v>35700</v>
      </c>
      <c r="H28" s="361">
        <f t="shared" ca="1" si="20"/>
        <v>0</v>
      </c>
      <c r="I28" s="361">
        <f t="shared" ca="1" si="21"/>
        <v>0</v>
      </c>
      <c r="J28" s="361">
        <f t="shared" ca="1" si="22"/>
        <v>142800</v>
      </c>
      <c r="K28" s="362">
        <f t="shared" ca="1" si="23"/>
        <v>142800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714"/>
      <c r="C29" s="715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501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ref="H29:H36" ca="1" si="24">IF(OR(D29="MDU",D29="MDU-KD"),(IF($O$3="RAB NON MDU","PLN KD",G29*F29)),0)</f>
        <v>0</v>
      </c>
      <c r="I29" s="361">
        <f t="shared" ref="I29:I36" ca="1" si="25">IF(D29="HDW",G29*F29,0)</f>
        <v>0</v>
      </c>
      <c r="J29" s="361">
        <f t="shared" ref="J29:J36" ca="1" si="26">IF(D29="JASA",G29*F29,0)</f>
        <v>0</v>
      </c>
      <c r="K29" s="362">
        <f t="shared" ref="K29:K36" ca="1" si="27">SUM(H29:J29)</f>
        <v>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714" t="s">
        <v>1035</v>
      </c>
      <c r="C30" s="715" t="s">
        <v>1630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>Unit</v>
      </c>
      <c r="F30" s="501">
        <v>2</v>
      </c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24"/>
        <v>0</v>
      </c>
      <c r="I30" s="361">
        <f t="shared" ca="1" si="25"/>
        <v>0</v>
      </c>
      <c r="J30" s="361">
        <f t="shared" ca="1" si="26"/>
        <v>0</v>
      </c>
      <c r="K30" s="362">
        <f t="shared" ca="1" si="27"/>
        <v>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714">
        <v>1</v>
      </c>
      <c r="C31" s="715" t="s">
        <v>229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F30*1</f>
        <v>2</v>
      </c>
      <c r="G31" s="360">
        <f ca="1">IF(ISERROR(OFFSET('HARGA SATUAN'!$I$6,MATCH(RAB!C31,'HARGA SATUAN'!$C$7:$C$1492,0),0)),0,OFFSET('HARGA SATUAN'!$I$6,MATCH(RAB!C31,'HARGA SATUAN'!$C$7:$C$1492,0),0))</f>
        <v>4212</v>
      </c>
      <c r="H31" s="361">
        <f t="shared" ca="1" si="24"/>
        <v>0</v>
      </c>
      <c r="I31" s="361">
        <f t="shared" ca="1" si="25"/>
        <v>8424</v>
      </c>
      <c r="J31" s="361">
        <f t="shared" ca="1" si="26"/>
        <v>0</v>
      </c>
      <c r="K31" s="362">
        <f t="shared" ca="1" si="27"/>
        <v>8424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714">
        <v>2</v>
      </c>
      <c r="C32" s="715" t="s">
        <v>266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Mtr</v>
      </c>
      <c r="F32" s="501">
        <f>F30*1</f>
        <v>2</v>
      </c>
      <c r="G32" s="360">
        <f ca="1">IF(ISERROR(OFFSET('HARGA SATUAN'!$I$6,MATCH(RAB!C32,'HARGA SATUAN'!$C$7:$C$1492,0),0)),0,OFFSET('HARGA SATUAN'!$I$6,MATCH(RAB!C32,'HARGA SATUAN'!$C$7:$C$1492,0),0))</f>
        <v>23310</v>
      </c>
      <c r="H32" s="361">
        <f t="shared" ca="1" si="24"/>
        <v>0</v>
      </c>
      <c r="I32" s="361">
        <f t="shared" ca="1" si="25"/>
        <v>46620</v>
      </c>
      <c r="J32" s="361">
        <f t="shared" ca="1" si="26"/>
        <v>0</v>
      </c>
      <c r="K32" s="362">
        <f t="shared" ca="1" si="27"/>
        <v>46620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714">
        <v>3</v>
      </c>
      <c r="C33" s="715" t="s">
        <v>35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F30*1</f>
        <v>2</v>
      </c>
      <c r="G33" s="360">
        <f ca="1">IF(ISERROR(OFFSET('HARGA SATUAN'!$I$6,MATCH(RAB!C33,'HARGA SATUAN'!$C$7:$C$1492,0),0)),0,OFFSET('HARGA SATUAN'!$I$6,MATCH(RAB!C33,'HARGA SATUAN'!$C$7:$C$1492,0),0))</f>
        <v>2300</v>
      </c>
      <c r="H33" s="361">
        <f t="shared" ca="1" si="24"/>
        <v>0</v>
      </c>
      <c r="I33" s="361">
        <f t="shared" ca="1" si="25"/>
        <v>4600</v>
      </c>
      <c r="J33" s="361">
        <f t="shared" ca="1" si="26"/>
        <v>0</v>
      </c>
      <c r="K33" s="362">
        <f t="shared" ca="1" si="27"/>
        <v>4600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714">
        <v>4</v>
      </c>
      <c r="C34" s="715" t="s">
        <v>609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F30*1</f>
        <v>2</v>
      </c>
      <c r="G34" s="360">
        <f ca="1">IF(ISERROR(OFFSET('HARGA SATUAN'!$I$6,MATCH(RAB!C34,'HARGA SATUAN'!$C$7:$C$1492,0),0)),0,OFFSET('HARGA SATUAN'!$I$6,MATCH(RAB!C34,'HARGA SATUAN'!$C$7:$C$1492,0),0))</f>
        <v>71000</v>
      </c>
      <c r="H34" s="361">
        <f t="shared" ca="1" si="24"/>
        <v>0</v>
      </c>
      <c r="I34" s="361">
        <f t="shared" ca="1" si="25"/>
        <v>142000</v>
      </c>
      <c r="J34" s="361">
        <f t="shared" ca="1" si="26"/>
        <v>0</v>
      </c>
      <c r="K34" s="362">
        <f t="shared" ca="1" si="27"/>
        <v>142000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714">
        <v>5</v>
      </c>
      <c r="C35" s="715" t="s">
        <v>629</v>
      </c>
      <c r="D35" s="358" t="str">
        <f ca="1">IF(ISERROR(OFFSET('HARGA SATUAN'!$D$6,MATCH(RAB!C35,'HARGA SATUAN'!$C$7:$C$1492,0),0)),"",OFFSET('HARGA SATUAN'!$D$6,MATCH(RAB!C35,'HARGA SATUAN'!$C$7:$C$1492,0),0))</f>
        <v>JASA</v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501">
        <f>F30*1</f>
        <v>2</v>
      </c>
      <c r="G35" s="360">
        <f ca="1">IF(ISERROR(OFFSET('HARGA SATUAN'!$I$6,MATCH(RAB!C35,'HARGA SATUAN'!$C$7:$C$1492,0),0)),0,OFFSET('HARGA SATUAN'!$I$6,MATCH(RAB!C35,'HARGA SATUAN'!$C$7:$C$1492,0),0))</f>
        <v>29400</v>
      </c>
      <c r="H35" s="361">
        <f t="shared" ca="1" si="24"/>
        <v>0</v>
      </c>
      <c r="I35" s="361">
        <f t="shared" ca="1" si="25"/>
        <v>0</v>
      </c>
      <c r="J35" s="361">
        <f t="shared" ca="1" si="26"/>
        <v>58800</v>
      </c>
      <c r="K35" s="362">
        <f t="shared" ca="1" si="27"/>
        <v>58800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714"/>
      <c r="C36" s="715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501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24"/>
        <v>0</v>
      </c>
      <c r="I36" s="361">
        <f t="shared" ca="1" si="25"/>
        <v>0</v>
      </c>
      <c r="J36" s="361">
        <f t="shared" ca="1" si="26"/>
        <v>0</v>
      </c>
      <c r="K36" s="362">
        <f t="shared" ca="1" si="27"/>
        <v>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714" t="s">
        <v>1035</v>
      </c>
      <c r="C37" s="715" t="s">
        <v>1634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501">
        <v>1</v>
      </c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ref="H37:H48" ca="1" si="28">IF(OR(D37="MDU",D37="MDU-KD"),(IF($O$3="RAB NON MDU","PLN KD",G37*F37)),0)</f>
        <v>0</v>
      </c>
      <c r="I37" s="361">
        <f t="shared" ref="I37:I48" ca="1" si="29">IF(D37="HDW",G37*F37,0)</f>
        <v>0</v>
      </c>
      <c r="J37" s="361">
        <f t="shared" ref="J37:J48" ca="1" si="30">IF(D37="JASA",G37*F37,0)</f>
        <v>0</v>
      </c>
      <c r="K37" s="362">
        <f t="shared" ref="K37:K48" ca="1" si="31">SUM(H37:J37)</f>
        <v>0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714">
        <v>1</v>
      </c>
      <c r="C38" s="715" t="s">
        <v>598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F37*1</f>
        <v>1</v>
      </c>
      <c r="G38" s="360">
        <f ca="1">IF(ISERROR(OFFSET('HARGA SATUAN'!$I$6,MATCH(RAB!C38,'HARGA SATUAN'!$C$7:$C$1492,0),0)),0,OFFSET('HARGA SATUAN'!$I$6,MATCH(RAB!C38,'HARGA SATUAN'!$C$7:$C$1492,0),0))</f>
        <v>3965</v>
      </c>
      <c r="H38" s="361">
        <f t="shared" ca="1" si="28"/>
        <v>0</v>
      </c>
      <c r="I38" s="361">
        <f t="shared" ca="1" si="29"/>
        <v>3965</v>
      </c>
      <c r="J38" s="361">
        <f t="shared" ca="1" si="30"/>
        <v>0</v>
      </c>
      <c r="K38" s="362">
        <f t="shared" ca="1" si="31"/>
        <v>3965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714">
        <v>2</v>
      </c>
      <c r="C39" s="715" t="s">
        <v>474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F37*1</f>
        <v>1</v>
      </c>
      <c r="G39" s="360">
        <f ca="1">IF(ISERROR(OFFSET('HARGA SATUAN'!$I$6,MATCH(RAB!C39,'HARGA SATUAN'!$C$7:$C$1492,0),0)),0,OFFSET('HARGA SATUAN'!$I$6,MATCH(RAB!C39,'HARGA SATUAN'!$C$7:$C$1492,0),0))</f>
        <v>3711.24</v>
      </c>
      <c r="H39" s="361">
        <f t="shared" ca="1" si="28"/>
        <v>0</v>
      </c>
      <c r="I39" s="361">
        <f t="shared" ca="1" si="29"/>
        <v>3711.24</v>
      </c>
      <c r="J39" s="361">
        <f t="shared" ca="1" si="30"/>
        <v>0</v>
      </c>
      <c r="K39" s="362">
        <f t="shared" ca="1" si="31"/>
        <v>3711.24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714">
        <v>3</v>
      </c>
      <c r="C40" s="715" t="s">
        <v>266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Mtr</v>
      </c>
      <c r="F40" s="501">
        <f>F37*1</f>
        <v>1</v>
      </c>
      <c r="G40" s="360">
        <f ca="1">IF(ISERROR(OFFSET('HARGA SATUAN'!$I$6,MATCH(RAB!C40,'HARGA SATUAN'!$C$7:$C$1492,0),0)),0,OFFSET('HARGA SATUAN'!$I$6,MATCH(RAB!C40,'HARGA SATUAN'!$C$7:$C$1492,0),0))</f>
        <v>23310</v>
      </c>
      <c r="H40" s="361">
        <f t="shared" ca="1" si="28"/>
        <v>0</v>
      </c>
      <c r="I40" s="361">
        <f t="shared" ca="1" si="29"/>
        <v>23310</v>
      </c>
      <c r="J40" s="361">
        <f t="shared" ca="1" si="30"/>
        <v>0</v>
      </c>
      <c r="K40" s="362">
        <f t="shared" ca="1" si="31"/>
        <v>23310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714">
        <v>4</v>
      </c>
      <c r="C41" s="715" t="s">
        <v>35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f>F37*1</f>
        <v>1</v>
      </c>
      <c r="G41" s="360">
        <f ca="1">IF(ISERROR(OFFSET('HARGA SATUAN'!$I$6,MATCH(RAB!C41,'HARGA SATUAN'!$C$7:$C$1492,0),0)),0,OFFSET('HARGA SATUAN'!$I$6,MATCH(RAB!C41,'HARGA SATUAN'!$C$7:$C$1492,0),0))</f>
        <v>2300</v>
      </c>
      <c r="H41" s="361">
        <f t="shared" ca="1" si="28"/>
        <v>0</v>
      </c>
      <c r="I41" s="361">
        <f t="shared" ca="1" si="29"/>
        <v>2300</v>
      </c>
      <c r="J41" s="361">
        <f t="shared" ca="1" si="30"/>
        <v>0</v>
      </c>
      <c r="K41" s="362">
        <f t="shared" ca="1" si="31"/>
        <v>2300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714">
        <v>5</v>
      </c>
      <c r="C42" s="715" t="s">
        <v>632</v>
      </c>
      <c r="D42" s="358" t="str">
        <f ca="1">IF(ISERROR(OFFSET('HARGA SATUAN'!$D$6,MATCH(RAB!C42,'HARGA SATUAN'!$C$7:$C$1492,0),0)),"",OFFSET('HARGA SATUAN'!$D$6,MATCH(RAB!C42,'HARGA SATUAN'!$C$7:$C$1492,0),0))</f>
        <v>JASA</v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501">
        <f>F37*1</f>
        <v>1</v>
      </c>
      <c r="G42" s="360">
        <f ca="1">IF(ISERROR(OFFSET('HARGA SATUAN'!$I$6,MATCH(RAB!C42,'HARGA SATUAN'!$C$7:$C$1492,0),0)),0,OFFSET('HARGA SATUAN'!$I$6,MATCH(RAB!C42,'HARGA SATUAN'!$C$7:$C$1492,0),0))</f>
        <v>22700</v>
      </c>
      <c r="H42" s="361">
        <f t="shared" ca="1" si="28"/>
        <v>0</v>
      </c>
      <c r="I42" s="361">
        <f t="shared" ca="1" si="29"/>
        <v>0</v>
      </c>
      <c r="J42" s="361">
        <f t="shared" ca="1" si="30"/>
        <v>22700</v>
      </c>
      <c r="K42" s="362">
        <f t="shared" ca="1" si="31"/>
        <v>22700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714"/>
      <c r="C43" s="715"/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501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28"/>
        <v>0</v>
      </c>
      <c r="I43" s="361">
        <f t="shared" ca="1" si="29"/>
        <v>0</v>
      </c>
      <c r="J43" s="361">
        <f t="shared" ca="1" si="30"/>
        <v>0</v>
      </c>
      <c r="K43" s="362">
        <f t="shared" ca="1" si="31"/>
        <v>0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714">
        <v>1</v>
      </c>
      <c r="C44" s="109" t="s">
        <v>1402</v>
      </c>
      <c r="D44" s="358" t="str">
        <f ca="1">IF(ISERROR(OFFSET('HARGA SATUAN'!$D$6,MATCH(RAB!C44,'HARGA SATUAN'!$C$7:$C$1492,0),0)),"",OFFSET('HARGA SATUAN'!$D$6,MATCH(RAB!C44,'HARGA SATUAN'!$C$7:$C$1492,0),0))</f>
        <v>MDU-KD</v>
      </c>
      <c r="E44" s="359" t="str">
        <f ca="1">IF(B44="+","Unit",IF(ISERROR(OFFSET('HARGA SATUAN'!$E$6,MATCH(RAB!C44,'HARGA SATUAN'!$C$7:$C$1492,0),0)),"",OFFSET('HARGA SATUAN'!$E$6,MATCH(RAB!C44,'HARGA SATUAN'!$C$7:$C$1492,0),0)))</f>
        <v>Mtr</v>
      </c>
      <c r="F44" s="501">
        <v>90</v>
      </c>
      <c r="G44" s="360">
        <f ca="1">IF(ISERROR(OFFSET('HARGA SATUAN'!$I$6,MATCH(RAB!C44,'HARGA SATUAN'!$C$7:$C$1492,0),0)),0,OFFSET('HARGA SATUAN'!$I$6,MATCH(RAB!C44,'HARGA SATUAN'!$C$7:$C$1492,0),0))</f>
        <v>53300</v>
      </c>
      <c r="H44" s="361">
        <f t="shared" ca="1" si="28"/>
        <v>4797000</v>
      </c>
      <c r="I44" s="361">
        <f t="shared" ca="1" si="29"/>
        <v>0</v>
      </c>
      <c r="J44" s="361">
        <f t="shared" ca="1" si="30"/>
        <v>0</v>
      </c>
      <c r="K44" s="362">
        <f t="shared" ca="1" si="31"/>
        <v>4797000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714">
        <v>2</v>
      </c>
      <c r="C45" s="109" t="s">
        <v>347</v>
      </c>
      <c r="D45" s="358" t="str">
        <f ca="1">IF(ISERROR(OFFSET('HARGA SATUAN'!$D$6,MATCH(RAB!C45,'HARGA SATUAN'!$C$7:$C$1492,0),0)),"",OFFSET('HARGA SATUAN'!$D$6,MATCH(RAB!C45,'HARGA SATUAN'!$C$7:$C$1492,0),0))</f>
        <v>JASA</v>
      </c>
      <c r="E45" s="359" t="str">
        <f ca="1">IF(B45="+","Unit",IF(ISERROR(OFFSET('HARGA SATUAN'!$E$6,MATCH(RAB!C45,'HARGA SATUAN'!$C$7:$C$1492,0),0)),"",OFFSET('HARGA SATUAN'!$E$6,MATCH(RAB!C45,'HARGA SATUAN'!$C$7:$C$1492,0),0)))</f>
        <v>Per 50 m</v>
      </c>
      <c r="F45" s="501">
        <f>F44/50</f>
        <v>1.8</v>
      </c>
      <c r="G45" s="360">
        <f ca="1">IF(ISERROR(OFFSET('HARGA SATUAN'!$I$6,MATCH(RAB!C45,'HARGA SATUAN'!$C$7:$C$1492,0),0)),0,OFFSET('HARGA SATUAN'!$I$6,MATCH(RAB!C45,'HARGA SATUAN'!$C$7:$C$1492,0),0))</f>
        <v>179000</v>
      </c>
      <c r="H45" s="361">
        <f t="shared" ca="1" si="28"/>
        <v>0</v>
      </c>
      <c r="I45" s="361">
        <f t="shared" ca="1" si="29"/>
        <v>0</v>
      </c>
      <c r="J45" s="361">
        <f t="shared" ca="1" si="30"/>
        <v>322200</v>
      </c>
      <c r="K45" s="362">
        <f t="shared" ca="1" si="31"/>
        <v>322200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498"/>
      <c r="C46" s="499"/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501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ca="1" si="28"/>
        <v>0</v>
      </c>
      <c r="I46" s="361">
        <f t="shared" ca="1" si="29"/>
        <v>0</v>
      </c>
      <c r="J46" s="361">
        <f t="shared" ca="1" si="30"/>
        <v>0</v>
      </c>
      <c r="K46" s="362">
        <f t="shared" ca="1" si="31"/>
        <v>0</v>
      </c>
      <c r="L46" s="342"/>
      <c r="M46" s="342"/>
      <c r="N46" s="369"/>
      <c r="O46" s="344"/>
      <c r="P46" s="397"/>
      <c r="Q46" s="344"/>
    </row>
    <row r="47" spans="1:17">
      <c r="B47" s="366" t="s">
        <v>1614</v>
      </c>
      <c r="C47" s="367" t="s">
        <v>1616</v>
      </c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501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28"/>
        <v>0</v>
      </c>
      <c r="I47" s="361">
        <f t="shared" ca="1" si="29"/>
        <v>0</v>
      </c>
      <c r="J47" s="361">
        <f t="shared" ca="1" si="30"/>
        <v>0</v>
      </c>
      <c r="K47" s="362">
        <f t="shared" ca="1" si="31"/>
        <v>0</v>
      </c>
    </row>
    <row r="48" spans="1:17">
      <c r="B48" s="494"/>
      <c r="C48" s="497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01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28"/>
        <v>0</v>
      </c>
      <c r="I48" s="361">
        <f t="shared" ca="1" si="29"/>
        <v>0</v>
      </c>
      <c r="J48" s="361">
        <f t="shared" ca="1" si="30"/>
        <v>0</v>
      </c>
      <c r="K48" s="362">
        <f t="shared" ca="1" si="31"/>
        <v>0</v>
      </c>
    </row>
    <row r="49" spans="2:11">
      <c r="B49" s="511" t="s">
        <v>1035</v>
      </c>
      <c r="C49" s="512" t="s">
        <v>1629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>Unit</v>
      </c>
      <c r="F49" s="502">
        <v>1</v>
      </c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ref="H49:H55" ca="1" si="32">IF(OR(D49="MDU",D49="MDU-KD"),(IF($O$3="RAB NON MDU","PLN KD",G49*F49)),0)</f>
        <v>0</v>
      </c>
      <c r="I49" s="361">
        <f t="shared" ref="I49:I55" ca="1" si="33">IF(D49="HDW",G49*F49,0)</f>
        <v>0</v>
      </c>
      <c r="J49" s="361">
        <f t="shared" ref="J49:J55" ca="1" si="34">IF(D49="JASA",G49*F49,0)</f>
        <v>0</v>
      </c>
      <c r="K49" s="362">
        <f t="shared" ref="K49:K55" ca="1" si="35">SUM(H49:J49)</f>
        <v>0</v>
      </c>
    </row>
    <row r="50" spans="2:11">
      <c r="B50" s="511">
        <v>1</v>
      </c>
      <c r="C50" s="512" t="s">
        <v>535</v>
      </c>
      <c r="D50" s="358" t="str">
        <f ca="1">IF(ISERROR(OFFSET('HARGA SATUAN'!$D$6,MATCH(RAB!C50,'HARGA SATUAN'!$C$7:$C$1492,0),0)),"",OFFSET('HARGA SATUAN'!$D$6,MATCH(RAB!C50,'HARGA SATUAN'!$C$7:$C$1492,0),0))</f>
        <v>MDU-KD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2">
        <f>F49*1</f>
        <v>1</v>
      </c>
      <c r="G50" s="360">
        <f ca="1">IF(ISERROR(OFFSET('HARGA SATUAN'!$I$6,MATCH(RAB!C50,'HARGA SATUAN'!$C$7:$C$1492,0),0)),0,OFFSET('HARGA SATUAN'!$I$6,MATCH(RAB!C50,'HARGA SATUAN'!$C$7:$C$1492,0),0))</f>
        <v>848250</v>
      </c>
      <c r="H50" s="361">
        <f t="shared" ca="1" si="32"/>
        <v>848250</v>
      </c>
      <c r="I50" s="361">
        <f t="shared" ca="1" si="33"/>
        <v>0</v>
      </c>
      <c r="J50" s="361">
        <f t="shared" ca="1" si="34"/>
        <v>0</v>
      </c>
      <c r="K50" s="362">
        <f t="shared" ca="1" si="35"/>
        <v>848250</v>
      </c>
    </row>
    <row r="51" spans="2:11">
      <c r="B51" s="511">
        <v>2</v>
      </c>
      <c r="C51" s="109" t="s">
        <v>62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2">
        <f>F49*1</f>
        <v>1</v>
      </c>
      <c r="G51" s="360">
        <f ca="1">IF(ISERROR(OFFSET('HARGA SATUAN'!$I$6,MATCH(RAB!C51,'HARGA SATUAN'!$C$7:$C$1492,0),0)),0,OFFSET('HARGA SATUAN'!$I$6,MATCH(RAB!C51,'HARGA SATUAN'!$C$7:$C$1492,0),0))</f>
        <v>32500</v>
      </c>
      <c r="H51" s="361">
        <f t="shared" ca="1" si="32"/>
        <v>0</v>
      </c>
      <c r="I51" s="361">
        <f t="shared" ca="1" si="33"/>
        <v>32500</v>
      </c>
      <c r="J51" s="361">
        <f t="shared" ca="1" si="34"/>
        <v>0</v>
      </c>
      <c r="K51" s="362">
        <f t="shared" ca="1" si="35"/>
        <v>32500</v>
      </c>
    </row>
    <row r="52" spans="2:11">
      <c r="B52" s="511">
        <v>3</v>
      </c>
      <c r="C52" s="512" t="s">
        <v>187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2">
        <f>F49*1</f>
        <v>1</v>
      </c>
      <c r="G52" s="360">
        <f ca="1">IF(ISERROR(OFFSET('HARGA SATUAN'!$I$6,MATCH(RAB!C52,'HARGA SATUAN'!$C$7:$C$1492,0),0)),0,OFFSET('HARGA SATUAN'!$I$6,MATCH(RAB!C52,'HARGA SATUAN'!$C$7:$C$1492,0),0))</f>
        <v>17100</v>
      </c>
      <c r="H52" s="361">
        <f t="shared" ca="1" si="32"/>
        <v>0</v>
      </c>
      <c r="I52" s="361">
        <f t="shared" ca="1" si="33"/>
        <v>17100</v>
      </c>
      <c r="J52" s="361">
        <f t="shared" ca="1" si="34"/>
        <v>0</v>
      </c>
      <c r="K52" s="362">
        <f t="shared" ca="1" si="35"/>
        <v>17100</v>
      </c>
    </row>
    <row r="53" spans="2:11">
      <c r="B53" s="511">
        <v>4</v>
      </c>
      <c r="C53" s="109" t="s">
        <v>174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502">
        <f>F49*1</f>
        <v>1</v>
      </c>
      <c r="G53" s="360">
        <f ca="1">IF(ISERROR(OFFSET('HARGA SATUAN'!$I$6,MATCH(RAB!C53,'HARGA SATUAN'!$C$7:$C$1492,0),0)),0,OFFSET('HARGA SATUAN'!$I$6,MATCH(RAB!C53,'HARGA SATUAN'!$C$7:$C$1492,0),0))</f>
        <v>67700</v>
      </c>
      <c r="H53" s="361">
        <f t="shared" ca="1" si="32"/>
        <v>0</v>
      </c>
      <c r="I53" s="361">
        <f t="shared" ca="1" si="33"/>
        <v>67700</v>
      </c>
      <c r="J53" s="361">
        <f t="shared" ca="1" si="34"/>
        <v>0</v>
      </c>
      <c r="K53" s="362">
        <f t="shared" ca="1" si="35"/>
        <v>67700</v>
      </c>
    </row>
    <row r="54" spans="2:11">
      <c r="B54" s="511">
        <v>5</v>
      </c>
      <c r="C54" s="512" t="s">
        <v>747</v>
      </c>
      <c r="D54" s="358" t="str">
        <f ca="1">IF(ISERROR(OFFSET('HARGA SATUAN'!$D$6,MATCH(RAB!C54,'HARGA SATUAN'!$C$7:$C$1492,0),0)),"",OFFSET('HARGA SATUAN'!$D$6,MATCH(RAB!C54,'HARGA SATUAN'!$C$7:$C$1492,0),0))</f>
        <v>JASA</v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502">
        <f>F49*1</f>
        <v>1</v>
      </c>
      <c r="G54" s="360">
        <f ca="1">IF(ISERROR(OFFSET('HARGA SATUAN'!$I$6,MATCH(RAB!C54,'HARGA SATUAN'!$C$7:$C$1492,0),0)),0,OFFSET('HARGA SATUAN'!$I$6,MATCH(RAB!C54,'HARGA SATUAN'!$C$7:$C$1492,0),0))</f>
        <v>58400</v>
      </c>
      <c r="H54" s="361">
        <f t="shared" ca="1" si="32"/>
        <v>0</v>
      </c>
      <c r="I54" s="361">
        <f t="shared" ca="1" si="33"/>
        <v>0</v>
      </c>
      <c r="J54" s="361">
        <f t="shared" ca="1" si="34"/>
        <v>58400</v>
      </c>
      <c r="K54" s="362">
        <f t="shared" ca="1" si="35"/>
        <v>58400</v>
      </c>
    </row>
    <row r="55" spans="2:11">
      <c r="B55" s="494"/>
      <c r="C55" s="497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/>
      </c>
      <c r="F55" s="501"/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32"/>
        <v>0</v>
      </c>
      <c r="I55" s="361">
        <f t="shared" ca="1" si="33"/>
        <v>0</v>
      </c>
      <c r="J55" s="361">
        <f t="shared" ca="1" si="34"/>
        <v>0</v>
      </c>
      <c r="K55" s="362">
        <f t="shared" ca="1" si="35"/>
        <v>0</v>
      </c>
    </row>
    <row r="56" spans="2:11">
      <c r="B56" s="511" t="s">
        <v>1035</v>
      </c>
      <c r="C56" s="512" t="s">
        <v>1624</v>
      </c>
      <c r="D56" s="358" t="str">
        <f ca="1">IF(ISERROR(OFFSET('HARGA SATUAN'!$D$6,MATCH(RAB!C56,'HARGA SATUAN'!$C$7:$C$1492,0),0)),"",OFFSET('HARGA SATUAN'!$D$6,MATCH(RAB!C56,'HARGA SATUAN'!$C$7:$C$1492,0),0))</f>
        <v/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23">
        <v>1</v>
      </c>
      <c r="G56" s="360">
        <f ca="1">IF(ISERROR(OFFSET('HARGA SATUAN'!$I$6,MATCH(RAB!C56,'HARGA SATUAN'!$C$7:$C$1492,0),0)),0,OFFSET('HARGA SATUAN'!$I$6,MATCH(RAB!C56,'HARGA SATUAN'!$C$7:$C$1492,0),0))</f>
        <v>0</v>
      </c>
      <c r="H56" s="361">
        <f t="shared" ref="H56:H68" ca="1" si="36">IF(OR(D56="MDU",D56="MDU-KD"),(IF($O$3="RAB NON MDU","PLN KD",G56*F56)),0)</f>
        <v>0</v>
      </c>
      <c r="I56" s="361">
        <f t="shared" ref="I56:I68" ca="1" si="37">IF(D56="HDW",G56*F56,0)</f>
        <v>0</v>
      </c>
      <c r="J56" s="361">
        <f t="shared" ref="J56:J68" ca="1" si="38">IF(D56="JASA",G56*F56,0)</f>
        <v>0</v>
      </c>
      <c r="K56" s="362">
        <f t="shared" ref="K56:K68" ca="1" si="39">SUM(H56:J56)</f>
        <v>0</v>
      </c>
    </row>
    <row r="57" spans="2:11">
      <c r="B57" s="511">
        <v>1</v>
      </c>
      <c r="C57" s="506" t="s">
        <v>532</v>
      </c>
      <c r="D57" s="358" t="str">
        <f ca="1">IF(ISERROR(OFFSET('HARGA SATUAN'!$D$6,MATCH(RAB!C57,'HARGA SATUAN'!$C$7:$C$1492,0),0)),"",OFFSET('HARGA SATUAN'!$D$6,MATCH(RAB!C57,'HARGA SATUAN'!$C$7:$C$1492,0),0))</f>
        <v>MDU-KD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7">
        <f>F56*1</f>
        <v>1</v>
      </c>
      <c r="G57" s="360">
        <f ca="1">IF(ISERROR(OFFSET('HARGA SATUAN'!$I$6,MATCH(RAB!C57,'HARGA SATUAN'!$C$7:$C$1492,0),0)),0,OFFSET('HARGA SATUAN'!$I$6,MATCH(RAB!C57,'HARGA SATUAN'!$C$7:$C$1492,0),0))</f>
        <v>27845400</v>
      </c>
      <c r="H57" s="361">
        <f t="shared" ca="1" si="36"/>
        <v>27845400</v>
      </c>
      <c r="I57" s="361">
        <f t="shared" ca="1" si="37"/>
        <v>0</v>
      </c>
      <c r="J57" s="361">
        <f t="shared" ca="1" si="38"/>
        <v>0</v>
      </c>
      <c r="K57" s="362">
        <f t="shared" ca="1" si="39"/>
        <v>27845400</v>
      </c>
    </row>
    <row r="58" spans="2:11">
      <c r="B58" s="503">
        <v>2</v>
      </c>
      <c r="C58" s="506" t="s">
        <v>1618</v>
      </c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507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36"/>
        <v>0</v>
      </c>
      <c r="I58" s="361">
        <f t="shared" ca="1" si="37"/>
        <v>0</v>
      </c>
      <c r="J58" s="361">
        <f t="shared" ca="1" si="38"/>
        <v>0</v>
      </c>
      <c r="K58" s="362">
        <f t="shared" ca="1" si="39"/>
        <v>0</v>
      </c>
    </row>
    <row r="59" spans="2:11">
      <c r="B59" s="503"/>
      <c r="C59" s="506" t="s">
        <v>65</v>
      </c>
      <c r="D59" s="358" t="str">
        <f ca="1">IF(ISERROR(OFFSET('HARGA SATUAN'!$D$6,MATCH(RAB!C59,'HARGA SATUAN'!$C$7:$C$1492,0),0)),"",OFFSET('HARGA SATUAN'!$D$6,MATCH(RAB!C59,'HARGA SATUAN'!$C$7:$C$1492,0),0))</f>
        <v>MDU-KD</v>
      </c>
      <c r="E59" s="359" t="str">
        <f ca="1">IF(B59="+","Unit",IF(ISERROR(OFFSET('HARGA SATUAN'!$E$6,MATCH(RAB!C59,'HARGA SATUAN'!$C$7:$C$1492,0),0)),"",OFFSET('HARGA SATUAN'!$E$6,MATCH(RAB!C59,'HARGA SATUAN'!$C$7:$C$1492,0),0)))</f>
        <v>Mtr</v>
      </c>
      <c r="F59" s="507">
        <f>F56*2</f>
        <v>2</v>
      </c>
      <c r="G59" s="360">
        <f ca="1">IF(ISERROR(OFFSET('HARGA SATUAN'!$I$6,MATCH(RAB!C59,'HARGA SATUAN'!$C$7:$C$1492,0),0)),0,OFFSET('HARGA SATUAN'!$I$6,MATCH(RAB!C59,'HARGA SATUAN'!$C$7:$C$1492,0),0))</f>
        <v>14200</v>
      </c>
      <c r="H59" s="361">
        <f t="shared" ca="1" si="36"/>
        <v>28400</v>
      </c>
      <c r="I59" s="361">
        <f t="shared" ca="1" si="37"/>
        <v>0</v>
      </c>
      <c r="J59" s="361">
        <f t="shared" ca="1" si="38"/>
        <v>0</v>
      </c>
      <c r="K59" s="362">
        <f t="shared" ca="1" si="39"/>
        <v>28400</v>
      </c>
    </row>
    <row r="60" spans="2:11">
      <c r="B60" s="511"/>
      <c r="C60" s="506" t="s">
        <v>1625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507">
        <f>F56*2</f>
        <v>2</v>
      </c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36"/>
        <v>0</v>
      </c>
      <c r="I60" s="361">
        <f t="shared" ca="1" si="37"/>
        <v>0</v>
      </c>
      <c r="J60" s="361">
        <f t="shared" ca="1" si="38"/>
        <v>0</v>
      </c>
      <c r="K60" s="362">
        <f t="shared" ca="1" si="39"/>
        <v>0</v>
      </c>
    </row>
    <row r="61" spans="2:11">
      <c r="B61" s="511">
        <v>3</v>
      </c>
      <c r="C61" s="506" t="s">
        <v>207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07">
        <f>F56*1</f>
        <v>1</v>
      </c>
      <c r="G61" s="360">
        <f ca="1">IF(ISERROR(OFFSET('HARGA SATUAN'!$I$6,MATCH(RAB!C61,'HARGA SATUAN'!$C$7:$C$1492,0),0)),0,OFFSET('HARGA SATUAN'!$I$6,MATCH(RAB!C61,'HARGA SATUAN'!$C$7:$C$1492,0),0))</f>
        <v>87000</v>
      </c>
      <c r="H61" s="361">
        <f t="shared" ca="1" si="36"/>
        <v>0</v>
      </c>
      <c r="I61" s="361">
        <f t="shared" ca="1" si="37"/>
        <v>87000</v>
      </c>
      <c r="J61" s="361">
        <f t="shared" ca="1" si="38"/>
        <v>0</v>
      </c>
      <c r="K61" s="362">
        <f t="shared" ca="1" si="39"/>
        <v>87000</v>
      </c>
    </row>
    <row r="62" spans="2:11">
      <c r="B62" s="511">
        <v>4</v>
      </c>
      <c r="C62" s="506" t="s">
        <v>176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7">
        <f>F56*2</f>
        <v>2</v>
      </c>
      <c r="G62" s="360">
        <f ca="1">IF(ISERROR(OFFSET('HARGA SATUAN'!$I$6,MATCH(RAB!C62,'HARGA SATUAN'!$C$7:$C$1492,0),0)),0,OFFSET('HARGA SATUAN'!$I$6,MATCH(RAB!C62,'HARGA SATUAN'!$C$7:$C$1492,0),0))</f>
        <v>404600</v>
      </c>
      <c r="H62" s="361">
        <f t="shared" ca="1" si="36"/>
        <v>0</v>
      </c>
      <c r="I62" s="361">
        <f t="shared" ca="1" si="37"/>
        <v>809200</v>
      </c>
      <c r="J62" s="361">
        <f t="shared" ca="1" si="38"/>
        <v>0</v>
      </c>
      <c r="K62" s="362">
        <f t="shared" ca="1" si="39"/>
        <v>809200</v>
      </c>
    </row>
    <row r="63" spans="2:11">
      <c r="B63" s="511">
        <v>5</v>
      </c>
      <c r="C63" s="506" t="s">
        <v>184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7">
        <f>F56*3</f>
        <v>3</v>
      </c>
      <c r="G63" s="360">
        <f ca="1">IF(ISERROR(OFFSET('HARGA SATUAN'!$I$6,MATCH(RAB!C63,'HARGA SATUAN'!$C$7:$C$1492,0),0)),0,OFFSET('HARGA SATUAN'!$I$6,MATCH(RAB!C63,'HARGA SATUAN'!$C$7:$C$1492,0),0))</f>
        <v>15900</v>
      </c>
      <c r="H63" s="361">
        <f t="shared" ca="1" si="36"/>
        <v>0</v>
      </c>
      <c r="I63" s="361">
        <f t="shared" ca="1" si="37"/>
        <v>47700</v>
      </c>
      <c r="J63" s="361">
        <f t="shared" ca="1" si="38"/>
        <v>0</v>
      </c>
      <c r="K63" s="362">
        <f t="shared" ca="1" si="39"/>
        <v>47700</v>
      </c>
    </row>
    <row r="64" spans="2:11">
      <c r="B64" s="511">
        <v>6</v>
      </c>
      <c r="C64" s="506" t="s">
        <v>187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07">
        <f>F56*2</f>
        <v>2</v>
      </c>
      <c r="G64" s="360">
        <f ca="1">IF(ISERROR(OFFSET('HARGA SATUAN'!$I$6,MATCH(RAB!C64,'HARGA SATUAN'!$C$7:$C$1492,0),0)),0,OFFSET('HARGA SATUAN'!$I$6,MATCH(RAB!C64,'HARGA SATUAN'!$C$7:$C$1492,0),0))</f>
        <v>17100</v>
      </c>
      <c r="H64" s="361">
        <f t="shared" ca="1" si="36"/>
        <v>0</v>
      </c>
      <c r="I64" s="361">
        <f t="shared" ca="1" si="37"/>
        <v>34200</v>
      </c>
      <c r="J64" s="361">
        <f t="shared" ca="1" si="38"/>
        <v>0</v>
      </c>
      <c r="K64" s="362">
        <f t="shared" ca="1" si="39"/>
        <v>34200</v>
      </c>
    </row>
    <row r="65" spans="2:11">
      <c r="B65" s="511">
        <v>7</v>
      </c>
      <c r="C65" s="506" t="s">
        <v>1626</v>
      </c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/>
      </c>
      <c r="F65" s="507">
        <f>F56*4</f>
        <v>4</v>
      </c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36"/>
        <v>0</v>
      </c>
      <c r="I65" s="361">
        <f t="shared" ca="1" si="37"/>
        <v>0</v>
      </c>
      <c r="J65" s="361">
        <f t="shared" ca="1" si="38"/>
        <v>0</v>
      </c>
      <c r="K65" s="362">
        <f t="shared" ca="1" si="39"/>
        <v>0</v>
      </c>
    </row>
    <row r="66" spans="2:11">
      <c r="B66" s="511">
        <v>8</v>
      </c>
      <c r="C66" s="506" t="s">
        <v>149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Set</v>
      </c>
      <c r="F66" s="507">
        <f>F56*1</f>
        <v>1</v>
      </c>
      <c r="G66" s="360">
        <f ca="1">IF(ISERROR(OFFSET('HARGA SATUAN'!$I$6,MATCH(RAB!C66,'HARGA SATUAN'!$C$7:$C$1492,0),0)),0,OFFSET('HARGA SATUAN'!$I$6,MATCH(RAB!C66,'HARGA SATUAN'!$C$7:$C$1492,0),0))</f>
        <v>67800</v>
      </c>
      <c r="H66" s="361">
        <f t="shared" ca="1" si="36"/>
        <v>0</v>
      </c>
      <c r="I66" s="361">
        <f t="shared" ca="1" si="37"/>
        <v>67800</v>
      </c>
      <c r="J66" s="361">
        <f t="shared" ca="1" si="38"/>
        <v>0</v>
      </c>
      <c r="K66" s="362">
        <f t="shared" ca="1" si="39"/>
        <v>67800</v>
      </c>
    </row>
    <row r="67" spans="2:11">
      <c r="B67" s="511">
        <v>9</v>
      </c>
      <c r="C67" s="506" t="s">
        <v>32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Mtr</v>
      </c>
      <c r="F67" s="507">
        <f>F56*2</f>
        <v>2</v>
      </c>
      <c r="G67" s="360">
        <f ca="1">IF(ISERROR(OFFSET('HARGA SATUAN'!$I$6,MATCH(RAB!C67,'HARGA SATUAN'!$C$7:$C$1492,0),0)),0,OFFSET('HARGA SATUAN'!$I$6,MATCH(RAB!C67,'HARGA SATUAN'!$C$7:$C$1492,0),0))</f>
        <v>30000</v>
      </c>
      <c r="H67" s="361">
        <f t="shared" ca="1" si="36"/>
        <v>0</v>
      </c>
      <c r="I67" s="361">
        <f t="shared" ca="1" si="37"/>
        <v>60000</v>
      </c>
      <c r="J67" s="361">
        <f t="shared" ca="1" si="38"/>
        <v>0</v>
      </c>
      <c r="K67" s="362">
        <f t="shared" ca="1" si="39"/>
        <v>60000</v>
      </c>
    </row>
    <row r="68" spans="2:11">
      <c r="B68" s="511">
        <v>10</v>
      </c>
      <c r="C68" s="506" t="s">
        <v>781</v>
      </c>
      <c r="D68" s="358" t="str">
        <f ca="1">IF(ISERROR(OFFSET('HARGA SATUAN'!$D$6,MATCH(RAB!C68,'HARGA SATUAN'!$C$7:$C$1492,0),0)),"",OFFSET('HARGA SATUAN'!$D$6,MATCH(RAB!C68,'HARGA SATUAN'!$C$7:$C$1492,0),0))</f>
        <v>JASA</v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507">
        <f>F56*1</f>
        <v>1</v>
      </c>
      <c r="G68" s="360">
        <f ca="1">IF(ISERROR(OFFSET('HARGA SATUAN'!$I$6,MATCH(RAB!C68,'HARGA SATUAN'!$C$7:$C$1492,0),0)),0,OFFSET('HARGA SATUAN'!$I$6,MATCH(RAB!C68,'HARGA SATUAN'!$C$7:$C$1492,0),0))</f>
        <v>346400</v>
      </c>
      <c r="H68" s="361">
        <f t="shared" ca="1" si="36"/>
        <v>0</v>
      </c>
      <c r="I68" s="361">
        <f t="shared" ca="1" si="37"/>
        <v>0</v>
      </c>
      <c r="J68" s="361">
        <f t="shared" ca="1" si="38"/>
        <v>346400</v>
      </c>
      <c r="K68" s="362">
        <f t="shared" ca="1" si="39"/>
        <v>346400</v>
      </c>
    </row>
    <row r="69" spans="2:11">
      <c r="B69" s="508"/>
      <c r="C69" s="109"/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501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ref="H69" ca="1" si="40">IF(OR(D69="MDU",D69="MDU-KD"),(IF($O$3="RAB NON MDU","PLN KD",G69*F69)),0)</f>
        <v>0</v>
      </c>
      <c r="I69" s="361">
        <f t="shared" ref="I69" ca="1" si="41">IF(D69="HDW",G69*F69,0)</f>
        <v>0</v>
      </c>
      <c r="J69" s="361">
        <f t="shared" ref="J69" ca="1" si="42">IF(D69="JASA",G69*F69,0)</f>
        <v>0</v>
      </c>
      <c r="K69" s="362">
        <f t="shared" ref="K69" ca="1" si="43">SUM(H69:J69)</f>
        <v>0</v>
      </c>
    </row>
    <row r="70" spans="2:11">
      <c r="B70" s="503" t="s">
        <v>1035</v>
      </c>
      <c r="C70" s="504" t="s">
        <v>1619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>Unit</v>
      </c>
      <c r="F70" s="501">
        <v>2</v>
      </c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ref="H70:H80" ca="1" si="44">IF(OR(D70="MDU",D70="MDU-KD"),(IF($O$3="RAB NON MDU","PLN KD",G70*F70)),0)</f>
        <v>0</v>
      </c>
      <c r="I70" s="361">
        <f t="shared" ref="I70:I80" ca="1" si="45">IF(D70="HDW",G70*F70,0)</f>
        <v>0</v>
      </c>
      <c r="J70" s="361">
        <f t="shared" ref="J70:J80" ca="1" si="46">IF(D70="JASA",G70*F70,0)</f>
        <v>0</v>
      </c>
      <c r="K70" s="362">
        <f t="shared" ref="K70:K80" ca="1" si="47">SUM(H70:J70)</f>
        <v>0</v>
      </c>
    </row>
    <row r="71" spans="2:11">
      <c r="B71" s="503">
        <v>1</v>
      </c>
      <c r="C71" s="505" t="s">
        <v>29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01">
        <f>F70*1</f>
        <v>2</v>
      </c>
      <c r="G71" s="360">
        <f ca="1">IF(ISERROR(OFFSET('HARGA SATUAN'!$I$6,MATCH(RAB!C71,'HARGA SATUAN'!$C$7:$C$1492,0),0)),0,OFFSET('HARGA SATUAN'!$I$6,MATCH(RAB!C71,'HARGA SATUAN'!$C$7:$C$1492,0),0))</f>
        <v>185200</v>
      </c>
      <c r="H71" s="361">
        <f t="shared" ca="1" si="44"/>
        <v>0</v>
      </c>
      <c r="I71" s="361">
        <f t="shared" ca="1" si="45"/>
        <v>370400</v>
      </c>
      <c r="J71" s="361">
        <f t="shared" ca="1" si="46"/>
        <v>0</v>
      </c>
      <c r="K71" s="362">
        <f t="shared" ca="1" si="47"/>
        <v>370400</v>
      </c>
    </row>
    <row r="72" spans="2:11">
      <c r="B72" s="498">
        <v>2</v>
      </c>
      <c r="C72" s="499" t="s">
        <v>30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01">
        <f>F70*1</f>
        <v>2</v>
      </c>
      <c r="G72" s="360">
        <f ca="1">IF(ISERROR(OFFSET('HARGA SATUAN'!$I$6,MATCH(RAB!C72,'HARGA SATUAN'!$C$7:$C$1492,0),0)),0,OFFSET('HARGA SATUAN'!$I$6,MATCH(RAB!C72,'HARGA SATUAN'!$C$7:$C$1492,0),0))</f>
        <v>47459</v>
      </c>
      <c r="H72" s="361">
        <f t="shared" ca="1" si="44"/>
        <v>0</v>
      </c>
      <c r="I72" s="361">
        <f t="shared" ca="1" si="45"/>
        <v>94918</v>
      </c>
      <c r="J72" s="361">
        <f t="shared" ca="1" si="46"/>
        <v>0</v>
      </c>
      <c r="K72" s="362">
        <f t="shared" ca="1" si="47"/>
        <v>94918</v>
      </c>
    </row>
    <row r="73" spans="2:11">
      <c r="B73" s="498">
        <v>3</v>
      </c>
      <c r="C73" s="499" t="s">
        <v>31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01">
        <f>F70*1</f>
        <v>2</v>
      </c>
      <c r="G73" s="360">
        <f ca="1">IF(ISERROR(OFFSET('HARGA SATUAN'!$I$6,MATCH(RAB!C73,'HARGA SATUAN'!$C$7:$C$1492,0),0)),0,OFFSET('HARGA SATUAN'!$I$6,MATCH(RAB!C73,'HARGA SATUAN'!$C$7:$C$1492,0),0))</f>
        <v>4880</v>
      </c>
      <c r="H73" s="361">
        <f t="shared" ca="1" si="44"/>
        <v>0</v>
      </c>
      <c r="I73" s="361">
        <f t="shared" ca="1" si="45"/>
        <v>9760</v>
      </c>
      <c r="J73" s="361">
        <f t="shared" ca="1" si="46"/>
        <v>0</v>
      </c>
      <c r="K73" s="362">
        <f t="shared" ca="1" si="47"/>
        <v>9760</v>
      </c>
    </row>
    <row r="74" spans="2:11">
      <c r="B74" s="498">
        <v>4</v>
      </c>
      <c r="C74" s="499" t="s">
        <v>32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Mtr</v>
      </c>
      <c r="F74" s="501">
        <f>F70*10</f>
        <v>20</v>
      </c>
      <c r="G74" s="360">
        <f ca="1">IF(ISERROR(OFFSET('HARGA SATUAN'!$I$6,MATCH(RAB!C74,'HARGA SATUAN'!$C$7:$C$1492,0),0)),0,OFFSET('HARGA SATUAN'!$I$6,MATCH(RAB!C74,'HARGA SATUAN'!$C$7:$C$1492,0),0))</f>
        <v>30000</v>
      </c>
      <c r="H74" s="361">
        <f t="shared" ca="1" si="44"/>
        <v>0</v>
      </c>
      <c r="I74" s="361">
        <f t="shared" ca="1" si="45"/>
        <v>600000</v>
      </c>
      <c r="J74" s="361">
        <f t="shared" ca="1" si="46"/>
        <v>0</v>
      </c>
      <c r="K74" s="362">
        <f t="shared" ca="1" si="47"/>
        <v>600000</v>
      </c>
    </row>
    <row r="75" spans="2:11">
      <c r="B75" s="498">
        <v>5</v>
      </c>
      <c r="C75" s="499" t="s">
        <v>33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1">
        <f>F70*2</f>
        <v>4</v>
      </c>
      <c r="G75" s="360">
        <f ca="1">IF(ISERROR(OFFSET('HARGA SATUAN'!$I$6,MATCH(RAB!C75,'HARGA SATUAN'!$C$7:$C$1492,0),0)),0,OFFSET('HARGA SATUAN'!$I$6,MATCH(RAB!C75,'HARGA SATUAN'!$C$7:$C$1492,0),0))</f>
        <v>9500</v>
      </c>
      <c r="H75" s="361">
        <f t="shared" ca="1" si="44"/>
        <v>0</v>
      </c>
      <c r="I75" s="361">
        <f t="shared" ca="1" si="45"/>
        <v>38000</v>
      </c>
      <c r="J75" s="361">
        <f t="shared" ca="1" si="46"/>
        <v>0</v>
      </c>
      <c r="K75" s="362">
        <f t="shared" ca="1" si="47"/>
        <v>38000</v>
      </c>
    </row>
    <row r="76" spans="2:11">
      <c r="B76" s="498">
        <v>6</v>
      </c>
      <c r="C76" s="499" t="s">
        <v>34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01">
        <f>F70*5.5</f>
        <v>11</v>
      </c>
      <c r="G76" s="360">
        <f ca="1">IF(ISERROR(OFFSET('HARGA SATUAN'!$I$6,MATCH(RAB!C76,'HARGA SATUAN'!$C$7:$C$1492,0),0)),0,OFFSET('HARGA SATUAN'!$I$6,MATCH(RAB!C76,'HARGA SATUAN'!$C$7:$C$1492,0),0))</f>
        <v>6100</v>
      </c>
      <c r="H76" s="361">
        <f t="shared" ca="1" si="44"/>
        <v>0</v>
      </c>
      <c r="I76" s="361">
        <f t="shared" ca="1" si="45"/>
        <v>67100</v>
      </c>
      <c r="J76" s="361">
        <f t="shared" ca="1" si="46"/>
        <v>0</v>
      </c>
      <c r="K76" s="362">
        <f t="shared" ca="1" si="47"/>
        <v>67100</v>
      </c>
    </row>
    <row r="77" spans="2:11">
      <c r="B77" s="498">
        <v>7</v>
      </c>
      <c r="C77" s="499" t="s">
        <v>35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501">
        <f>F70*6</f>
        <v>12</v>
      </c>
      <c r="G77" s="360">
        <f ca="1">IF(ISERROR(OFFSET('HARGA SATUAN'!$I$6,MATCH(RAB!C77,'HARGA SATUAN'!$C$7:$C$1492,0),0)),0,OFFSET('HARGA SATUAN'!$I$6,MATCH(RAB!C77,'HARGA SATUAN'!$C$7:$C$1492,0),0))</f>
        <v>2300</v>
      </c>
      <c r="H77" s="361">
        <f t="shared" ca="1" si="44"/>
        <v>0</v>
      </c>
      <c r="I77" s="361">
        <f t="shared" ca="1" si="45"/>
        <v>27600</v>
      </c>
      <c r="J77" s="361">
        <f t="shared" ca="1" si="46"/>
        <v>0</v>
      </c>
      <c r="K77" s="362">
        <f t="shared" ca="1" si="47"/>
        <v>27600</v>
      </c>
    </row>
    <row r="78" spans="2:11">
      <c r="B78" s="498">
        <v>8</v>
      </c>
      <c r="C78" s="499" t="s">
        <v>1620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Mtr</v>
      </c>
      <c r="F78" s="501">
        <f>F70*4.8</f>
        <v>9.6</v>
      </c>
      <c r="G78" s="360">
        <f ca="1">IF(ISERROR(OFFSET('HARGA SATUAN'!$I$6,MATCH(RAB!C78,'HARGA SATUAN'!$C$7:$C$1492,0),0)),0,OFFSET('HARGA SATUAN'!$I$6,MATCH(RAB!C78,'HARGA SATUAN'!$C$7:$C$1492,0),0))</f>
        <v>23310</v>
      </c>
      <c r="H78" s="361">
        <f t="shared" ca="1" si="44"/>
        <v>0</v>
      </c>
      <c r="I78" s="361">
        <f t="shared" ca="1" si="45"/>
        <v>223776</v>
      </c>
      <c r="J78" s="361">
        <f t="shared" ca="1" si="46"/>
        <v>0</v>
      </c>
      <c r="K78" s="362">
        <f t="shared" ca="1" si="47"/>
        <v>223776</v>
      </c>
    </row>
    <row r="79" spans="2:11">
      <c r="B79" s="498">
        <v>9</v>
      </c>
      <c r="C79" s="499" t="s">
        <v>736</v>
      </c>
      <c r="D79" s="358" t="str">
        <f ca="1">IF(ISERROR(OFFSET('HARGA SATUAN'!$D$6,MATCH(RAB!C79,'HARGA SATUAN'!$C$7:$C$1492,0),0)),"",OFFSET('HARGA SATUAN'!$D$6,MATCH(RAB!C79,'HARGA SATUAN'!$C$7:$C$1492,0),0))</f>
        <v>JASA</v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501">
        <f>F70*1</f>
        <v>2</v>
      </c>
      <c r="G79" s="360">
        <f ca="1">IF(ISERROR(OFFSET('HARGA SATUAN'!$I$6,MATCH(RAB!C79,'HARGA SATUAN'!$C$7:$C$1492,0),0)),0,OFFSET('HARGA SATUAN'!$I$6,MATCH(RAB!C79,'HARGA SATUAN'!$C$7:$C$1492,0),0))</f>
        <v>65400</v>
      </c>
      <c r="H79" s="361">
        <f t="shared" ca="1" si="44"/>
        <v>0</v>
      </c>
      <c r="I79" s="361">
        <f t="shared" ca="1" si="45"/>
        <v>0</v>
      </c>
      <c r="J79" s="361">
        <f t="shared" ca="1" si="46"/>
        <v>130800</v>
      </c>
      <c r="K79" s="362">
        <f t="shared" ca="1" si="47"/>
        <v>130800</v>
      </c>
    </row>
    <row r="80" spans="2:11">
      <c r="B80" s="494"/>
      <c r="C80" s="497"/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502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44"/>
        <v>0</v>
      </c>
      <c r="I80" s="361">
        <f t="shared" ca="1" si="45"/>
        <v>0</v>
      </c>
      <c r="J80" s="361">
        <f t="shared" ca="1" si="46"/>
        <v>0</v>
      </c>
      <c r="K80" s="362">
        <f t="shared" ca="1" si="47"/>
        <v>0</v>
      </c>
    </row>
    <row r="81" spans="2:11">
      <c r="B81" s="495" t="s">
        <v>1615</v>
      </c>
      <c r="C81" s="500" t="s">
        <v>1621</v>
      </c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/>
      </c>
      <c r="F81" s="368"/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ref="H81:H87" ca="1" si="48">IF(OR(D81="MDU",D81="MDU-KD"),(IF($O$3="RAB NON MDU","PLN KD",G81*F81)),0)</f>
        <v>0</v>
      </c>
      <c r="I81" s="361">
        <f t="shared" ref="I81:I87" ca="1" si="49">IF(D81="HDW",G81*F81,0)</f>
        <v>0</v>
      </c>
      <c r="J81" s="361">
        <f t="shared" ref="J81:J87" ca="1" si="50">IF(D81="JASA",G81*F81,0)</f>
        <v>0</v>
      </c>
      <c r="K81" s="362">
        <f t="shared" ref="K81:K87" ca="1" si="51">SUM(H81:J81)</f>
        <v>0</v>
      </c>
    </row>
    <row r="82" spans="2:11">
      <c r="B82" s="495"/>
      <c r="C82" s="496"/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510"/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ca="1" si="48"/>
        <v>0</v>
      </c>
      <c r="I82" s="361">
        <f t="shared" ca="1" si="49"/>
        <v>0</v>
      </c>
      <c r="J82" s="361">
        <f t="shared" ca="1" si="50"/>
        <v>0</v>
      </c>
      <c r="K82" s="362">
        <f t="shared" ca="1" si="51"/>
        <v>0</v>
      </c>
    </row>
    <row r="83" spans="2:11">
      <c r="B83" s="495" t="s">
        <v>1035</v>
      </c>
      <c r="C83" s="496" t="s">
        <v>1628</v>
      </c>
      <c r="D83" s="358" t="str">
        <f ca="1">IF(ISERROR(OFFSET('HARGA SATUAN'!$D$6,MATCH(RAB!C83,'HARGA SATUAN'!$C$7:$C$1492,0),0)),"",OFFSET('HARGA SATUAN'!$D$6,MATCH(RAB!C83,'HARGA SATUAN'!$C$7:$C$1492,0),0))</f>
        <v/>
      </c>
      <c r="E83" s="359" t="str">
        <f ca="1">IF(B83="+","Unit",IF(ISERROR(OFFSET('HARGA SATUAN'!$E$6,MATCH(RAB!C83,'HARGA SATUAN'!$C$7:$C$1492,0),0)),"",OFFSET('HARGA SATUAN'!$E$6,MATCH(RAB!C83,'HARGA SATUAN'!$C$7:$C$1492,0),0)))</f>
        <v>Unit</v>
      </c>
      <c r="F83" s="514">
        <v>1</v>
      </c>
      <c r="G83" s="360">
        <f ca="1">IF(ISERROR(OFFSET('HARGA SATUAN'!$I$6,MATCH(RAB!C83,'HARGA SATUAN'!$C$7:$C$1492,0),0)),0,OFFSET('HARGA SATUAN'!$I$6,MATCH(RAB!C83,'HARGA SATUAN'!$C$7:$C$1492,0),0))</f>
        <v>0</v>
      </c>
      <c r="H83" s="361">
        <f t="shared" ca="1" si="48"/>
        <v>0</v>
      </c>
      <c r="I83" s="361">
        <f t="shared" ca="1" si="49"/>
        <v>0</v>
      </c>
      <c r="J83" s="361">
        <f t="shared" ca="1" si="50"/>
        <v>0</v>
      </c>
      <c r="K83" s="362">
        <f t="shared" ca="1" si="51"/>
        <v>0</v>
      </c>
    </row>
    <row r="84" spans="2:11" ht="30">
      <c r="B84" s="511">
        <v>1</v>
      </c>
      <c r="C84" s="109" t="s">
        <v>1141</v>
      </c>
      <c r="D84" s="358" t="str">
        <f ca="1">IF(ISERROR(OFFSET('HARGA SATUAN'!$D$6,MATCH(RAB!C84,'HARGA SATUAN'!$C$7:$C$1492,0),0)),"",OFFSET('HARGA SATUAN'!$D$6,MATCH(RAB!C84,'HARGA SATUAN'!$C$7:$C$1492,0),0))</f>
        <v>MDU-KD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514">
        <f>F83*1</f>
        <v>1</v>
      </c>
      <c r="G84" s="360">
        <f ca="1">IF(ISERROR(OFFSET('HARGA SATUAN'!$I$6,MATCH(RAB!C84,'HARGA SATUAN'!$C$7:$C$1492,0),0)),0,OFFSET('HARGA SATUAN'!$I$6,MATCH(RAB!C84,'HARGA SATUAN'!$C$7:$C$1492,0),0))</f>
        <v>1740750</v>
      </c>
      <c r="H84" s="361">
        <f t="shared" ca="1" si="48"/>
        <v>1740750</v>
      </c>
      <c r="I84" s="361">
        <f t="shared" ca="1" si="49"/>
        <v>0</v>
      </c>
      <c r="J84" s="361">
        <f t="shared" ca="1" si="50"/>
        <v>0</v>
      </c>
      <c r="K84" s="362">
        <f t="shared" ca="1" si="51"/>
        <v>1740750</v>
      </c>
    </row>
    <row r="85" spans="2:11">
      <c r="B85" s="511">
        <v>2</v>
      </c>
      <c r="C85" s="513" t="s">
        <v>493</v>
      </c>
      <c r="D85" s="358" t="str">
        <f ca="1">IF(ISERROR(OFFSET('HARGA SATUAN'!$D$6,MATCH(RAB!C85,'HARGA SATUAN'!$C$7:$C$1492,0),0)),"",OFFSET('HARGA SATUAN'!$D$6,MATCH(RAB!C85,'HARGA SATUAN'!$C$7:$C$1492,0),0))</f>
        <v>MDU-KD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14">
        <f>F83*1</f>
        <v>1</v>
      </c>
      <c r="G85" s="360">
        <f ca="1">IF(ISERROR(OFFSET('HARGA SATUAN'!$I$6,MATCH(RAB!C85,'HARGA SATUAN'!$C$7:$C$1492,0),0)),0,OFFSET('HARGA SATUAN'!$I$6,MATCH(RAB!C85,'HARGA SATUAN'!$C$7:$C$1492,0),0))</f>
        <v>39000</v>
      </c>
      <c r="H85" s="361">
        <f t="shared" ca="1" si="48"/>
        <v>39000</v>
      </c>
      <c r="I85" s="361">
        <f t="shared" ca="1" si="49"/>
        <v>0</v>
      </c>
      <c r="J85" s="361">
        <f t="shared" ca="1" si="50"/>
        <v>0</v>
      </c>
      <c r="K85" s="362">
        <f t="shared" ca="1" si="51"/>
        <v>39000</v>
      </c>
    </row>
    <row r="86" spans="2:11">
      <c r="B86" s="511">
        <v>3</v>
      </c>
      <c r="C86" s="513" t="s">
        <v>74</v>
      </c>
      <c r="D86" s="358" t="str">
        <f ca="1">IF(ISERROR(OFFSET('HARGA SATUAN'!$D$6,MATCH(RAB!C86,'HARGA SATUAN'!$C$7:$C$1492,0),0)),"",OFFSET('HARGA SATUAN'!$D$6,MATCH(RAB!C86,'HARGA SATUAN'!$C$7:$C$1492,0),0))</f>
        <v>MDU-KD</v>
      </c>
      <c r="E86" s="359" t="str">
        <f ca="1">IF(B86="+","Unit",IF(ISERROR(OFFSET('HARGA SATUAN'!$E$6,MATCH(RAB!C86,'HARGA SATUAN'!$C$7:$C$1492,0),0)),"",OFFSET('HARGA SATUAN'!$E$6,MATCH(RAB!C86,'HARGA SATUAN'!$C$7:$C$1492,0),0)))</f>
        <v>Mtr</v>
      </c>
      <c r="F86" s="514">
        <f>F83*35</f>
        <v>35</v>
      </c>
      <c r="G86" s="360">
        <f ca="1">IF(ISERROR(OFFSET('HARGA SATUAN'!$I$6,MATCH(RAB!C86,'HARGA SATUAN'!$C$7:$C$1492,0),0)),0,OFFSET('HARGA SATUAN'!$I$6,MATCH(RAB!C86,'HARGA SATUAN'!$C$7:$C$1492,0),0))</f>
        <v>6600</v>
      </c>
      <c r="H86" s="361">
        <f t="shared" ca="1" si="48"/>
        <v>231000</v>
      </c>
      <c r="I86" s="361">
        <f t="shared" ca="1" si="49"/>
        <v>0</v>
      </c>
      <c r="J86" s="361">
        <f t="shared" ca="1" si="50"/>
        <v>0</v>
      </c>
      <c r="K86" s="362">
        <f t="shared" ca="1" si="51"/>
        <v>231000</v>
      </c>
    </row>
    <row r="87" spans="2:11">
      <c r="B87" s="511">
        <v>4</v>
      </c>
      <c r="C87" s="513" t="s">
        <v>798</v>
      </c>
      <c r="D87" s="358" t="str">
        <f ca="1">IF(ISERROR(OFFSET('HARGA SATUAN'!$D$6,MATCH(RAB!C87,'HARGA SATUAN'!$C$7:$C$1492,0),0)),"",OFFSET('HARGA SATUAN'!$D$6,MATCH(RAB!C87,'HARGA SATUAN'!$C$7:$C$1492,0),0))</f>
        <v>JASA</v>
      </c>
      <c r="E87" s="359" t="str">
        <f ca="1">IF(B87="+","Unit",IF(ISERROR(OFFSET('HARGA SATUAN'!$E$6,MATCH(RAB!C87,'HARGA SATUAN'!$C$7:$C$1492,0),0)),"",OFFSET('HARGA SATUAN'!$E$6,MATCH(RAB!C87,'HARGA SATUAN'!$C$7:$C$1492,0),0)))</f>
        <v>Unit</v>
      </c>
      <c r="F87" s="514">
        <f>F83*1</f>
        <v>1</v>
      </c>
      <c r="G87" s="360">
        <f ca="1">IF(ISERROR(OFFSET('HARGA SATUAN'!$I$6,MATCH(RAB!C87,'HARGA SATUAN'!$C$7:$C$1492,0),0)),0,OFFSET('HARGA SATUAN'!$I$6,MATCH(RAB!C87,'HARGA SATUAN'!$C$7:$C$1492,0),0))</f>
        <v>54400</v>
      </c>
      <c r="H87" s="361">
        <f t="shared" ca="1" si="48"/>
        <v>0</v>
      </c>
      <c r="I87" s="361">
        <f t="shared" ca="1" si="49"/>
        <v>0</v>
      </c>
      <c r="J87" s="361">
        <f t="shared" ca="1" si="50"/>
        <v>54400</v>
      </c>
      <c r="K87" s="362">
        <f t="shared" ca="1" si="51"/>
        <v>54400</v>
      </c>
    </row>
    <row r="88" spans="2:11">
      <c r="B88" s="511">
        <v>5</v>
      </c>
      <c r="C88" s="109" t="s">
        <v>144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Set</v>
      </c>
      <c r="F88" s="514">
        <v>1</v>
      </c>
      <c r="G88" s="360">
        <f ca="1">IF(ISERROR(OFFSET('HARGA SATUAN'!$I$6,MATCH(RAB!C88,'HARGA SATUAN'!$C$7:$C$1492,0),0)),0,OFFSET('HARGA SATUAN'!$I$6,MATCH(RAB!C88,'HARGA SATUAN'!$C$7:$C$1492,0),0))</f>
        <v>297606.44984038931</v>
      </c>
      <c r="H88" s="361">
        <f t="shared" ref="H88:H90" ca="1" si="52">IF(OR(D88="MDU",D88="MDU-KD"),(IF($O$3="RAB NON MDU","PLN KD",G88*F88)),0)</f>
        <v>0</v>
      </c>
      <c r="I88" s="361">
        <f t="shared" ref="I88:I90" ca="1" si="53">IF(D88="HDW",G88*F88,0)</f>
        <v>297606.44984038931</v>
      </c>
      <c r="J88" s="361">
        <f t="shared" ref="J88:J90" ca="1" si="54">IF(D88="JASA",G88*F88,0)</f>
        <v>0</v>
      </c>
      <c r="K88" s="362">
        <f t="shared" ref="K88:K90" ca="1" si="55">SUM(H88:J88)</f>
        <v>297606.44984038931</v>
      </c>
    </row>
    <row r="89" spans="2:11">
      <c r="B89" s="374"/>
      <c r="C89" s="509"/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368"/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52"/>
        <v>0</v>
      </c>
      <c r="I89" s="361">
        <f t="shared" ca="1" si="53"/>
        <v>0</v>
      </c>
      <c r="J89" s="361">
        <f t="shared" ca="1" si="54"/>
        <v>0</v>
      </c>
      <c r="K89" s="362">
        <f t="shared" ca="1" si="55"/>
        <v>0</v>
      </c>
    </row>
    <row r="90" spans="2:11">
      <c r="B90" s="511" t="s">
        <v>1035</v>
      </c>
      <c r="C90" s="513" t="s">
        <v>1627</v>
      </c>
      <c r="D90" s="358" t="str">
        <f ca="1">IF(ISERROR(OFFSET('HARGA SATUAN'!$D$6,MATCH(RAB!C90,'HARGA SATUAN'!$C$7:$C$1492,0),0)),"",OFFSET('HARGA SATUAN'!$D$6,MATCH(RAB!C90,'HARGA SATUAN'!$C$7:$C$1492,0),0))</f>
        <v/>
      </c>
      <c r="E90" s="359" t="str">
        <f ca="1">IF(B90="+","Unit",IF(ISERROR(OFFSET('HARGA SATUAN'!$E$6,MATCH(RAB!C90,'HARGA SATUAN'!$C$7:$C$1492,0),0)),"",OFFSET('HARGA SATUAN'!$E$6,MATCH(RAB!C90,'HARGA SATUAN'!$C$7:$C$1492,0),0)))</f>
        <v>Unit</v>
      </c>
      <c r="F90" s="514">
        <v>1</v>
      </c>
      <c r="G90" s="360">
        <f ca="1">IF(ISERROR(OFFSET('HARGA SATUAN'!$I$6,MATCH(RAB!C90,'HARGA SATUAN'!$C$7:$C$1492,0),0)),0,OFFSET('HARGA SATUAN'!$I$6,MATCH(RAB!C90,'HARGA SATUAN'!$C$7:$C$1492,0),0))</f>
        <v>0</v>
      </c>
      <c r="H90" s="361">
        <f t="shared" ca="1" si="52"/>
        <v>0</v>
      </c>
      <c r="I90" s="361">
        <f t="shared" ca="1" si="53"/>
        <v>0</v>
      </c>
      <c r="J90" s="361">
        <f t="shared" ca="1" si="54"/>
        <v>0</v>
      </c>
      <c r="K90" s="362">
        <f t="shared" ca="1" si="55"/>
        <v>0</v>
      </c>
    </row>
    <row r="91" spans="2:11">
      <c r="B91" s="511">
        <v>1</v>
      </c>
      <c r="C91" s="513" t="s">
        <v>115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Set</v>
      </c>
      <c r="F91" s="514">
        <f>F90*1</f>
        <v>1</v>
      </c>
      <c r="G91" s="360">
        <f ca="1">IF(ISERROR(OFFSET('HARGA SATUAN'!$I$6,MATCH(RAB!C91,'HARGA SATUAN'!$C$7:$C$1492,0),0)),0,OFFSET('HARGA SATUAN'!$I$6,MATCH(RAB!C91,'HARGA SATUAN'!$C$7:$C$1492,0),0))</f>
        <v>11500</v>
      </c>
      <c r="H91" s="361">
        <f t="shared" ref="H91:H99" ca="1" si="56">IF(OR(D91="MDU",D91="MDU-KD"),(IF($O$3="RAB NON MDU","PLN KD",G91*F91)),0)</f>
        <v>0</v>
      </c>
      <c r="I91" s="361">
        <f t="shared" ref="I91:I99" ca="1" si="57">IF(D91="HDW",G91*F91,0)</f>
        <v>11500</v>
      </c>
      <c r="J91" s="361">
        <f t="shared" ref="J91:J99" ca="1" si="58">IF(D91="JASA",G91*F91,0)</f>
        <v>0</v>
      </c>
      <c r="K91" s="362">
        <f t="shared" ref="K91:K99" ca="1" si="59">SUM(H91:J91)</f>
        <v>11500</v>
      </c>
    </row>
    <row r="92" spans="2:11">
      <c r="B92" s="511">
        <v>2</v>
      </c>
      <c r="C92" s="513" t="s">
        <v>145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Set</v>
      </c>
      <c r="F92" s="514">
        <f>F90*1</f>
        <v>1</v>
      </c>
      <c r="G92" s="360">
        <f ca="1">IF(ISERROR(OFFSET('HARGA SATUAN'!$I$6,MATCH(RAB!C92,'HARGA SATUAN'!$C$7:$C$1492,0),0)),0,OFFSET('HARGA SATUAN'!$I$6,MATCH(RAB!C92,'HARGA SATUAN'!$C$7:$C$1492,0),0))</f>
        <v>6200</v>
      </c>
      <c r="H92" s="361">
        <f t="shared" ca="1" si="56"/>
        <v>0</v>
      </c>
      <c r="I92" s="361">
        <f t="shared" ca="1" si="57"/>
        <v>6200</v>
      </c>
      <c r="J92" s="361">
        <f t="shared" ca="1" si="58"/>
        <v>0</v>
      </c>
      <c r="K92" s="362">
        <f t="shared" ca="1" si="59"/>
        <v>6200</v>
      </c>
    </row>
    <row r="93" spans="2:11">
      <c r="B93" s="511">
        <v>3</v>
      </c>
      <c r="C93" s="513" t="s">
        <v>587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Btg</v>
      </c>
      <c r="F93" s="514">
        <f>F90*1</f>
        <v>1</v>
      </c>
      <c r="G93" s="360">
        <f ca="1">IF(ISERROR(OFFSET('HARGA SATUAN'!$I$6,MATCH(RAB!C93,'HARGA SATUAN'!$C$7:$C$1492,0),0)),0,OFFSET('HARGA SATUAN'!$I$6,MATCH(RAB!C93,'HARGA SATUAN'!$C$7:$C$1492,0),0))</f>
        <v>45796</v>
      </c>
      <c r="H93" s="361">
        <f t="shared" ca="1" si="56"/>
        <v>0</v>
      </c>
      <c r="I93" s="361">
        <f t="shared" ca="1" si="57"/>
        <v>45796</v>
      </c>
      <c r="J93" s="361">
        <f t="shared" ca="1" si="58"/>
        <v>0</v>
      </c>
      <c r="K93" s="362">
        <f t="shared" ca="1" si="59"/>
        <v>45796</v>
      </c>
    </row>
    <row r="94" spans="2:11">
      <c r="B94" s="511">
        <v>4</v>
      </c>
      <c r="C94" s="513" t="s">
        <v>118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Set</v>
      </c>
      <c r="F94" s="514">
        <f>F90*1</f>
        <v>1</v>
      </c>
      <c r="G94" s="360">
        <f ca="1">IF(ISERROR(OFFSET('HARGA SATUAN'!$I$6,MATCH(RAB!C94,'HARGA SATUAN'!$C$7:$C$1492,0),0)),0,OFFSET('HARGA SATUAN'!$I$6,MATCH(RAB!C94,'HARGA SATUAN'!$C$7:$C$1492,0),0))</f>
        <v>5300</v>
      </c>
      <c r="H94" s="361">
        <f t="shared" ca="1" si="56"/>
        <v>0</v>
      </c>
      <c r="I94" s="361">
        <f t="shared" ca="1" si="57"/>
        <v>5300</v>
      </c>
      <c r="J94" s="361">
        <f t="shared" ca="1" si="58"/>
        <v>0</v>
      </c>
      <c r="K94" s="362">
        <f t="shared" ca="1" si="59"/>
        <v>5300</v>
      </c>
    </row>
    <row r="95" spans="2:11">
      <c r="B95" s="511">
        <v>5</v>
      </c>
      <c r="C95" s="513" t="s">
        <v>117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Bh</v>
      </c>
      <c r="F95" s="514">
        <f>F90*1</f>
        <v>1</v>
      </c>
      <c r="G95" s="360">
        <f ca="1">IF(ISERROR(OFFSET('HARGA SATUAN'!$I$6,MATCH(RAB!C95,'HARGA SATUAN'!$C$7:$C$1492,0),0)),0,OFFSET('HARGA SATUAN'!$I$6,MATCH(RAB!C95,'HARGA SATUAN'!$C$7:$C$1492,0),0))</f>
        <v>58600</v>
      </c>
      <c r="H95" s="361">
        <f t="shared" ca="1" si="56"/>
        <v>0</v>
      </c>
      <c r="I95" s="361">
        <f t="shared" ca="1" si="57"/>
        <v>58600</v>
      </c>
      <c r="J95" s="361">
        <f t="shared" ca="1" si="58"/>
        <v>0</v>
      </c>
      <c r="K95" s="362">
        <f t="shared" ca="1" si="59"/>
        <v>58600</v>
      </c>
    </row>
    <row r="96" spans="2:11">
      <c r="B96" s="511">
        <v>6</v>
      </c>
      <c r="C96" s="109" t="s">
        <v>1154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Set</v>
      </c>
      <c r="F96" s="514">
        <f>F90*1</f>
        <v>1</v>
      </c>
      <c r="G96" s="360">
        <f ca="1">IF(ISERROR(OFFSET('HARGA SATUAN'!$I$6,MATCH(RAB!C96,'HARGA SATUAN'!$C$7:$C$1492,0),0)),0,OFFSET('HARGA SATUAN'!$I$6,MATCH(RAB!C96,'HARGA SATUAN'!$C$7:$C$1492,0),0))</f>
        <v>3888</v>
      </c>
      <c r="H96" s="361">
        <f t="shared" ca="1" si="56"/>
        <v>0</v>
      </c>
      <c r="I96" s="361">
        <f t="shared" ca="1" si="57"/>
        <v>3888</v>
      </c>
      <c r="J96" s="361">
        <f t="shared" ca="1" si="58"/>
        <v>0</v>
      </c>
      <c r="K96" s="362">
        <f t="shared" ca="1" si="59"/>
        <v>3888</v>
      </c>
    </row>
    <row r="97" spans="2:11">
      <c r="B97" s="511">
        <v>7</v>
      </c>
      <c r="C97" s="513" t="s">
        <v>119</v>
      </c>
      <c r="D97" s="358" t="str">
        <f ca="1">IF(ISERROR(OFFSET('HARGA SATUAN'!$D$6,MATCH(RAB!C97,'HARGA SATUAN'!$C$7:$C$1492,0),0)),"",OFFSET('HARGA SATUAN'!$D$6,MATCH(RAB!C97,'HARGA SATUAN'!$C$7:$C$1492,0),0))</f>
        <v>HDW</v>
      </c>
      <c r="E97" s="359" t="str">
        <f ca="1">IF(B97="+","Unit",IF(ISERROR(OFFSET('HARGA SATUAN'!$E$6,MATCH(RAB!C97,'HARGA SATUAN'!$C$7:$C$1492,0),0)),"",OFFSET('HARGA SATUAN'!$E$6,MATCH(RAB!C97,'HARGA SATUAN'!$C$7:$C$1492,0),0)))</f>
        <v>Set</v>
      </c>
      <c r="F97" s="514">
        <f>F90*2</f>
        <v>2</v>
      </c>
      <c r="G97" s="360">
        <f ca="1">IF(ISERROR(OFFSET('HARGA SATUAN'!$I$6,MATCH(RAB!C97,'HARGA SATUAN'!$C$7:$C$1492,0),0)),0,OFFSET('HARGA SATUAN'!$I$6,MATCH(RAB!C97,'HARGA SATUAN'!$C$7:$C$1492,0),0))</f>
        <v>8900</v>
      </c>
      <c r="H97" s="361">
        <f t="shared" ca="1" si="56"/>
        <v>0</v>
      </c>
      <c r="I97" s="361">
        <f t="shared" ca="1" si="57"/>
        <v>17800</v>
      </c>
      <c r="J97" s="361">
        <f t="shared" ca="1" si="58"/>
        <v>0</v>
      </c>
      <c r="K97" s="362">
        <f t="shared" ca="1" si="59"/>
        <v>17800</v>
      </c>
    </row>
    <row r="98" spans="2:11">
      <c r="B98" s="374"/>
      <c r="C98" s="509"/>
      <c r="D98" s="358" t="str">
        <f ca="1">IF(ISERROR(OFFSET('HARGA SATUAN'!$D$6,MATCH(RAB!C98,'HARGA SATUAN'!$C$7:$C$1492,0),0)),"",OFFSET('HARGA SATUAN'!$D$6,MATCH(RAB!C98,'HARGA SATUAN'!$C$7:$C$1492,0),0))</f>
        <v/>
      </c>
      <c r="E98" s="359" t="str">
        <f ca="1">IF(B98="+","Unit",IF(ISERROR(OFFSET('HARGA SATUAN'!$E$6,MATCH(RAB!C98,'HARGA SATUAN'!$C$7:$C$1492,0),0)),"",OFFSET('HARGA SATUAN'!$E$6,MATCH(RAB!C98,'HARGA SATUAN'!$C$7:$C$1492,0),0)))</f>
        <v/>
      </c>
      <c r="F98" s="368"/>
      <c r="G98" s="360">
        <f ca="1">IF(ISERROR(OFFSET('HARGA SATUAN'!$I$6,MATCH(RAB!C98,'HARGA SATUAN'!$C$7:$C$1492,0),0)),0,OFFSET('HARGA SATUAN'!$I$6,MATCH(RAB!C98,'HARGA SATUAN'!$C$7:$C$1492,0),0))</f>
        <v>0</v>
      </c>
      <c r="H98" s="361">
        <f t="shared" ca="1" si="56"/>
        <v>0</v>
      </c>
      <c r="I98" s="361">
        <f t="shared" ca="1" si="57"/>
        <v>0</v>
      </c>
      <c r="J98" s="361">
        <f t="shared" ca="1" si="58"/>
        <v>0</v>
      </c>
      <c r="K98" s="362">
        <f t="shared" ca="1" si="59"/>
        <v>0</v>
      </c>
    </row>
    <row r="99" spans="2:11">
      <c r="B99" s="366" t="s">
        <v>22</v>
      </c>
      <c r="C99" s="367" t="s">
        <v>1617</v>
      </c>
      <c r="D99" s="358" t="str">
        <f ca="1">IF(ISERROR(OFFSET('HARGA SATUAN'!$D$6,MATCH(RAB!C99,'HARGA SATUAN'!$C$7:$C$1492,0),0)),"",OFFSET('HARGA SATUAN'!$D$6,MATCH(RAB!C99,'HARGA SATUAN'!$C$7:$C$1492,0),0))</f>
        <v/>
      </c>
      <c r="E99" s="359" t="str">
        <f ca="1">IF(B99="+","Unit",IF(ISERROR(OFFSET('HARGA SATUAN'!$E$6,MATCH(RAB!C99,'HARGA SATUAN'!$C$7:$C$1492,0),0)),"",OFFSET('HARGA SATUAN'!$E$6,MATCH(RAB!C99,'HARGA SATUAN'!$C$7:$C$1492,0),0)))</f>
        <v/>
      </c>
      <c r="F99" s="368"/>
      <c r="G99" s="360">
        <f ca="1">IF(ISERROR(OFFSET('HARGA SATUAN'!$I$6,MATCH(RAB!C99,'HARGA SATUAN'!$C$7:$C$1492,0),0)),0,OFFSET('HARGA SATUAN'!$I$6,MATCH(RAB!C99,'HARGA SATUAN'!$C$7:$C$1492,0),0))</f>
        <v>0</v>
      </c>
      <c r="H99" s="361">
        <f t="shared" ca="1" si="56"/>
        <v>0</v>
      </c>
      <c r="I99" s="361">
        <f t="shared" ca="1" si="57"/>
        <v>0</v>
      </c>
      <c r="J99" s="361">
        <f t="shared" ca="1" si="58"/>
        <v>0</v>
      </c>
      <c r="K99" s="362">
        <f t="shared" ca="1" si="59"/>
        <v>0</v>
      </c>
    </row>
    <row r="100" spans="2:11">
      <c r="B100" s="374">
        <v>1</v>
      </c>
      <c r="C100" s="109" t="s">
        <v>813</v>
      </c>
      <c r="D100" s="358" t="str">
        <f ca="1">IF(ISERROR(OFFSET('HARGA SATUAN'!$D$6,MATCH(RAB!C100,'HARGA SATUAN'!$C$7:$C$1492,0),0)),"",OFFSET('HARGA SATUAN'!$D$6,MATCH(RAB!C100,'HARGA SATUAN'!$C$7:$C$1492,0),0))</f>
        <v>JASA</v>
      </c>
      <c r="E100" s="359" t="str">
        <f ca="1">IF(B100="+","Unit",IF(ISERROR(OFFSET('HARGA SATUAN'!$E$6,MATCH(RAB!C100,'HARGA SATUAN'!$C$7:$C$1492,0),0)),"",OFFSET('HARGA SATUAN'!$E$6,MATCH(RAB!C100,'HARGA SATUAN'!$C$7:$C$1492,0),0)))</f>
        <v>Unit</v>
      </c>
      <c r="F100" s="368">
        <v>2</v>
      </c>
      <c r="G100" s="360">
        <f ca="1">IF(ISERROR(OFFSET('HARGA SATUAN'!$I$6,MATCH(RAB!C100,'HARGA SATUAN'!$C$7:$C$1492,0),0)),0,OFFSET('HARGA SATUAN'!$I$6,MATCH(RAB!C100,'HARGA SATUAN'!$C$7:$C$1492,0),0))</f>
        <v>13320</v>
      </c>
      <c r="H100" s="361">
        <f t="shared" ref="H100:H107" ca="1" si="60">IF(OR(D100="MDU",D100="MDU-KD"),(IF($O$3="RAB NON MDU","PLN KD",G100*F100)),0)</f>
        <v>0</v>
      </c>
      <c r="I100" s="361">
        <f t="shared" ref="I100:I107" ca="1" si="61">IF(D100="HDW",G100*F100,0)</f>
        <v>0</v>
      </c>
      <c r="J100" s="361">
        <f t="shared" ref="J100:J107" ca="1" si="62">IF(D100="JASA",G100*F100,0)</f>
        <v>26640</v>
      </c>
      <c r="K100" s="362">
        <f t="shared" ref="K100:K107" ca="1" si="63">SUM(H100:J100)</f>
        <v>26640</v>
      </c>
    </row>
    <row r="101" spans="2:11">
      <c r="B101" s="374">
        <v>2</v>
      </c>
      <c r="C101" s="109" t="s">
        <v>814</v>
      </c>
      <c r="D101" s="358" t="str">
        <f ca="1">IF(ISERROR(OFFSET('HARGA SATUAN'!$D$6,MATCH(RAB!C101,'HARGA SATUAN'!$C$7:$C$1492,0),0)),"",OFFSET('HARGA SATUAN'!$D$6,MATCH(RAB!C101,'HARGA SATUAN'!$C$7:$C$1492,0),0))</f>
        <v>JASA</v>
      </c>
      <c r="E101" s="359" t="str">
        <f ca="1">IF(B101="+","Unit",IF(ISERROR(OFFSET('HARGA SATUAN'!$E$6,MATCH(RAB!C101,'HARGA SATUAN'!$C$7:$C$1492,0),0)),"",OFFSET('HARGA SATUAN'!$E$6,MATCH(RAB!C101,'HARGA SATUAN'!$C$7:$C$1492,0),0)))</f>
        <v>Unit</v>
      </c>
      <c r="F101" s="368">
        <v>2</v>
      </c>
      <c r="G101" s="360">
        <f ca="1">IF(ISERROR(OFFSET('HARGA SATUAN'!$I$6,MATCH(RAB!C101,'HARGA SATUAN'!$C$7:$C$1492,0),0)),0,OFFSET('HARGA SATUAN'!$I$6,MATCH(RAB!C101,'HARGA SATUAN'!$C$7:$C$1492,0),0))</f>
        <v>18180</v>
      </c>
      <c r="H101" s="361">
        <f t="shared" ca="1" si="60"/>
        <v>0</v>
      </c>
      <c r="I101" s="361">
        <f t="shared" ca="1" si="61"/>
        <v>0</v>
      </c>
      <c r="J101" s="361">
        <f t="shared" ca="1" si="62"/>
        <v>36360</v>
      </c>
      <c r="K101" s="362">
        <f t="shared" ca="1" si="63"/>
        <v>36360</v>
      </c>
    </row>
    <row r="102" spans="2:11">
      <c r="B102" s="374">
        <v>3</v>
      </c>
      <c r="C102" s="109" t="s">
        <v>897</v>
      </c>
      <c r="D102" s="358" t="str">
        <f ca="1">IF(ISERROR(OFFSET('HARGA SATUAN'!$D$6,MATCH(RAB!C102,'HARGA SATUAN'!$C$7:$C$1492,0),0)),"",OFFSET('HARGA SATUAN'!$D$6,MATCH(RAB!C102,'HARGA SATUAN'!$C$7:$C$1492,0),0))</f>
        <v>JASA</v>
      </c>
      <c r="E102" s="359" t="str">
        <f ca="1">IF(B102="+","Unit",IF(ISERROR(OFFSET('HARGA SATUAN'!$E$6,MATCH(RAB!C102,'HARGA SATUAN'!$C$7:$C$1492,0),0)),"",OFFSET('HARGA SATUAN'!$E$6,MATCH(RAB!C102,'HARGA SATUAN'!$C$7:$C$1492,0),0)))</f>
        <v>Unit</v>
      </c>
      <c r="F102" s="368">
        <v>1</v>
      </c>
      <c r="G102" s="360">
        <f ca="1">IF(ISERROR(OFFSET('HARGA SATUAN'!$I$6,MATCH(RAB!C102,'HARGA SATUAN'!$C$7:$C$1492,0),0)),0,OFFSET('HARGA SATUAN'!$I$6,MATCH(RAB!C102,'HARGA SATUAN'!$C$7:$C$1492,0),0))</f>
        <v>61140</v>
      </c>
      <c r="H102" s="361">
        <f t="shared" ca="1" si="60"/>
        <v>0</v>
      </c>
      <c r="I102" s="361">
        <f t="shared" ca="1" si="61"/>
        <v>0</v>
      </c>
      <c r="J102" s="361">
        <f t="shared" ca="1" si="62"/>
        <v>61140</v>
      </c>
      <c r="K102" s="362">
        <f t="shared" ca="1" si="63"/>
        <v>61140</v>
      </c>
    </row>
    <row r="103" spans="2:11">
      <c r="B103" s="374">
        <v>4</v>
      </c>
      <c r="C103" s="109" t="s">
        <v>935</v>
      </c>
      <c r="D103" s="358" t="str">
        <f ca="1">IF(ISERROR(OFFSET('HARGA SATUAN'!$D$6,MATCH(RAB!C103,'HARGA SATUAN'!$C$7:$C$1492,0),0)),"",OFFSET('HARGA SATUAN'!$D$6,MATCH(RAB!C103,'HARGA SATUAN'!$C$7:$C$1492,0),0))</f>
        <v>JASA</v>
      </c>
      <c r="E103" s="359" t="str">
        <f ca="1">IF(B103="+","Unit",IF(ISERROR(OFFSET('HARGA SATUAN'!$E$6,MATCH(RAB!C103,'HARGA SATUAN'!$C$7:$C$1492,0),0)),"",OFFSET('HARGA SATUAN'!$E$6,MATCH(RAB!C103,'HARGA SATUAN'!$C$7:$C$1492,0),0)))</f>
        <v>Unit</v>
      </c>
      <c r="F103" s="368">
        <v>1</v>
      </c>
      <c r="G103" s="360">
        <f ca="1">IF(ISERROR(OFFSET('HARGA SATUAN'!$I$6,MATCH(RAB!C103,'HARGA SATUAN'!$C$7:$C$1492,0),0)),0,OFFSET('HARGA SATUAN'!$I$6,MATCH(RAB!C103,'HARGA SATUAN'!$C$7:$C$1492,0),0))</f>
        <v>27360</v>
      </c>
      <c r="H103" s="361">
        <f t="shared" ca="1" si="60"/>
        <v>0</v>
      </c>
      <c r="I103" s="361">
        <f t="shared" ca="1" si="61"/>
        <v>0</v>
      </c>
      <c r="J103" s="361">
        <f t="shared" ca="1" si="62"/>
        <v>27360</v>
      </c>
      <c r="K103" s="362">
        <f t="shared" ca="1" si="63"/>
        <v>27360</v>
      </c>
    </row>
    <row r="104" spans="2:11">
      <c r="B104" s="374">
        <v>5</v>
      </c>
      <c r="C104" s="109" t="s">
        <v>434</v>
      </c>
      <c r="D104" s="358" t="str">
        <f ca="1">IF(ISERROR(OFFSET('HARGA SATUAN'!$D$6,MATCH(RAB!C104,'HARGA SATUAN'!$C$7:$C$1492,0),0)),"",OFFSET('HARGA SATUAN'!$D$6,MATCH(RAB!C104,'HARGA SATUAN'!$C$7:$C$1492,0),0))</f>
        <v>JASA</v>
      </c>
      <c r="E104" s="359" t="str">
        <f ca="1">IF(B104="+","Unit",IF(ISERROR(OFFSET('HARGA SATUAN'!$E$6,MATCH(RAB!C104,'HARGA SATUAN'!$C$7:$C$1492,0),0)),"",OFFSET('HARGA SATUAN'!$E$6,MATCH(RAB!C104,'HARGA SATUAN'!$C$7:$C$1492,0),0)))</f>
        <v>Btg</v>
      </c>
      <c r="F104" s="368">
        <v>1</v>
      </c>
      <c r="G104" s="360">
        <f ca="1">IF(ISERROR(OFFSET('HARGA SATUAN'!$I$6,MATCH(RAB!C104,'HARGA SATUAN'!$C$7:$C$1492,0),0)),0,OFFSET('HARGA SATUAN'!$I$6,MATCH(RAB!C104,'HARGA SATUAN'!$C$7:$C$1492,0),0))</f>
        <v>438273.42456634069</v>
      </c>
      <c r="H104" s="361">
        <f t="shared" ca="1" si="60"/>
        <v>0</v>
      </c>
      <c r="I104" s="361">
        <f t="shared" ca="1" si="61"/>
        <v>0</v>
      </c>
      <c r="J104" s="361">
        <f t="shared" ca="1" si="62"/>
        <v>438273.42456634069</v>
      </c>
      <c r="K104" s="362">
        <f t="shared" ca="1" si="63"/>
        <v>438273.42456634069</v>
      </c>
    </row>
    <row r="105" spans="2:11">
      <c r="B105" s="374">
        <v>6</v>
      </c>
      <c r="C105" s="109" t="s">
        <v>427</v>
      </c>
      <c r="D105" s="358" t="str">
        <f ca="1">IF(ISERROR(OFFSET('HARGA SATUAN'!$D$6,MATCH(RAB!C105,'HARGA SATUAN'!$C$7:$C$1492,0),0)),"",OFFSET('HARGA SATUAN'!$D$6,MATCH(RAB!C105,'HARGA SATUAN'!$C$7:$C$1492,0),0))</f>
        <v>JASA</v>
      </c>
      <c r="E105" s="359" t="str">
        <f ca="1">IF(B105="+","Unit",IF(ISERROR(OFFSET('HARGA SATUAN'!$E$6,MATCH(RAB!C105,'HARGA SATUAN'!$C$7:$C$1492,0),0)),"",OFFSET('HARGA SATUAN'!$E$6,MATCH(RAB!C105,'HARGA SATUAN'!$C$7:$C$1492,0),0)))</f>
        <v>Per 50 m</v>
      </c>
      <c r="F105" s="368">
        <v>1.7</v>
      </c>
      <c r="G105" s="360">
        <f ca="1">IF(ISERROR(OFFSET('HARGA SATUAN'!$I$6,MATCH(RAB!C105,'HARGA SATUAN'!$C$7:$C$1492,0),0)),0,OFFSET('HARGA SATUAN'!$I$6,MATCH(RAB!C105,'HARGA SATUAN'!$C$7:$C$1492,0),0))</f>
        <v>107400</v>
      </c>
      <c r="H105" s="361">
        <f t="shared" ca="1" si="60"/>
        <v>0</v>
      </c>
      <c r="I105" s="361">
        <f t="shared" ca="1" si="61"/>
        <v>0</v>
      </c>
      <c r="J105" s="361">
        <f t="shared" ca="1" si="62"/>
        <v>182580</v>
      </c>
      <c r="K105" s="362">
        <f t="shared" ca="1" si="63"/>
        <v>182580</v>
      </c>
    </row>
    <row r="106" spans="2:11">
      <c r="B106" s="374"/>
      <c r="C106" s="373"/>
      <c r="D106" s="358" t="str">
        <f ca="1">IF(ISERROR(OFFSET('HARGA SATUAN'!$D$6,MATCH(RAB!C106,'HARGA SATUAN'!$C$7:$C$1492,0),0)),"",OFFSET('HARGA SATUAN'!$D$6,MATCH(RAB!C106,'HARGA SATUAN'!$C$7:$C$1492,0),0))</f>
        <v/>
      </c>
      <c r="E106" s="359" t="str">
        <f ca="1">IF(B106="+","Unit",IF(ISERROR(OFFSET('HARGA SATUAN'!$E$6,MATCH(RAB!C106,'HARGA SATUAN'!$C$7:$C$1492,0),0)),"",OFFSET('HARGA SATUAN'!$E$6,MATCH(RAB!C106,'HARGA SATUAN'!$C$7:$C$1492,0),0)))</f>
        <v/>
      </c>
      <c r="F106" s="368"/>
      <c r="G106" s="360">
        <f ca="1">IF(ISERROR(OFFSET('HARGA SATUAN'!$I$6,MATCH(RAB!C106,'HARGA SATUAN'!$C$7:$C$1492,0),0)),0,OFFSET('HARGA SATUAN'!$I$6,MATCH(RAB!C106,'HARGA SATUAN'!$C$7:$C$1492,0),0))</f>
        <v>0</v>
      </c>
      <c r="H106" s="361">
        <f t="shared" ca="1" si="60"/>
        <v>0</v>
      </c>
      <c r="I106" s="361">
        <f t="shared" ca="1" si="61"/>
        <v>0</v>
      </c>
      <c r="J106" s="361">
        <f t="shared" ca="1" si="62"/>
        <v>0</v>
      </c>
      <c r="K106" s="362">
        <f t="shared" ca="1" si="63"/>
        <v>0</v>
      </c>
    </row>
    <row r="107" spans="2:11">
      <c r="B107" s="375"/>
      <c r="C107" s="376" t="s">
        <v>475</v>
      </c>
      <c r="D107" s="358" t="str">
        <f ca="1">IF(ISERROR(OFFSET('HARGA SATUAN'!$D$6,MATCH(RAB!C107,'HARGA SATUAN'!$C$7:$C$1492,0),0)),"",OFFSET('HARGA SATUAN'!$D$6,MATCH(RAB!C107,'HARGA SATUAN'!$C$7:$C$1492,0),0))</f>
        <v/>
      </c>
      <c r="E107" s="359" t="str">
        <f ca="1">IF(B107="+","Unit",IF(ISERROR(OFFSET('HARGA SATUAN'!$E$6,MATCH(RAB!C107,'HARGA SATUAN'!$C$7:$C$1492,0),0)),"",OFFSET('HARGA SATUAN'!$E$6,MATCH(RAB!C107,'HARGA SATUAN'!$C$7:$C$1492,0),0)))</f>
        <v/>
      </c>
      <c r="F107" s="368"/>
      <c r="G107" s="360">
        <f ca="1">IF(ISERROR(OFFSET('HARGA SATUAN'!$I$6,MATCH(RAB!C107,'HARGA SATUAN'!$C$7:$C$1492,0),0)),0,OFFSET('HARGA SATUAN'!$I$6,MATCH(RAB!C107,'HARGA SATUAN'!$C$7:$C$1492,0),0))</f>
        <v>0</v>
      </c>
      <c r="H107" s="361">
        <f t="shared" ca="1" si="60"/>
        <v>0</v>
      </c>
      <c r="I107" s="361">
        <f t="shared" ca="1" si="61"/>
        <v>0</v>
      </c>
      <c r="J107" s="361">
        <f t="shared" ca="1" si="62"/>
        <v>0</v>
      </c>
      <c r="K107" s="362">
        <f t="shared" ca="1" si="63"/>
        <v>0</v>
      </c>
    </row>
    <row r="108" spans="2:11">
      <c r="B108" s="378">
        <v>1</v>
      </c>
      <c r="C108" s="379" t="s">
        <v>1091</v>
      </c>
      <c r="D108" s="380" t="str">
        <f ca="1">IF(ISERROR(OFFSET('HARGA SATUAN'!$D$6,MATCH(RAB!C108,'HARGA SATUAN'!$C$7:$C$1492,0),0)),"",OFFSET('HARGA SATUAN'!$D$6,MATCH(RAB!C108,'HARGA SATUAN'!$C$7:$C$1492,0),0))</f>
        <v>JASA</v>
      </c>
      <c r="E108" s="381" t="str">
        <f ca="1">IF(ISERROR(OFFSET('HARGA SATUAN'!$E$6,MATCH(RAB!C108,'HARGA SATUAN'!$C$7:$C$1492,0),0)),"",OFFSET('HARGA SATUAN'!$E$6,MATCH(RAB!C108,'HARGA SATUAN'!$C$7:$C$1492,0),0))</f>
        <v>Lot</v>
      </c>
      <c r="F108" s="382">
        <v>1</v>
      </c>
      <c r="G108" s="383">
        <f ca="1">IF(ISERROR(OFFSET('HARGA SATUAN'!$I$6,MATCH(RAB!C108,'HARGA SATUAN'!$C$7:$C$1492,0),0)),0,OFFSET('HARGA SATUAN'!$I$6,MATCH(RAB!C108,'HARGA SATUAN'!$C$7:$C$1492,0),0))</f>
        <v>2.5000000000000001E-2</v>
      </c>
      <c r="H108" s="384">
        <f ca="1">SUM(H14:H107)*G108</f>
        <v>888245</v>
      </c>
      <c r="I108" s="384">
        <f ca="1">SUM(I14:I107)*G108</f>
        <v>251101.56724600974</v>
      </c>
      <c r="J108" s="384">
        <f ca="1">SUM(J14:J107)*G108</f>
        <v>47973.002280825182</v>
      </c>
      <c r="K108" s="385">
        <f ca="1">SUM(H108:J108)</f>
        <v>1187319.5695268351</v>
      </c>
    </row>
    <row r="109" spans="2:11">
      <c r="B109" s="386"/>
      <c r="C109" s="387"/>
      <c r="D109" s="358" t="str">
        <f ca="1">IF(ISERROR(OFFSET('HARGA SATUAN'!$D$6,MATCH(RAB!C109,'HARGA SATUAN'!$C$7:$C$1492,0),0)),"",OFFSET('HARGA SATUAN'!$D$6,MATCH(RAB!C109,'HARGA SATUAN'!$C$7:$C$1492,0),0))</f>
        <v/>
      </c>
      <c r="E109" s="359" t="str">
        <f ca="1">IF(ISERROR(OFFSET('HARGA SATUAN'!$E$6,MATCH(RAB!C109,'HARGA SATUAN'!$C$7:$C$1492,0),0)),"",OFFSET('HARGA SATUAN'!$E$6,MATCH(RAB!C109,'HARGA SATUAN'!$C$7:$C$1492,0),0))</f>
        <v/>
      </c>
      <c r="F109" s="377"/>
      <c r="G109" s="360" t="str">
        <f ca="1">IF(ISERROR(OFFSET('HARGA SATUAN'!$I$6,MATCH(RAB!C109,'HARGA SATUAN'!$C$7:$C$1492,0),0)),"",OFFSET('HARGA SATUAN'!$I$6,MATCH(RAB!C109,'HARGA SATUAN'!$C$7:$C$1492,0),0))</f>
        <v/>
      </c>
      <c r="H109" s="361">
        <f ca="1">IF(OR(D109="MDU",D109="MDU-KD"),IF(G109="PLN",0,G109*F109),0)</f>
        <v>0</v>
      </c>
      <c r="I109" s="361">
        <f ca="1">IF(D109="HDW",IF(G109="PLN",0,G109*F109),0)</f>
        <v>0</v>
      </c>
      <c r="J109" s="361">
        <f ca="1">IF(D109="JASA",IF(G109="PLN",0,G109*F109),0)</f>
        <v>0</v>
      </c>
      <c r="K109" s="362">
        <f ca="1">SUM(H109:J109)</f>
        <v>0</v>
      </c>
    </row>
    <row r="110" spans="2:11" ht="15.75" thickBot="1">
      <c r="B110" s="388"/>
      <c r="C110" s="389"/>
      <c r="D110" s="390"/>
      <c r="E110" s="391"/>
      <c r="F110" s="391"/>
      <c r="G110" s="391"/>
      <c r="H110" s="392"/>
      <c r="I110" s="392"/>
      <c r="J110" s="392"/>
      <c r="K110" s="393"/>
    </row>
    <row r="111" spans="2:11">
      <c r="B111" s="394"/>
      <c r="C111" s="617" t="s">
        <v>1008</v>
      </c>
      <c r="D111" s="617"/>
      <c r="E111" s="617"/>
      <c r="F111" s="617"/>
      <c r="G111" s="395" t="s">
        <v>9</v>
      </c>
      <c r="H111" s="396">
        <f ca="1">SUM(H14:H109)</f>
        <v>36418045</v>
      </c>
      <c r="I111" s="396">
        <f ca="1">SUM(I14:I109)</f>
        <v>10295164.2570864</v>
      </c>
      <c r="J111" s="396">
        <f ca="1">SUM(J14:J109)</f>
        <v>1966893.0935138324</v>
      </c>
      <c r="K111" s="396">
        <f ca="1">SUM(K14:K109)</f>
        <v>48680102.350600235</v>
      </c>
    </row>
    <row r="112" spans="2:11">
      <c r="B112" s="398"/>
      <c r="C112" s="633" t="s">
        <v>1457</v>
      </c>
      <c r="D112" s="633"/>
      <c r="E112" s="633"/>
      <c r="F112" s="633"/>
      <c r="G112" s="399" t="s">
        <v>9</v>
      </c>
      <c r="H112" s="400">
        <f ca="1">H111*0.11</f>
        <v>4005984.95</v>
      </c>
      <c r="I112" s="400">
        <f ca="1">I111*0.11</f>
        <v>1132468.0682795041</v>
      </c>
      <c r="J112" s="400">
        <f ca="1">J111*0.11</f>
        <v>216358.24028652156</v>
      </c>
      <c r="K112" s="400">
        <f ca="1">K111*0.11</f>
        <v>5354811.2585660256</v>
      </c>
    </row>
    <row r="113" spans="2:13" ht="15.75" thickBot="1">
      <c r="B113" s="398"/>
      <c r="C113" s="631" t="s">
        <v>463</v>
      </c>
      <c r="D113" s="631"/>
      <c r="E113" s="631"/>
      <c r="F113" s="631"/>
      <c r="G113" s="401" t="s">
        <v>9</v>
      </c>
      <c r="H113" s="402">
        <f ca="1">SUM(H111:H112)</f>
        <v>40424029.950000003</v>
      </c>
      <c r="I113" s="402">
        <f ca="1">SUM(I111:I112)</f>
        <v>11427632.325365905</v>
      </c>
      <c r="J113" s="401">
        <f ca="1">SUM(J111:J112)</f>
        <v>2183251.333800354</v>
      </c>
      <c r="K113" s="401">
        <f ca="1">SUM(K111:K112)</f>
        <v>54034913.609166265</v>
      </c>
      <c r="M113" s="484"/>
    </row>
    <row r="114" spans="2:13">
      <c r="B114" s="634" t="str">
        <f ca="1">"Terbilang : "&amp;PROPER(IF(K113=0,"nol",IF(K113&lt;0,"minus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IF(--MID(TEXT(ABS(K113),"000000000000000"),1,3)=0,"",MID(TEXT(ABS(K113),"000000000000000"),1,1)&amp;" ratus "&amp;MID(TEXT(ABS(K113),"000000000000000"),2,1)&amp;" puluh "&amp;MID(TEXT(ABS(K113),"000000000000000"),3,1)&amp;" trilyun ")&amp; IF(--MID(TEXT(ABS(K113),"000000000000000"),4,3)=0,"",MID(TEXT(ABS(K113),"000000000000000"),4,1)&amp;" ratus "&amp;MID(TEXT(ABS(K113),"000000000000000"),5,1)&amp;" puluh "&amp;MID(TEXT(ABS(K113),"000000000000000"),6,1)&amp;" milyar ")&amp; IF(--MID(TEXT(ABS(K113),"000000000000000"),7,3)=0,"",MID(TEXT(ABS(K113),"000000000000000"),7,1)&amp;" ratus "&amp;MID(TEXT(ABS(K113),"000000000000000"),8,1)&amp;" puluh "&amp;MID(TEXT(ABS(K113),"000000000000000"),9,1)&amp;" juta ")&amp; IF(--MID(TEXT(ABS(K113),"000000000000000"),10,3)=0,"",IF(--MID(TEXT(ABS(K113),"000000000000000"),10,3)=1,"*",MID(TEXT(ABS(K113),"000000000000000"),10,1)&amp;" ratus "&amp;MID(TEXT(ABS(K113),"000000000000000"),11,1)&amp;" puluh ")&amp;MID(TEXT(ABS(K113),"000000000000000"),12,1)&amp;" ribu ")&amp; IF(--MID(TEXT(ABS(K113),"000000000000000"),13,3)=0,"",MID(TEXT(ABS(K113),"000000000000000"),13,1)&amp;" ratus "&amp;MID(TEXT(ABS(K113),"000000000000000"),14,1)&amp;" puluh "&amp;MID(TEXT(ABS(K113),"000000000000000"),15,1)),1,"satu"),2,"dua"),3,"tiga"),4,"empat"),5,"lima"),6,"enam"),7,"tujuh"),8,"delapan"),9,"sembilan"),"0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Lima Puluh Empat Juta Tiga Puluh Empat Ribu Sembilan Ratus Empat Belas Rupiah</v>
      </c>
      <c r="C114" s="635"/>
      <c r="D114" s="635"/>
      <c r="E114" s="635"/>
      <c r="F114" s="635"/>
      <c r="G114" s="635"/>
      <c r="H114" s="635"/>
      <c r="I114" s="635"/>
      <c r="J114" s="635"/>
      <c r="K114" s="636"/>
    </row>
    <row r="115" spans="2:13">
      <c r="B115" s="637"/>
      <c r="C115" s="638"/>
      <c r="D115" s="638"/>
      <c r="E115" s="638"/>
      <c r="F115" s="638"/>
      <c r="G115" s="638"/>
      <c r="H115" s="638"/>
      <c r="I115" s="638"/>
      <c r="J115" s="638"/>
      <c r="K115" s="639"/>
    </row>
    <row r="116" spans="2:13" ht="15.75" thickBot="1">
      <c r="B116" s="403" t="str">
        <f>"Harga yang dipakai adalah "&amp;'HARGA SATUAN'!I5&amp;""</f>
        <v>Harga yang dipakai adalah RAB HSS 2023</v>
      </c>
      <c r="C116" s="404"/>
      <c r="D116" s="405"/>
      <c r="E116" s="405"/>
      <c r="F116" s="405"/>
      <c r="G116" s="406"/>
      <c r="H116" s="406"/>
      <c r="I116" s="406"/>
      <c r="J116" s="406"/>
      <c r="K116" s="407"/>
    </row>
    <row r="117" spans="2:13">
      <c r="C117" s="408"/>
      <c r="E117" s="410"/>
      <c r="F117" s="410"/>
      <c r="G117" s="410"/>
    </row>
    <row r="118" spans="2:13">
      <c r="C118" s="337"/>
      <c r="E118" s="410"/>
      <c r="F118" s="410"/>
      <c r="G118" s="410"/>
      <c r="H118" s="640"/>
      <c r="I118" s="640"/>
      <c r="J118" s="641"/>
      <c r="K118" s="641"/>
    </row>
    <row r="119" spans="2:13">
      <c r="C119" s="337"/>
      <c r="E119" s="410"/>
      <c r="F119" s="410"/>
      <c r="G119" s="410"/>
      <c r="H119" s="411"/>
      <c r="I119" s="630" t="s">
        <v>1610</v>
      </c>
      <c r="J119" s="630"/>
      <c r="K119" s="630"/>
    </row>
    <row r="120" spans="2:13">
      <c r="C120" s="337"/>
      <c r="E120" s="410"/>
      <c r="F120" s="410"/>
      <c r="G120" s="410"/>
      <c r="H120" s="411"/>
      <c r="I120" s="630" t="s">
        <v>1546</v>
      </c>
      <c r="J120" s="630"/>
      <c r="K120" s="630"/>
    </row>
    <row r="121" spans="2:13">
      <c r="C121" s="337"/>
      <c r="E121" s="410"/>
      <c r="F121" s="410"/>
      <c r="G121" s="410"/>
      <c r="H121" s="412"/>
      <c r="I121" s="413"/>
      <c r="J121" s="413"/>
      <c r="K121" s="413"/>
    </row>
    <row r="122" spans="2:13">
      <c r="C122" s="337"/>
      <c r="E122" s="410"/>
      <c r="F122" s="410"/>
      <c r="G122" s="410"/>
      <c r="H122" s="412"/>
      <c r="I122" s="412"/>
      <c r="J122" s="412"/>
      <c r="K122" s="412"/>
    </row>
    <row r="123" spans="2:13">
      <c r="C123" s="337"/>
      <c r="E123" s="410"/>
      <c r="F123" s="410"/>
      <c r="G123" s="410"/>
      <c r="H123" s="412"/>
      <c r="I123" s="412"/>
      <c r="J123" s="412"/>
      <c r="K123" s="412"/>
    </row>
    <row r="124" spans="2:13">
      <c r="C124" s="337"/>
      <c r="E124" s="410"/>
      <c r="F124" s="410"/>
      <c r="G124" s="410"/>
      <c r="H124" s="412"/>
      <c r="I124" s="412"/>
      <c r="J124" s="412"/>
      <c r="K124" s="412"/>
    </row>
    <row r="125" spans="2:13">
      <c r="C125" s="337"/>
      <c r="E125" s="410"/>
      <c r="F125" s="410"/>
      <c r="G125" s="410"/>
      <c r="H125" s="414"/>
      <c r="I125" s="630" t="s">
        <v>1547</v>
      </c>
      <c r="J125" s="630"/>
      <c r="K125" s="630"/>
    </row>
    <row r="126" spans="2:13">
      <c r="C126" s="408"/>
      <c r="E126" s="410"/>
      <c r="F126" s="410"/>
      <c r="G126" s="410"/>
      <c r="H126" s="412"/>
      <c r="I126" s="412"/>
      <c r="J126" s="412"/>
      <c r="K126" s="412"/>
    </row>
    <row r="127" spans="2:13">
      <c r="C127" s="408"/>
      <c r="E127" s="410"/>
      <c r="F127" s="410"/>
      <c r="G127" s="410"/>
      <c r="H127" s="412"/>
      <c r="I127" s="412"/>
      <c r="J127" s="412"/>
      <c r="K127" s="412"/>
    </row>
    <row r="128" spans="2:13">
      <c r="C128" s="408"/>
      <c r="E128" s="410"/>
      <c r="F128" s="410"/>
      <c r="G128" s="410"/>
      <c r="H128" s="412"/>
      <c r="I128" s="412"/>
      <c r="J128" s="412"/>
      <c r="K128" s="412"/>
    </row>
  </sheetData>
  <sheetProtection sort="0" autoFilter="0"/>
  <protectedRanges>
    <protectedRange sqref="B100:B106 B82:B98" name="Range1_1"/>
    <protectedRange sqref="F55 F81:F107 F14:F22 F46:F48" name="Range1_1_2_2"/>
    <protectedRange sqref="C106 C82:C83 C87 C85 C89:C98" name="Range1_1_1"/>
    <protectedRange sqref="B69 B58:C59 B64 B80:C81 B60 B57 B48:C48 B61:C63 B65:C68 B55:C56" name="Range1_6_2"/>
    <protectedRange sqref="C69" name="Range1_1_3_2"/>
    <protectedRange sqref="C64" name="Range1_1_3_3"/>
    <protectedRange sqref="C60" name="Range1_1_3_10"/>
    <protectedRange sqref="C86" name="Range1_1_3_13"/>
    <protectedRange sqref="C17" name="Range1_1_3_14"/>
    <protectedRange sqref="C18:C20" name="Range1_1_3"/>
    <protectedRange sqref="C57" name="Range1_1_3_1"/>
    <protectedRange sqref="C84" name="Range1_1_3_4"/>
    <protectedRange sqref="C88" name="Range1_1_3_7"/>
    <protectedRange sqref="C100:C101" name="Range1_1_3_8"/>
    <protectedRange sqref="C102" name="Range1_1_3_9"/>
    <protectedRange sqref="C103" name="Range1_1_3_11"/>
    <protectedRange sqref="C104" name="Range1_1_3_12"/>
    <protectedRange sqref="C45 C105" name="Range1_1_3_6"/>
    <protectedRange sqref="F23:F45" name="Range1_1_2_2_1"/>
    <protectedRange sqref="C44" name="Range1_1_3_15"/>
  </protectedRanges>
  <mergeCells count="22">
    <mergeCell ref="I120:K120"/>
    <mergeCell ref="I125:K125"/>
    <mergeCell ref="C113:F113"/>
    <mergeCell ref="G6:K6"/>
    <mergeCell ref="I119:K119"/>
    <mergeCell ref="C112:F112"/>
    <mergeCell ref="B114:K115"/>
    <mergeCell ref="H118:K118"/>
    <mergeCell ref="H11:K11"/>
    <mergeCell ref="H12:H13"/>
    <mergeCell ref="J12:J13"/>
    <mergeCell ref="K12:K13"/>
    <mergeCell ref="O3:P4"/>
    <mergeCell ref="B4:K4"/>
    <mergeCell ref="C111:F111"/>
    <mergeCell ref="B11:B13"/>
    <mergeCell ref="C11:C13"/>
    <mergeCell ref="D11:D13"/>
    <mergeCell ref="E11:E13"/>
    <mergeCell ref="F11:F13"/>
    <mergeCell ref="G11:G13"/>
    <mergeCell ref="I12:I13"/>
  </mergeCells>
  <phoneticPr fontId="138" type="noConversion"/>
  <conditionalFormatting sqref="C15 C69 C17:C21">
    <cfRule type="cellIs" dxfId="20" priority="509" operator="equal">
      <formula>0</formula>
    </cfRule>
  </conditionalFormatting>
  <conditionalFormatting sqref="C47">
    <cfRule type="cellIs" dxfId="19" priority="134" operator="equal">
      <formula>0</formula>
    </cfRule>
  </conditionalFormatting>
  <conditionalFormatting sqref="C51">
    <cfRule type="cellIs" dxfId="18" priority="18" operator="equal">
      <formula>0</formula>
    </cfRule>
  </conditionalFormatting>
  <conditionalFormatting sqref="C53">
    <cfRule type="cellIs" dxfId="17" priority="19" operator="equal">
      <formula>0</formula>
    </cfRule>
  </conditionalFormatting>
  <conditionalFormatting sqref="C84">
    <cfRule type="cellIs" dxfId="16" priority="14" operator="equal">
      <formula>0</formula>
    </cfRule>
  </conditionalFormatting>
  <conditionalFormatting sqref="C96">
    <cfRule type="cellIs" dxfId="15" priority="25" operator="equal">
      <formula>0</formula>
    </cfRule>
  </conditionalFormatting>
  <conditionalFormatting sqref="C99">
    <cfRule type="cellIs" dxfId="14" priority="132" operator="equal">
      <formula>0</formula>
    </cfRule>
  </conditionalFormatting>
  <conditionalFormatting sqref="E1:E3 G1:G13 E5:E13 H12:I12 O13 E49:K55 E56:E68 G56:K68 E108:G108 E109:H109 E110:F110 H108:K110 S14:V21 E14:K22 E69:K107 E23:E45 E46:F48 G23:K48">
    <cfRule type="cellIs" dxfId="13" priority="1089" stopIfTrue="1" operator="equal">
      <formula>0</formula>
    </cfRule>
  </conditionalFormatting>
  <conditionalFormatting sqref="F57:F68">
    <cfRule type="cellIs" dxfId="12" priority="26" stopIfTrue="1" operator="equal">
      <formula>0</formula>
    </cfRule>
  </conditionalFormatting>
  <conditionalFormatting sqref="G109:G65575 E114:E65575">
    <cfRule type="cellIs" dxfId="11" priority="223" stopIfTrue="1" operator="equal">
      <formula>0</formula>
    </cfRule>
  </conditionalFormatting>
  <conditionalFormatting sqref="C88">
    <cfRule type="cellIs" dxfId="10" priority="12" operator="equal">
      <formula>0</formula>
    </cfRule>
  </conditionalFormatting>
  <conditionalFormatting sqref="C100:C101">
    <cfRule type="cellIs" dxfId="9" priority="11" operator="equal">
      <formula>0</formula>
    </cfRule>
  </conditionalFormatting>
  <conditionalFormatting sqref="C102">
    <cfRule type="cellIs" dxfId="8" priority="10" operator="equal">
      <formula>0</formula>
    </cfRule>
  </conditionalFormatting>
  <conditionalFormatting sqref="C103">
    <cfRule type="cellIs" dxfId="7" priority="9" operator="equal">
      <formula>0</formula>
    </cfRule>
  </conditionalFormatting>
  <conditionalFormatting sqref="C104">
    <cfRule type="cellIs" dxfId="6" priority="8" operator="equal">
      <formula>0</formula>
    </cfRule>
  </conditionalFormatting>
  <conditionalFormatting sqref="C45">
    <cfRule type="cellIs" dxfId="5" priority="6" operator="equal">
      <formula>0</formula>
    </cfRule>
  </conditionalFormatting>
  <conditionalFormatting sqref="F23:F29 F36 F43:F45">
    <cfRule type="cellIs" dxfId="4" priority="5" stopIfTrue="1" operator="equal">
      <formula>0</formula>
    </cfRule>
  </conditionalFormatting>
  <conditionalFormatting sqref="F37:F42">
    <cfRule type="cellIs" dxfId="3" priority="4" stopIfTrue="1" operator="equal">
      <formula>0</formula>
    </cfRule>
  </conditionalFormatting>
  <conditionalFormatting sqref="F30:F35">
    <cfRule type="cellIs" dxfId="2" priority="3" stopIfTrue="1" operator="equal">
      <formula>0</formula>
    </cfRule>
  </conditionalFormatting>
  <conditionalFormatting sqref="C44">
    <cfRule type="cellIs" dxfId="1" priority="2" operator="equal">
      <formula>0</formula>
    </cfRule>
  </conditionalFormatting>
  <conditionalFormatting sqref="C105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58:C60 C65:C68 F57:F80 F23:F55 H14:K11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E18" zoomScale="145" zoomScaleNormal="115" zoomScaleSheetLayoutView="145" workbookViewId="0">
      <selection activeCell="S33" sqref="S33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4" t="s">
        <v>1439</v>
      </c>
      <c r="X2" s="645"/>
      <c r="Y2" s="645"/>
      <c r="Z2" s="645"/>
      <c r="AA2" s="645"/>
      <c r="AB2" s="645"/>
      <c r="AC2" s="645"/>
      <c r="AD2" s="646"/>
    </row>
    <row r="3" spans="3:30">
      <c r="C3" s="238"/>
      <c r="W3" s="647"/>
      <c r="X3" s="648"/>
      <c r="Y3" s="648"/>
      <c r="Z3" s="648"/>
      <c r="AA3" s="648"/>
      <c r="AB3" s="648"/>
      <c r="AC3" s="648"/>
      <c r="AD3" s="649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0" t="s">
        <v>990</v>
      </c>
      <c r="Y5" s="650"/>
      <c r="Z5" s="650"/>
      <c r="AA5" s="650" t="s">
        <v>988</v>
      </c>
      <c r="AB5" s="650"/>
      <c r="AC5" s="650" t="s">
        <v>989</v>
      </c>
      <c r="AD5" s="651"/>
    </row>
    <row r="6" spans="3:30">
      <c r="C6" s="238"/>
      <c r="W6" s="241">
        <v>1</v>
      </c>
      <c r="X6" s="650" t="s">
        <v>993</v>
      </c>
      <c r="Y6" s="650"/>
      <c r="Z6" s="650"/>
      <c r="AA6" s="650"/>
      <c r="AB6" s="650"/>
      <c r="AC6" s="650"/>
      <c r="AD6" s="651"/>
    </row>
    <row r="7" spans="3:30">
      <c r="C7" s="238"/>
      <c r="E7" s="490" t="str">
        <f>PETA!C6</f>
        <v>KOORDINAT : -6.778550, 110.621719</v>
      </c>
      <c r="W7" s="241">
        <v>2</v>
      </c>
      <c r="X7" s="650" t="s">
        <v>994</v>
      </c>
      <c r="Y7" s="650"/>
      <c r="Z7" s="650"/>
      <c r="AA7" s="650"/>
      <c r="AB7" s="650"/>
      <c r="AC7" s="650"/>
      <c r="AD7" s="651"/>
    </row>
    <row r="8" spans="3:30">
      <c r="C8" s="238"/>
      <c r="W8" s="241">
        <v>3</v>
      </c>
      <c r="X8" s="650" t="s">
        <v>995</v>
      </c>
      <c r="Y8" s="650"/>
      <c r="Z8" s="650"/>
      <c r="AA8" s="650"/>
      <c r="AB8" s="650"/>
      <c r="AC8" s="650"/>
      <c r="AD8" s="651"/>
    </row>
    <row r="9" spans="3:30">
      <c r="C9" s="238"/>
      <c r="W9" s="241">
        <v>4</v>
      </c>
      <c r="X9" s="650" t="s">
        <v>996</v>
      </c>
      <c r="Y9" s="650"/>
      <c r="Z9" s="650"/>
      <c r="AA9" s="650"/>
      <c r="AB9" s="650"/>
      <c r="AC9" s="650"/>
      <c r="AD9" s="651"/>
    </row>
    <row r="10" spans="3:30">
      <c r="C10" s="238"/>
      <c r="W10" s="241">
        <v>5</v>
      </c>
      <c r="X10" s="650" t="s">
        <v>997</v>
      </c>
      <c r="Y10" s="650"/>
      <c r="Z10" s="650"/>
      <c r="AA10" s="650"/>
      <c r="AB10" s="650"/>
      <c r="AC10" s="650"/>
      <c r="AD10" s="651"/>
    </row>
    <row r="11" spans="3:30">
      <c r="C11" s="238"/>
      <c r="W11" s="241">
        <v>6</v>
      </c>
      <c r="X11" s="650" t="s">
        <v>998</v>
      </c>
      <c r="Y11" s="650"/>
      <c r="Z11" s="650"/>
      <c r="AA11" s="650"/>
      <c r="AB11" s="650"/>
      <c r="AC11" s="650"/>
      <c r="AD11" s="651"/>
    </row>
    <row r="12" spans="3:30">
      <c r="C12" s="238"/>
      <c r="W12" s="241">
        <v>7</v>
      </c>
      <c r="X12" s="650" t="s">
        <v>999</v>
      </c>
      <c r="Y12" s="650"/>
      <c r="Z12" s="650"/>
      <c r="AA12" s="650"/>
      <c r="AB12" s="650"/>
      <c r="AC12" s="650"/>
      <c r="AD12" s="651"/>
    </row>
    <row r="13" spans="3:30" ht="12.75" customHeight="1">
      <c r="C13" s="238"/>
      <c r="W13" s="241">
        <v>8</v>
      </c>
      <c r="X13" s="650" t="s">
        <v>1000</v>
      </c>
      <c r="Y13" s="650"/>
      <c r="Z13" s="650"/>
      <c r="AA13" s="650"/>
      <c r="AB13" s="650"/>
      <c r="AC13" s="650"/>
      <c r="AD13" s="651"/>
    </row>
    <row r="14" spans="3:30">
      <c r="C14" s="238"/>
      <c r="W14" s="241">
        <v>9</v>
      </c>
      <c r="X14" s="650" t="s">
        <v>1001</v>
      </c>
      <c r="Y14" s="650"/>
      <c r="Z14" s="650"/>
      <c r="AA14" s="650"/>
      <c r="AB14" s="650"/>
      <c r="AC14" s="650"/>
      <c r="AD14" s="651"/>
    </row>
    <row r="15" spans="3:30">
      <c r="C15" s="238"/>
      <c r="W15" s="241">
        <v>10</v>
      </c>
      <c r="X15" s="650" t="s">
        <v>1010</v>
      </c>
      <c r="Y15" s="650"/>
      <c r="Z15" s="650"/>
      <c r="AA15" s="650"/>
      <c r="AB15" s="650"/>
      <c r="AC15" s="650"/>
      <c r="AD15" s="651"/>
    </row>
    <row r="16" spans="3:30">
      <c r="C16" s="238"/>
      <c r="W16" s="241">
        <v>11</v>
      </c>
      <c r="X16" s="650" t="s">
        <v>1455</v>
      </c>
      <c r="Y16" s="650"/>
      <c r="Z16" s="650"/>
      <c r="AA16" s="650"/>
      <c r="AB16" s="650"/>
      <c r="AC16" s="650"/>
      <c r="AD16" s="651"/>
    </row>
    <row r="17" spans="3:30">
      <c r="C17" s="238"/>
      <c r="S17" s="242"/>
      <c r="W17" s="241">
        <v>12</v>
      </c>
      <c r="X17" s="650" t="s">
        <v>1011</v>
      </c>
      <c r="Y17" s="650"/>
      <c r="Z17" s="650"/>
      <c r="AA17" s="650"/>
      <c r="AB17" s="650"/>
      <c r="AC17" s="650"/>
      <c r="AD17" s="651"/>
    </row>
    <row r="18" spans="3:30">
      <c r="C18" s="243"/>
      <c r="D18" s="244"/>
      <c r="E18" s="244"/>
      <c r="W18" s="241">
        <v>13</v>
      </c>
      <c r="X18" s="650"/>
      <c r="Y18" s="650"/>
      <c r="Z18" s="650"/>
      <c r="AA18" s="650"/>
      <c r="AB18" s="650"/>
      <c r="AC18" s="650"/>
      <c r="AD18" s="651"/>
    </row>
    <row r="19" spans="3:30">
      <c r="C19" s="238"/>
      <c r="W19" s="245"/>
      <c r="X19" s="667"/>
      <c r="Y19" s="667"/>
      <c r="Z19" s="667"/>
      <c r="AA19" s="667"/>
      <c r="AB19" s="667"/>
      <c r="AC19" s="667"/>
      <c r="AD19" s="668"/>
    </row>
    <row r="20" spans="3:30">
      <c r="C20" s="238"/>
      <c r="O20" s="516" t="s">
        <v>1636</v>
      </c>
      <c r="W20" s="652" t="s">
        <v>992</v>
      </c>
      <c r="X20" s="653"/>
      <c r="Y20" s="653"/>
      <c r="Z20" s="653"/>
      <c r="AA20" s="653"/>
      <c r="AB20" s="653"/>
      <c r="AC20" s="653"/>
      <c r="AD20" s="654"/>
    </row>
    <row r="21" spans="3:30">
      <c r="C21" s="238"/>
      <c r="O21" s="516" t="s">
        <v>1637</v>
      </c>
      <c r="W21" s="655" t="s">
        <v>985</v>
      </c>
      <c r="X21" s="656"/>
      <c r="Y21" s="656"/>
      <c r="Z21" s="657"/>
      <c r="AA21" s="658" t="s">
        <v>986</v>
      </c>
      <c r="AB21" s="659"/>
      <c r="AC21" s="659"/>
      <c r="AD21" s="660"/>
    </row>
    <row r="22" spans="3:30">
      <c r="C22" s="238"/>
      <c r="O22" s="516" t="s">
        <v>1638</v>
      </c>
      <c r="W22" s="661" t="s">
        <v>1631</v>
      </c>
      <c r="X22" s="662"/>
      <c r="Y22" s="492">
        <v>3</v>
      </c>
      <c r="Z22" s="493"/>
      <c r="AA22" s="663"/>
      <c r="AB22" s="664"/>
      <c r="AC22" s="248"/>
      <c r="AD22" s="249"/>
    </row>
    <row r="23" spans="3:30">
      <c r="C23" s="238"/>
      <c r="O23" s="516" t="s">
        <v>1639</v>
      </c>
      <c r="W23" s="661"/>
      <c r="X23" s="662"/>
      <c r="Y23" s="492"/>
      <c r="Z23" s="493"/>
      <c r="AA23" s="665"/>
      <c r="AB23" s="666"/>
      <c r="AC23" s="248"/>
      <c r="AD23" s="249"/>
    </row>
    <row r="24" spans="3:30">
      <c r="C24" s="238"/>
      <c r="O24" s="516" t="s">
        <v>1640</v>
      </c>
      <c r="W24" s="671" t="s">
        <v>1632</v>
      </c>
      <c r="X24" s="672"/>
      <c r="Y24" s="246">
        <v>1</v>
      </c>
      <c r="Z24" s="247"/>
      <c r="AA24" s="673"/>
      <c r="AB24" s="674"/>
      <c r="AC24" s="248"/>
      <c r="AD24" s="249"/>
    </row>
    <row r="25" spans="3:30">
      <c r="C25" s="238"/>
      <c r="O25" s="516"/>
      <c r="W25" s="671" t="s">
        <v>1619</v>
      </c>
      <c r="X25" s="672"/>
      <c r="Y25" s="246">
        <v>2</v>
      </c>
      <c r="Z25" s="247"/>
      <c r="AA25" s="665"/>
      <c r="AB25" s="666"/>
      <c r="AC25" s="248"/>
      <c r="AD25" s="249"/>
    </row>
    <row r="26" spans="3:30">
      <c r="C26" s="238"/>
      <c r="O26" s="516"/>
      <c r="W26" s="480" t="s">
        <v>1630</v>
      </c>
      <c r="X26" s="481"/>
      <c r="Y26" s="246">
        <v>1</v>
      </c>
      <c r="Z26" s="247"/>
      <c r="AA26" s="665"/>
      <c r="AB26" s="666"/>
      <c r="AC26" s="248"/>
      <c r="AD26" s="249"/>
    </row>
    <row r="27" spans="3:30">
      <c r="C27" s="238"/>
      <c r="W27" s="480" t="s">
        <v>1623</v>
      </c>
      <c r="X27" s="481"/>
      <c r="Y27" s="246">
        <v>2</v>
      </c>
      <c r="Z27" s="247"/>
      <c r="AA27" s="669"/>
      <c r="AB27" s="670"/>
      <c r="AC27" s="248"/>
      <c r="AD27" s="249"/>
    </row>
    <row r="28" spans="3:30">
      <c r="C28" s="238"/>
      <c r="W28" s="480"/>
      <c r="X28" s="481"/>
      <c r="Y28" s="246"/>
      <c r="Z28" s="247"/>
      <c r="AA28" s="669"/>
      <c r="AB28" s="670"/>
      <c r="AC28" s="248"/>
      <c r="AD28" s="249"/>
    </row>
    <row r="29" spans="3:30">
      <c r="C29" s="238"/>
      <c r="W29" s="480"/>
      <c r="X29" s="481"/>
      <c r="Y29" s="246"/>
      <c r="Z29" s="247"/>
      <c r="AA29" s="669"/>
      <c r="AB29" s="670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69"/>
      <c r="AB30" s="670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69"/>
      <c r="AB31" s="670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69"/>
      <c r="AB32" s="670"/>
      <c r="AC32" s="248"/>
      <c r="AD32" s="249"/>
    </row>
    <row r="33" spans="3:30">
      <c r="C33" s="238"/>
      <c r="W33" s="480"/>
      <c r="X33" s="481"/>
      <c r="Y33" s="246"/>
      <c r="Z33" s="247"/>
      <c r="AA33" s="669"/>
      <c r="AB33" s="670"/>
      <c r="AC33" s="248"/>
      <c r="AD33" s="249"/>
    </row>
    <row r="34" spans="3:30">
      <c r="C34" s="238"/>
      <c r="W34" s="480"/>
      <c r="X34" s="481"/>
      <c r="Y34" s="246"/>
      <c r="Z34" s="247"/>
      <c r="AA34" s="669"/>
      <c r="AB34" s="670"/>
      <c r="AC34" s="248"/>
      <c r="AD34" s="249"/>
    </row>
    <row r="35" spans="3:30">
      <c r="C35" s="238"/>
      <c r="W35" s="671"/>
      <c r="X35" s="684"/>
      <c r="Y35" s="246"/>
      <c r="Z35" s="247"/>
      <c r="AA35" s="669"/>
      <c r="AB35" s="670"/>
      <c r="AC35" s="248"/>
      <c r="AD35" s="249"/>
    </row>
    <row r="36" spans="3:30">
      <c r="C36" s="238"/>
      <c r="W36" s="675"/>
      <c r="X36" s="676"/>
      <c r="Y36" s="246"/>
      <c r="Z36" s="251"/>
      <c r="AA36" s="677"/>
      <c r="AB36" s="670"/>
      <c r="AC36" s="248"/>
      <c r="AD36" s="249"/>
    </row>
    <row r="37" spans="3:30" ht="12.75" customHeight="1">
      <c r="C37" s="238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15"/>
      <c r="W39" s="678"/>
      <c r="X39" s="679"/>
      <c r="Y39" s="254"/>
      <c r="Z39" s="257"/>
      <c r="AA39" s="682"/>
      <c r="AB39" s="683"/>
      <c r="AC39" s="252"/>
      <c r="AD39" s="253"/>
    </row>
    <row r="40" spans="3:30" ht="12" customHeight="1">
      <c r="C40" s="238"/>
      <c r="D40" s="515"/>
      <c r="W40" s="688"/>
      <c r="X40" s="689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15"/>
      <c r="W41" s="690"/>
      <c r="X41" s="691"/>
      <c r="Y41" s="260"/>
      <c r="Z41" s="261"/>
      <c r="AA41" s="682"/>
      <c r="AB41" s="683"/>
      <c r="AC41" s="252"/>
      <c r="AD41" s="253"/>
    </row>
    <row r="42" spans="3:30" ht="12" customHeight="1">
      <c r="C42" s="238"/>
      <c r="D42" s="515"/>
      <c r="W42" s="692" t="s">
        <v>1456</v>
      </c>
      <c r="X42" s="693"/>
      <c r="Y42" s="693"/>
      <c r="Z42" s="693"/>
      <c r="AA42" s="262"/>
      <c r="AB42" s="262"/>
      <c r="AC42" s="262"/>
      <c r="AD42" s="263"/>
    </row>
    <row r="43" spans="3:30" ht="12" customHeight="1">
      <c r="C43" s="238"/>
      <c r="D43" s="515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15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5" t="s">
        <v>11</v>
      </c>
      <c r="X44" s="686"/>
      <c r="Y44" s="650"/>
      <c r="Z44" s="650"/>
      <c r="AA44" s="650"/>
      <c r="AB44" s="650"/>
      <c r="AC44" s="650"/>
      <c r="AD44" s="651"/>
    </row>
    <row r="45" spans="3:30">
      <c r="C45" s="268"/>
      <c r="D45" s="515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5" t="s">
        <v>984</v>
      </c>
      <c r="X45" s="686"/>
      <c r="Y45" s="650">
        <v>1</v>
      </c>
      <c r="Z45" s="650"/>
      <c r="AA45" s="650"/>
      <c r="AB45" s="650" t="s">
        <v>12</v>
      </c>
      <c r="AC45" s="650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5" t="s">
        <v>15</v>
      </c>
      <c r="X46" s="686"/>
      <c r="Y46" s="687"/>
      <c r="Z46" s="687"/>
      <c r="AA46" s="687"/>
      <c r="AB46" s="650" t="s">
        <v>16</v>
      </c>
      <c r="AC46" s="650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8" t="s">
        <v>17</v>
      </c>
      <c r="X47" s="698"/>
      <c r="Y47" s="698"/>
      <c r="Z47" s="698"/>
      <c r="AA47" s="698"/>
      <c r="AB47" s="698"/>
      <c r="AC47" s="698"/>
      <c r="AD47" s="69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0" t="str">
        <f>RAB!G6</f>
        <v>IOH BUNGO WEDUNG</v>
      </c>
      <c r="X48" s="700"/>
      <c r="Y48" s="700"/>
      <c r="Z48" s="700"/>
      <c r="AA48" s="700"/>
      <c r="AB48" s="700"/>
      <c r="AC48" s="700"/>
      <c r="AD48" s="701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0"/>
      <c r="X49" s="700"/>
      <c r="Y49" s="700"/>
      <c r="Z49" s="700"/>
      <c r="AA49" s="700"/>
      <c r="AB49" s="700"/>
      <c r="AC49" s="700"/>
      <c r="AD49" s="701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0"/>
      <c r="X50" s="700"/>
      <c r="Y50" s="700"/>
      <c r="Z50" s="700"/>
      <c r="AA50" s="700"/>
      <c r="AB50" s="700"/>
      <c r="AC50" s="700"/>
      <c r="AD50" s="701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2"/>
      <c r="X51" s="702"/>
      <c r="Y51" s="702"/>
      <c r="Z51" s="702"/>
      <c r="AA51" s="702"/>
      <c r="AB51" s="702"/>
      <c r="AC51" s="702"/>
      <c r="AD51" s="703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5" t="s">
        <v>18</v>
      </c>
      <c r="X52" s="686"/>
      <c r="Y52" s="650" t="s">
        <v>1549</v>
      </c>
      <c r="Z52" s="650"/>
      <c r="AA52" s="650"/>
      <c r="AB52" s="650"/>
      <c r="AC52" s="650"/>
      <c r="AD52" s="651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5" t="s">
        <v>19</v>
      </c>
      <c r="X53" s="686"/>
      <c r="Y53" s="650" t="s">
        <v>1549</v>
      </c>
      <c r="Z53" s="650"/>
      <c r="AA53" s="650"/>
      <c r="AB53" s="650"/>
      <c r="AC53" s="650"/>
      <c r="AD53" s="651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5" t="s">
        <v>20</v>
      </c>
      <c r="X54" s="686"/>
      <c r="Y54" s="694" t="s">
        <v>1550</v>
      </c>
      <c r="Z54" s="694"/>
      <c r="AA54" s="694"/>
      <c r="AB54" s="650"/>
      <c r="AC54" s="650"/>
      <c r="AD54" s="651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5" t="s">
        <v>21</v>
      </c>
      <c r="X55" s="696"/>
      <c r="Y55" s="694" t="s">
        <v>1551</v>
      </c>
      <c r="Z55" s="694"/>
      <c r="AA55" s="694"/>
      <c r="AB55" s="694"/>
      <c r="AC55" s="694"/>
      <c r="AD55" s="697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V44" sqref="V4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4" t="s">
        <v>1528</v>
      </c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705"/>
      <c r="X4" s="705"/>
      <c r="Y4" s="705"/>
      <c r="Z4" s="705"/>
      <c r="AA4" s="705"/>
      <c r="AB4" s="705"/>
      <c r="AC4" s="706"/>
      <c r="AD4" s="217"/>
      <c r="AE4" s="216"/>
      <c r="AF4" s="216"/>
    </row>
    <row r="5" spans="2:32" ht="13.5" customHeight="1">
      <c r="B5" s="215"/>
      <c r="C5" s="215"/>
      <c r="D5" s="707"/>
      <c r="E5" s="708"/>
      <c r="F5" s="708"/>
      <c r="G5" s="708"/>
      <c r="H5" s="708"/>
      <c r="I5" s="708"/>
      <c r="J5" s="708"/>
      <c r="K5" s="708"/>
      <c r="L5" s="708"/>
      <c r="M5" s="708"/>
      <c r="N5" s="708"/>
      <c r="O5" s="708"/>
      <c r="P5" s="708"/>
      <c r="Q5" s="708"/>
      <c r="R5" s="708"/>
      <c r="S5" s="708"/>
      <c r="T5" s="708"/>
      <c r="U5" s="708"/>
      <c r="V5" s="708"/>
      <c r="W5" s="708"/>
      <c r="X5" s="708"/>
      <c r="Y5" s="708"/>
      <c r="Z5" s="708"/>
      <c r="AA5" s="708"/>
      <c r="AB5" s="708"/>
      <c r="AC5" s="709"/>
      <c r="AD5" s="217"/>
      <c r="AE5" s="216"/>
      <c r="AF5" s="216"/>
    </row>
    <row r="6" spans="2:32" ht="12.75" customHeight="1">
      <c r="B6" s="215"/>
      <c r="C6" s="215"/>
      <c r="D6" s="707"/>
      <c r="E6" s="708"/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9"/>
      <c r="AE6" s="216"/>
      <c r="AF6" s="216"/>
    </row>
    <row r="7" spans="2:32" ht="12.75" customHeight="1" thickBot="1">
      <c r="B7" s="215"/>
      <c r="C7" s="215"/>
      <c r="D7" s="710"/>
      <c r="E7" s="711"/>
      <c r="F7" s="711"/>
      <c r="G7" s="711"/>
      <c r="H7" s="711"/>
      <c r="I7" s="711"/>
      <c r="J7" s="711"/>
      <c r="K7" s="711"/>
      <c r="L7" s="711"/>
      <c r="M7" s="711"/>
      <c r="N7" s="711"/>
      <c r="O7" s="711"/>
      <c r="P7" s="711"/>
      <c r="Q7" s="711"/>
      <c r="R7" s="711"/>
      <c r="S7" s="711"/>
      <c r="T7" s="711"/>
      <c r="U7" s="711"/>
      <c r="V7" s="711"/>
      <c r="W7" s="711"/>
      <c r="X7" s="711"/>
      <c r="Y7" s="711"/>
      <c r="Z7" s="711"/>
      <c r="AA7" s="711"/>
      <c r="AB7" s="711"/>
      <c r="AC7" s="71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U34" sqref="U34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8" t="s">
        <v>1527</v>
      </c>
      <c r="D3" s="708"/>
      <c r="E3" s="70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3" t="s">
        <v>1635</v>
      </c>
      <c r="D6" s="713"/>
      <c r="E6" s="713"/>
      <c r="F6" s="713"/>
      <c r="G6" s="713"/>
      <c r="H6" s="713"/>
      <c r="I6" s="713"/>
      <c r="J6" s="713"/>
      <c r="K6" s="713"/>
      <c r="L6" s="713"/>
      <c r="M6" s="713"/>
      <c r="W6" s="182"/>
      <c r="Y6" s="428"/>
      <c r="Z6" s="428"/>
      <c r="AA6" s="428"/>
      <c r="AB6" s="429"/>
      <c r="AC6" s="429"/>
    </row>
    <row r="7" spans="1:29" ht="18" customHeight="1">
      <c r="A7" s="181"/>
      <c r="C7" s="713"/>
      <c r="D7" s="713"/>
      <c r="E7" s="713"/>
      <c r="F7" s="713"/>
      <c r="G7" s="713"/>
      <c r="H7" s="713"/>
      <c r="I7" s="713"/>
      <c r="J7" s="713"/>
      <c r="K7" s="713"/>
      <c r="L7" s="713"/>
      <c r="M7" s="713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2024-02-28T04:12:37Z</dcterms:modified>
</cp:coreProperties>
</file>