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E9BA4D4D-6AFA-4FC4-A1AC-531F8C6EBC2D}" xr6:coauthVersionLast="47" xr6:coauthVersionMax="47" xr10:uidLastSave="{00000000-0000-0000-0000-000000000000}"/>
  <bookViews>
    <workbookView xWindow="-120" yWindow="-120" windowWidth="29040" windowHeight="1572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RAB!$A$1:$K$166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" i="11" l="1"/>
  <c r="F67" i="11"/>
  <c r="F66" i="11"/>
  <c r="F65" i="11"/>
  <c r="F64" i="11"/>
  <c r="D63" i="11"/>
  <c r="J63" i="11" s="1"/>
  <c r="E63" i="11"/>
  <c r="G63" i="11"/>
  <c r="D64" i="11"/>
  <c r="J64" i="11" s="1"/>
  <c r="E64" i="11"/>
  <c r="G64" i="11"/>
  <c r="D65" i="11"/>
  <c r="H65" i="11" s="1"/>
  <c r="E65" i="11"/>
  <c r="G65" i="11"/>
  <c r="D66" i="11"/>
  <c r="H66" i="11" s="1"/>
  <c r="E66" i="11"/>
  <c r="G66" i="11"/>
  <c r="J66" i="11"/>
  <c r="D67" i="11"/>
  <c r="J67" i="11" s="1"/>
  <c r="E67" i="11"/>
  <c r="G67" i="11"/>
  <c r="D68" i="11"/>
  <c r="E68" i="11"/>
  <c r="G68" i="11"/>
  <c r="D69" i="11"/>
  <c r="J69" i="11" s="1"/>
  <c r="E69" i="11"/>
  <c r="G69" i="11"/>
  <c r="D70" i="11"/>
  <c r="H70" i="11" s="1"/>
  <c r="E70" i="11"/>
  <c r="G70" i="11"/>
  <c r="F124" i="11"/>
  <c r="F123" i="11"/>
  <c r="F122" i="11"/>
  <c r="F121" i="11"/>
  <c r="F120" i="11"/>
  <c r="F119" i="11"/>
  <c r="F118" i="11"/>
  <c r="F117" i="11"/>
  <c r="F116" i="11"/>
  <c r="F111" i="11"/>
  <c r="F110" i="11"/>
  <c r="F109" i="11"/>
  <c r="F108" i="11"/>
  <c r="F107" i="11"/>
  <c r="F106" i="11"/>
  <c r="F105" i="11"/>
  <c r="F104" i="11"/>
  <c r="F103" i="11"/>
  <c r="F101" i="11"/>
  <c r="D99" i="11"/>
  <c r="J99" i="11" s="1"/>
  <c r="E99" i="11"/>
  <c r="G99" i="11"/>
  <c r="D100" i="11"/>
  <c r="J100" i="11" s="1"/>
  <c r="E100" i="11"/>
  <c r="G100" i="11"/>
  <c r="D101" i="11"/>
  <c r="I101" i="11" s="1"/>
  <c r="E101" i="11"/>
  <c r="G101" i="11"/>
  <c r="D102" i="11"/>
  <c r="H102" i="11" s="1"/>
  <c r="E102" i="11"/>
  <c r="G102" i="11"/>
  <c r="D103" i="11"/>
  <c r="J103" i="11" s="1"/>
  <c r="E103" i="11"/>
  <c r="G103" i="11"/>
  <c r="D104" i="11"/>
  <c r="J104" i="11" s="1"/>
  <c r="E104" i="11"/>
  <c r="G104" i="11"/>
  <c r="D105" i="11"/>
  <c r="E105" i="11"/>
  <c r="G105" i="11"/>
  <c r="D106" i="11"/>
  <c r="H106" i="11" s="1"/>
  <c r="E106" i="11"/>
  <c r="G106" i="11"/>
  <c r="D107" i="11"/>
  <c r="J107" i="11" s="1"/>
  <c r="E107" i="11"/>
  <c r="G107" i="11"/>
  <c r="D108" i="11"/>
  <c r="J108" i="11" s="1"/>
  <c r="E108" i="11"/>
  <c r="G108" i="11"/>
  <c r="D109" i="11"/>
  <c r="H109" i="11" s="1"/>
  <c r="E109" i="11"/>
  <c r="G109" i="11"/>
  <c r="D110" i="11"/>
  <c r="H110" i="11" s="1"/>
  <c r="E110" i="11"/>
  <c r="G110" i="11"/>
  <c r="D111" i="11"/>
  <c r="J111" i="11" s="1"/>
  <c r="E111" i="11"/>
  <c r="G111" i="11"/>
  <c r="D112" i="11"/>
  <c r="E112" i="11"/>
  <c r="G112" i="11"/>
  <c r="D113" i="11"/>
  <c r="H113" i="11" s="1"/>
  <c r="E113" i="11"/>
  <c r="G113" i="11"/>
  <c r="D114" i="11"/>
  <c r="J114" i="11" s="1"/>
  <c r="E114" i="11"/>
  <c r="G114" i="11"/>
  <c r="D115" i="11"/>
  <c r="J115" i="11" s="1"/>
  <c r="E115" i="11"/>
  <c r="G115" i="11"/>
  <c r="D116" i="11"/>
  <c r="H116" i="11" s="1"/>
  <c r="E116" i="11"/>
  <c r="G116" i="11"/>
  <c r="D117" i="11"/>
  <c r="H117" i="11" s="1"/>
  <c r="E117" i="11"/>
  <c r="G117" i="11"/>
  <c r="D118" i="11"/>
  <c r="H118" i="11" s="1"/>
  <c r="E118" i="11"/>
  <c r="G118" i="11"/>
  <c r="D119" i="11"/>
  <c r="J119" i="11" s="1"/>
  <c r="E119" i="11"/>
  <c r="G119" i="11"/>
  <c r="D120" i="11"/>
  <c r="H120" i="11" s="1"/>
  <c r="E120" i="11"/>
  <c r="G120" i="11"/>
  <c r="D121" i="11"/>
  <c r="H121" i="11" s="1"/>
  <c r="E121" i="11"/>
  <c r="G121" i="11"/>
  <c r="D122" i="11"/>
  <c r="J122" i="11" s="1"/>
  <c r="E122" i="11"/>
  <c r="G122" i="11"/>
  <c r="D123" i="11"/>
  <c r="J123" i="11" s="1"/>
  <c r="E123" i="11"/>
  <c r="G123" i="11"/>
  <c r="D124" i="11"/>
  <c r="H124" i="11" s="1"/>
  <c r="E124" i="11"/>
  <c r="G124" i="11"/>
  <c r="D125" i="11"/>
  <c r="J125" i="11" s="1"/>
  <c r="E125" i="11"/>
  <c r="G125" i="11"/>
  <c r="D126" i="11"/>
  <c r="J126" i="11" s="1"/>
  <c r="E126" i="11"/>
  <c r="G126" i="11"/>
  <c r="D127" i="11"/>
  <c r="H127" i="11" s="1"/>
  <c r="E127" i="11"/>
  <c r="G127" i="11"/>
  <c r="F94" i="11"/>
  <c r="D91" i="11"/>
  <c r="H91" i="11" s="1"/>
  <c r="E91" i="11"/>
  <c r="G91" i="11"/>
  <c r="D92" i="11"/>
  <c r="H92" i="11" s="1"/>
  <c r="E92" i="11"/>
  <c r="G92" i="11"/>
  <c r="D93" i="11"/>
  <c r="E93" i="11"/>
  <c r="G93" i="11"/>
  <c r="D94" i="11"/>
  <c r="E94" i="11"/>
  <c r="G94" i="11"/>
  <c r="F52" i="11"/>
  <c r="F51" i="11"/>
  <c r="F50" i="11"/>
  <c r="F49" i="11"/>
  <c r="G19" i="11"/>
  <c r="G20" i="11"/>
  <c r="G21" i="11"/>
  <c r="G23" i="11"/>
  <c r="G24" i="11"/>
  <c r="D19" i="11"/>
  <c r="H19" i="11" s="1"/>
  <c r="E19" i="11"/>
  <c r="D20" i="11"/>
  <c r="E20" i="11"/>
  <c r="D21" i="11"/>
  <c r="E21" i="11"/>
  <c r="D23" i="11"/>
  <c r="H23" i="11" s="1"/>
  <c r="E23" i="11"/>
  <c r="D24" i="11"/>
  <c r="H24" i="11" s="1"/>
  <c r="E24" i="11"/>
  <c r="F46" i="11"/>
  <c r="F45" i="11"/>
  <c r="F44" i="11"/>
  <c r="F43" i="11"/>
  <c r="F42" i="11"/>
  <c r="F41" i="11"/>
  <c r="F40" i="11"/>
  <c r="F39" i="11"/>
  <c r="F38" i="11"/>
  <c r="F37" i="11"/>
  <c r="F34" i="11"/>
  <c r="F33" i="11"/>
  <c r="F32" i="11"/>
  <c r="F31" i="11"/>
  <c r="F30" i="11"/>
  <c r="F29" i="11"/>
  <c r="F28" i="11"/>
  <c r="F27" i="11"/>
  <c r="F26" i="11"/>
  <c r="J65" i="11" l="1"/>
  <c r="I63" i="11"/>
  <c r="I67" i="11"/>
  <c r="I70" i="11"/>
  <c r="H67" i="11"/>
  <c r="J70" i="11"/>
  <c r="I66" i="11"/>
  <c r="K66" i="11" s="1"/>
  <c r="I65" i="11"/>
  <c r="K65" i="11" s="1"/>
  <c r="H63" i="11"/>
  <c r="K63" i="11" s="1"/>
  <c r="J68" i="11"/>
  <c r="I69" i="11"/>
  <c r="I64" i="11"/>
  <c r="H69" i="11"/>
  <c r="H68" i="11"/>
  <c r="H64" i="11"/>
  <c r="J101" i="11"/>
  <c r="I68" i="11"/>
  <c r="I114" i="11"/>
  <c r="J116" i="11"/>
  <c r="H107" i="11"/>
  <c r="J106" i="11"/>
  <c r="I105" i="11"/>
  <c r="I126" i="11"/>
  <c r="I122" i="11"/>
  <c r="J117" i="11"/>
  <c r="J109" i="11"/>
  <c r="J124" i="11"/>
  <c r="I116" i="11"/>
  <c r="H114" i="11"/>
  <c r="J112" i="11"/>
  <c r="H105" i="11"/>
  <c r="I103" i="11"/>
  <c r="J102" i="11"/>
  <c r="H103" i="11"/>
  <c r="H99" i="11"/>
  <c r="J118" i="11"/>
  <c r="H111" i="11"/>
  <c r="J120" i="11"/>
  <c r="I118" i="11"/>
  <c r="I113" i="11"/>
  <c r="I111" i="11"/>
  <c r="I110" i="11"/>
  <c r="I99" i="11"/>
  <c r="J113" i="11"/>
  <c r="K113" i="11" s="1"/>
  <c r="J110" i="11"/>
  <c r="J92" i="11"/>
  <c r="H126" i="11"/>
  <c r="K126" i="11" s="1"/>
  <c r="I124" i="11"/>
  <c r="H122" i="11"/>
  <c r="I117" i="11"/>
  <c r="I109" i="11"/>
  <c r="I107" i="11"/>
  <c r="I106" i="11"/>
  <c r="J105" i="11"/>
  <c r="I102" i="11"/>
  <c r="I121" i="11"/>
  <c r="I120" i="11"/>
  <c r="H101" i="11"/>
  <c r="J121" i="11"/>
  <c r="I119" i="11"/>
  <c r="I108" i="11"/>
  <c r="J127" i="11"/>
  <c r="H125" i="11"/>
  <c r="H123" i="11"/>
  <c r="H119" i="11"/>
  <c r="H115" i="11"/>
  <c r="H112" i="11"/>
  <c r="H108" i="11"/>
  <c r="H104" i="11"/>
  <c r="H100" i="11"/>
  <c r="I123" i="11"/>
  <c r="I115" i="11"/>
  <c r="I104" i="11"/>
  <c r="I127" i="11"/>
  <c r="K127" i="11" s="1"/>
  <c r="I125" i="11"/>
  <c r="I112" i="11"/>
  <c r="I100" i="11"/>
  <c r="H93" i="11"/>
  <c r="J94" i="11"/>
  <c r="I92" i="11"/>
  <c r="J91" i="11"/>
  <c r="I91" i="11"/>
  <c r="J20" i="11"/>
  <c r="H94" i="11"/>
  <c r="I93" i="11"/>
  <c r="I94" i="11"/>
  <c r="J93" i="11"/>
  <c r="I21" i="11"/>
  <c r="J24" i="11"/>
  <c r="J19" i="11"/>
  <c r="H21" i="11"/>
  <c r="I24" i="11"/>
  <c r="J23" i="11"/>
  <c r="H20" i="11"/>
  <c r="I19" i="11"/>
  <c r="I20" i="11"/>
  <c r="I23" i="11"/>
  <c r="K23" i="11" s="1"/>
  <c r="J21" i="11"/>
  <c r="K101" i="11" l="1"/>
  <c r="K70" i="11"/>
  <c r="K67" i="11"/>
  <c r="K68" i="11"/>
  <c r="K69" i="11"/>
  <c r="K114" i="11"/>
  <c r="K109" i="11"/>
  <c r="K64" i="11"/>
  <c r="K116" i="11"/>
  <c r="K105" i="11"/>
  <c r="K124" i="11"/>
  <c r="K92" i="11"/>
  <c r="K107" i="11"/>
  <c r="K122" i="11"/>
  <c r="K103" i="11"/>
  <c r="K102" i="11"/>
  <c r="K100" i="11"/>
  <c r="K115" i="11"/>
  <c r="K117" i="11"/>
  <c r="K119" i="11"/>
  <c r="K106" i="11"/>
  <c r="K118" i="11"/>
  <c r="K110" i="11"/>
  <c r="K111" i="11"/>
  <c r="K121" i="11"/>
  <c r="K99" i="11"/>
  <c r="K120" i="11"/>
  <c r="K123" i="11"/>
  <c r="K104" i="11"/>
  <c r="K108" i="11"/>
  <c r="K112" i="11"/>
  <c r="K125" i="11"/>
  <c r="K91" i="11"/>
  <c r="K93" i="11"/>
  <c r="K21" i="11"/>
  <c r="K94" i="11"/>
  <c r="K20" i="11"/>
  <c r="K24" i="11"/>
  <c r="K19" i="11"/>
  <c r="D25" i="11" l="1"/>
  <c r="J25" i="11" s="1"/>
  <c r="E25" i="11"/>
  <c r="G25" i="11"/>
  <c r="D26" i="11"/>
  <c r="E26" i="11"/>
  <c r="G26" i="11"/>
  <c r="D27" i="11"/>
  <c r="H27" i="11" s="1"/>
  <c r="E27" i="11"/>
  <c r="G27" i="11"/>
  <c r="D28" i="11"/>
  <c r="J28" i="11" s="1"/>
  <c r="E28" i="11"/>
  <c r="G28" i="11"/>
  <c r="D29" i="11"/>
  <c r="J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J32" i="11" s="1"/>
  <c r="E32" i="11"/>
  <c r="G32" i="11"/>
  <c r="D33" i="11"/>
  <c r="J33" i="11" s="1"/>
  <c r="E33" i="11"/>
  <c r="G33" i="11"/>
  <c r="D34" i="11"/>
  <c r="H34" i="11" s="1"/>
  <c r="E34" i="11"/>
  <c r="G34" i="11"/>
  <c r="D35" i="11"/>
  <c r="H35" i="11" s="1"/>
  <c r="E35" i="11"/>
  <c r="G35" i="11"/>
  <c r="D36" i="11"/>
  <c r="J36" i="11" s="1"/>
  <c r="E36" i="11"/>
  <c r="G36" i="11"/>
  <c r="D37" i="11"/>
  <c r="J37" i="11" s="1"/>
  <c r="E37" i="11"/>
  <c r="G37" i="11"/>
  <c r="D38" i="11"/>
  <c r="H38" i="11" s="1"/>
  <c r="E38" i="11"/>
  <c r="G38" i="11"/>
  <c r="D39" i="11"/>
  <c r="H39" i="11" s="1"/>
  <c r="E39" i="11"/>
  <c r="G39" i="11"/>
  <c r="D40" i="11"/>
  <c r="J40" i="11" s="1"/>
  <c r="E40" i="11"/>
  <c r="G40" i="11"/>
  <c r="D41" i="11"/>
  <c r="J41" i="11" s="1"/>
  <c r="E41" i="11"/>
  <c r="G41" i="11"/>
  <c r="D42" i="11"/>
  <c r="H42" i="11" s="1"/>
  <c r="E42" i="11"/>
  <c r="G42" i="11"/>
  <c r="D43" i="11"/>
  <c r="H43" i="11" s="1"/>
  <c r="E43" i="11"/>
  <c r="G43" i="11"/>
  <c r="D44" i="11"/>
  <c r="J44" i="11" s="1"/>
  <c r="E44" i="11"/>
  <c r="G44" i="11"/>
  <c r="D45" i="11"/>
  <c r="J45" i="11" s="1"/>
  <c r="E45" i="11"/>
  <c r="G45" i="11"/>
  <c r="D46" i="11"/>
  <c r="H46" i="11" s="1"/>
  <c r="E46" i="11"/>
  <c r="G46" i="11"/>
  <c r="D47" i="11"/>
  <c r="J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H50" i="11" s="1"/>
  <c r="E50" i="11"/>
  <c r="G50" i="11"/>
  <c r="D51" i="11"/>
  <c r="J51" i="11" s="1"/>
  <c r="E51" i="11"/>
  <c r="G51" i="11"/>
  <c r="D52" i="11"/>
  <c r="E52" i="11"/>
  <c r="G52" i="11"/>
  <c r="D53" i="11"/>
  <c r="I53" i="11" s="1"/>
  <c r="E53" i="11"/>
  <c r="G53" i="11"/>
  <c r="D54" i="11"/>
  <c r="H54" i="11" s="1"/>
  <c r="E54" i="11"/>
  <c r="G54" i="11"/>
  <c r="D55" i="11"/>
  <c r="J55" i="11" s="1"/>
  <c r="E55" i="11"/>
  <c r="G55" i="11"/>
  <c r="F85" i="11"/>
  <c r="F89" i="11" s="1"/>
  <c r="F79" i="11"/>
  <c r="F83" i="11" s="1"/>
  <c r="F77" i="11"/>
  <c r="F76" i="11"/>
  <c r="F75" i="11"/>
  <c r="F74" i="11"/>
  <c r="F73" i="11"/>
  <c r="F72" i="11"/>
  <c r="D71" i="11"/>
  <c r="J71" i="11" s="1"/>
  <c r="E71" i="11"/>
  <c r="G71" i="11"/>
  <c r="D72" i="11"/>
  <c r="J72" i="11" s="1"/>
  <c r="E72" i="11"/>
  <c r="G72" i="11"/>
  <c r="D73" i="11"/>
  <c r="H73" i="11" s="1"/>
  <c r="E73" i="11"/>
  <c r="G73" i="11"/>
  <c r="D74" i="11"/>
  <c r="H74" i="11" s="1"/>
  <c r="E74" i="11"/>
  <c r="G74" i="11"/>
  <c r="D75" i="11"/>
  <c r="J75" i="11" s="1"/>
  <c r="E75" i="11"/>
  <c r="G75" i="11"/>
  <c r="D76" i="11"/>
  <c r="J76" i="11" s="1"/>
  <c r="E76" i="11"/>
  <c r="G76" i="11"/>
  <c r="D77" i="11"/>
  <c r="I77" i="11" s="1"/>
  <c r="E77" i="11"/>
  <c r="G77" i="11"/>
  <c r="D78" i="11"/>
  <c r="H78" i="11" s="1"/>
  <c r="E78" i="11"/>
  <c r="G78" i="11"/>
  <c r="D79" i="11"/>
  <c r="H79" i="11" s="1"/>
  <c r="E79" i="11"/>
  <c r="G79" i="11"/>
  <c r="D80" i="11"/>
  <c r="J80" i="11" s="1"/>
  <c r="E80" i="11"/>
  <c r="G80" i="11"/>
  <c r="D81" i="11"/>
  <c r="J81" i="11" s="1"/>
  <c r="E81" i="11"/>
  <c r="G81" i="11"/>
  <c r="D82" i="11"/>
  <c r="H82" i="11" s="1"/>
  <c r="E82" i="11"/>
  <c r="G82" i="11"/>
  <c r="D83" i="11"/>
  <c r="H83" i="11" s="1"/>
  <c r="E83" i="11"/>
  <c r="G83" i="11"/>
  <c r="D84" i="11"/>
  <c r="J84" i="11" s="1"/>
  <c r="E84" i="11"/>
  <c r="G84" i="11"/>
  <c r="D85" i="11"/>
  <c r="H85" i="11" s="1"/>
  <c r="E85" i="11"/>
  <c r="G85" i="11"/>
  <c r="D86" i="11"/>
  <c r="H86" i="11" s="1"/>
  <c r="E86" i="11"/>
  <c r="G86" i="11"/>
  <c r="D87" i="11"/>
  <c r="J87" i="11" s="1"/>
  <c r="E87" i="11"/>
  <c r="G87" i="11"/>
  <c r="D88" i="11"/>
  <c r="J88" i="11" s="1"/>
  <c r="E88" i="11"/>
  <c r="G88" i="11"/>
  <c r="D89" i="11"/>
  <c r="H89" i="11" s="1"/>
  <c r="E89" i="11"/>
  <c r="G89" i="11"/>
  <c r="D90" i="11"/>
  <c r="H90" i="11" s="1"/>
  <c r="E90" i="11"/>
  <c r="G90" i="11"/>
  <c r="G18" i="11"/>
  <c r="D18" i="11"/>
  <c r="H18" i="11" s="1"/>
  <c r="E18" i="11"/>
  <c r="J52" i="11" l="1"/>
  <c r="H26" i="11"/>
  <c r="J34" i="11"/>
  <c r="J43" i="11"/>
  <c r="J27" i="11"/>
  <c r="J26" i="11"/>
  <c r="I47" i="11"/>
  <c r="I55" i="11"/>
  <c r="H55" i="11"/>
  <c r="H51" i="11"/>
  <c r="I36" i="11"/>
  <c r="J35" i="11"/>
  <c r="I27" i="11"/>
  <c r="I51" i="11"/>
  <c r="I40" i="11"/>
  <c r="J39" i="11"/>
  <c r="J38" i="11"/>
  <c r="I35" i="11"/>
  <c r="I34" i="11"/>
  <c r="I44" i="11"/>
  <c r="H47" i="11"/>
  <c r="J46" i="11"/>
  <c r="I43" i="11"/>
  <c r="J31" i="11"/>
  <c r="J30" i="11"/>
  <c r="I50" i="11"/>
  <c r="I39" i="11"/>
  <c r="I28" i="11"/>
  <c r="J54" i="11"/>
  <c r="J50" i="11"/>
  <c r="I46" i="11"/>
  <c r="H44" i="11"/>
  <c r="I38" i="11"/>
  <c r="H36" i="11"/>
  <c r="I32" i="11"/>
  <c r="I31" i="11"/>
  <c r="I54" i="11"/>
  <c r="J42" i="11"/>
  <c r="J53" i="11"/>
  <c r="I52" i="11"/>
  <c r="J49" i="11"/>
  <c r="I48" i="11"/>
  <c r="I42" i="11"/>
  <c r="H40" i="11"/>
  <c r="H32" i="11"/>
  <c r="I30" i="11"/>
  <c r="H28" i="11"/>
  <c r="I26" i="11"/>
  <c r="H52" i="11"/>
  <c r="I49" i="11"/>
  <c r="I41" i="11"/>
  <c r="I37" i="11"/>
  <c r="I33" i="11"/>
  <c r="I25" i="11"/>
  <c r="H53" i="11"/>
  <c r="H45" i="11"/>
  <c r="H41" i="11"/>
  <c r="H37" i="11"/>
  <c r="H33" i="11"/>
  <c r="H29" i="11"/>
  <c r="H25" i="11"/>
  <c r="H48" i="11"/>
  <c r="I45" i="11"/>
  <c r="I29" i="11"/>
  <c r="J73" i="11"/>
  <c r="J79" i="11"/>
  <c r="I89" i="11"/>
  <c r="F80" i="11"/>
  <c r="I80" i="11" s="1"/>
  <c r="J82" i="11"/>
  <c r="I71" i="11"/>
  <c r="H71" i="11"/>
  <c r="F81" i="11"/>
  <c r="I81" i="11" s="1"/>
  <c r="I73" i="11"/>
  <c r="K73" i="11" s="1"/>
  <c r="F86" i="11"/>
  <c r="I86" i="11" s="1"/>
  <c r="J86" i="11"/>
  <c r="J77" i="11"/>
  <c r="F82" i="11"/>
  <c r="I82" i="11" s="1"/>
  <c r="F87" i="11"/>
  <c r="I87" i="11" s="1"/>
  <c r="J89" i="11"/>
  <c r="I79" i="11"/>
  <c r="H77" i="11"/>
  <c r="F88" i="11"/>
  <c r="I88" i="11" s="1"/>
  <c r="J83" i="11"/>
  <c r="H81" i="11"/>
  <c r="H75" i="11"/>
  <c r="I74" i="11"/>
  <c r="J85" i="11"/>
  <c r="I85" i="11"/>
  <c r="I83" i="11"/>
  <c r="I78" i="11"/>
  <c r="I75" i="11"/>
  <c r="H87" i="11"/>
  <c r="J90" i="11"/>
  <c r="H88" i="11"/>
  <c r="H84" i="11"/>
  <c r="H80" i="11"/>
  <c r="J78" i="11"/>
  <c r="H76" i="11"/>
  <c r="J74" i="11"/>
  <c r="H72" i="11"/>
  <c r="I76" i="11"/>
  <c r="I72" i="11"/>
  <c r="I90" i="11"/>
  <c r="I84" i="11"/>
  <c r="J18" i="11"/>
  <c r="I18" i="11"/>
  <c r="K39" i="11" l="1"/>
  <c r="K43" i="11"/>
  <c r="K55" i="11"/>
  <c r="K40" i="11"/>
  <c r="K38" i="11"/>
  <c r="K34" i="11"/>
  <c r="K47" i="11"/>
  <c r="K26" i="11"/>
  <c r="K51" i="11"/>
  <c r="K48" i="11"/>
  <c r="K27" i="11"/>
  <c r="K35" i="11"/>
  <c r="K52" i="11"/>
  <c r="K30" i="11"/>
  <c r="K82" i="11"/>
  <c r="K53" i="11"/>
  <c r="K32" i="11"/>
  <c r="K44" i="11"/>
  <c r="K54" i="11"/>
  <c r="K36" i="11"/>
  <c r="K46" i="11"/>
  <c r="K31" i="11"/>
  <c r="K50" i="11"/>
  <c r="K42" i="11"/>
  <c r="K49" i="11"/>
  <c r="K28" i="11"/>
  <c r="K37" i="11"/>
  <c r="K85" i="11"/>
  <c r="K25" i="11"/>
  <c r="K41" i="11"/>
  <c r="K29" i="11"/>
  <c r="K45" i="11"/>
  <c r="K33" i="11"/>
  <c r="K79" i="11"/>
  <c r="K83" i="11"/>
  <c r="K71" i="11"/>
  <c r="K89" i="11"/>
  <c r="K90" i="11"/>
  <c r="K86" i="11"/>
  <c r="K75" i="11"/>
  <c r="K78" i="11"/>
  <c r="K81" i="11"/>
  <c r="K77" i="11"/>
  <c r="K87" i="11"/>
  <c r="K74" i="11"/>
  <c r="K84" i="11"/>
  <c r="K76" i="11"/>
  <c r="K88" i="11"/>
  <c r="K72" i="11"/>
  <c r="K80" i="11"/>
  <c r="K18" i="11"/>
  <c r="F61" i="11" l="1"/>
  <c r="F60" i="11"/>
  <c r="F59" i="11"/>
  <c r="F58" i="11"/>
  <c r="F57" i="11"/>
  <c r="D56" i="11"/>
  <c r="J56" i="11" s="1"/>
  <c r="E56" i="11"/>
  <c r="G56" i="11"/>
  <c r="D57" i="11"/>
  <c r="J57" i="11" s="1"/>
  <c r="E57" i="11"/>
  <c r="G57" i="11"/>
  <c r="D58" i="11"/>
  <c r="H58" i="11" s="1"/>
  <c r="E58" i="11"/>
  <c r="G58" i="11"/>
  <c r="D59" i="11"/>
  <c r="H59" i="11" s="1"/>
  <c r="E59" i="11"/>
  <c r="G59" i="11"/>
  <c r="D60" i="11"/>
  <c r="J60" i="11" s="1"/>
  <c r="E60" i="11"/>
  <c r="G60" i="11"/>
  <c r="D61" i="11"/>
  <c r="E61" i="11"/>
  <c r="G61" i="11"/>
  <c r="D62" i="11"/>
  <c r="H62" i="11" s="1"/>
  <c r="E62" i="11"/>
  <c r="G62" i="11"/>
  <c r="I56" i="11" l="1"/>
  <c r="I60" i="11"/>
  <c r="J62" i="11"/>
  <c r="I62" i="11"/>
  <c r="H60" i="11"/>
  <c r="I59" i="11"/>
  <c r="J58" i="11"/>
  <c r="H56" i="11"/>
  <c r="I58" i="11"/>
  <c r="J61" i="11"/>
  <c r="I61" i="11"/>
  <c r="I57" i="11"/>
  <c r="H61" i="11"/>
  <c r="J59" i="11"/>
  <c r="H57" i="11"/>
  <c r="F132" i="11"/>
  <c r="F131" i="11"/>
  <c r="F130" i="11"/>
  <c r="F129" i="11"/>
  <c r="F141" i="11"/>
  <c r="F140" i="11"/>
  <c r="F139" i="11"/>
  <c r="F138" i="11"/>
  <c r="F137" i="11"/>
  <c r="F136" i="11"/>
  <c r="F135" i="11"/>
  <c r="K56" i="11" l="1"/>
  <c r="K59" i="11"/>
  <c r="K60" i="11"/>
  <c r="K58" i="11"/>
  <c r="K62" i="11"/>
  <c r="K61" i="11"/>
  <c r="K57" i="11"/>
  <c r="G133" i="11" l="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D133" i="11"/>
  <c r="H133" i="11" s="1"/>
  <c r="E133" i="11"/>
  <c r="D134" i="11"/>
  <c r="J134" i="11" s="1"/>
  <c r="E134" i="11"/>
  <c r="D135" i="11"/>
  <c r="E135" i="11"/>
  <c r="D136" i="11"/>
  <c r="H136" i="11" s="1"/>
  <c r="E136" i="11"/>
  <c r="D137" i="11"/>
  <c r="H137" i="11" s="1"/>
  <c r="E137" i="11"/>
  <c r="D138" i="11"/>
  <c r="J138" i="11" s="1"/>
  <c r="E138" i="11"/>
  <c r="D139" i="11"/>
  <c r="E139" i="11"/>
  <c r="D140" i="11"/>
  <c r="H140" i="11" s="1"/>
  <c r="E140" i="11"/>
  <c r="D141" i="11"/>
  <c r="H141" i="11" s="1"/>
  <c r="E141" i="11"/>
  <c r="D142" i="11"/>
  <c r="J142" i="11" s="1"/>
  <c r="E142" i="11"/>
  <c r="D143" i="11"/>
  <c r="J143" i="11" s="1"/>
  <c r="E143" i="11"/>
  <c r="D144" i="11"/>
  <c r="I144" i="11" s="1"/>
  <c r="E144" i="11"/>
  <c r="D145" i="11"/>
  <c r="H145" i="11" s="1"/>
  <c r="E145" i="11"/>
  <c r="D97" i="11"/>
  <c r="H97" i="11" s="1"/>
  <c r="E97" i="11"/>
  <c r="G97" i="11"/>
  <c r="D98" i="11"/>
  <c r="J98" i="11" s="1"/>
  <c r="E98" i="11"/>
  <c r="G98" i="11"/>
  <c r="F96" i="11"/>
  <c r="I139" i="11" l="1"/>
  <c r="I135" i="11"/>
  <c r="I141" i="11"/>
  <c r="J133" i="11"/>
  <c r="H144" i="11"/>
  <c r="J137" i="11"/>
  <c r="H135" i="11"/>
  <c r="I133" i="11"/>
  <c r="J141" i="11"/>
  <c r="H139" i="11"/>
  <c r="I137" i="11"/>
  <c r="I143" i="11"/>
  <c r="I142" i="11"/>
  <c r="I138" i="11"/>
  <c r="I134" i="11"/>
  <c r="J145" i="11"/>
  <c r="H143" i="11"/>
  <c r="H142" i="11"/>
  <c r="J140" i="11"/>
  <c r="H138" i="11"/>
  <c r="J136" i="11"/>
  <c r="H134" i="11"/>
  <c r="I145" i="11"/>
  <c r="J144" i="11"/>
  <c r="I140" i="11"/>
  <c r="J139" i="11"/>
  <c r="I136" i="11"/>
  <c r="J135" i="11"/>
  <c r="I98" i="11"/>
  <c r="H98" i="11"/>
  <c r="J97" i="11"/>
  <c r="I97" i="11"/>
  <c r="K142" i="11" l="1"/>
  <c r="K137" i="11"/>
  <c r="K139" i="11"/>
  <c r="K136" i="11"/>
  <c r="K145" i="11"/>
  <c r="K134" i="11"/>
  <c r="K143" i="11"/>
  <c r="K141" i="11"/>
  <c r="K140" i="11"/>
  <c r="K135" i="11"/>
  <c r="K133" i="11"/>
  <c r="K144" i="11"/>
  <c r="K138" i="11"/>
  <c r="K97" i="11"/>
  <c r="K98" i="11"/>
  <c r="D95" i="11" l="1"/>
  <c r="E95" i="11"/>
  <c r="G95" i="11"/>
  <c r="J96" i="11"/>
  <c r="D128" i="11"/>
  <c r="D129" i="11"/>
  <c r="D130" i="11"/>
  <c r="D131" i="11"/>
  <c r="D132" i="11"/>
  <c r="D17" i="11"/>
  <c r="J17" i="11" s="1"/>
  <c r="E17" i="11"/>
  <c r="G17" i="11"/>
  <c r="D15" i="11"/>
  <c r="J15" i="11" s="1"/>
  <c r="E15" i="11"/>
  <c r="G15" i="11"/>
  <c r="D16" i="11"/>
  <c r="J16" i="11" s="1"/>
  <c r="E16" i="11"/>
  <c r="G16" i="11"/>
  <c r="H95" i="11" l="1"/>
  <c r="I96" i="11"/>
  <c r="J95" i="11"/>
  <c r="I95" i="11"/>
  <c r="H96" i="11"/>
  <c r="I17" i="11"/>
  <c r="H17" i="11"/>
  <c r="I15" i="11"/>
  <c r="H15" i="11"/>
  <c r="I16" i="11"/>
  <c r="H16" i="11"/>
  <c r="K96" i="11" l="1"/>
  <c r="K95" i="11"/>
  <c r="K17" i="11"/>
  <c r="K15" i="11"/>
  <c r="K16" i="11"/>
  <c r="G6" i="11" l="1"/>
  <c r="E128" i="11"/>
  <c r="G128" i="11"/>
  <c r="J129" i="11"/>
  <c r="E129" i="11"/>
  <c r="G129" i="11"/>
  <c r="J130" i="11"/>
  <c r="E130" i="11"/>
  <c r="G130" i="11"/>
  <c r="E131" i="11"/>
  <c r="G131" i="11"/>
  <c r="H132" i="11"/>
  <c r="E132" i="11"/>
  <c r="G132" i="11"/>
  <c r="D20" i="60"/>
  <c r="H128" i="11" l="1"/>
  <c r="H131" i="11"/>
  <c r="J132" i="11"/>
  <c r="J131" i="11"/>
  <c r="I129" i="11"/>
  <c r="H129" i="11"/>
  <c r="J128" i="11"/>
  <c r="I131" i="11"/>
  <c r="H130" i="11"/>
  <c r="I130" i="11"/>
  <c r="I132" i="11"/>
  <c r="I128" i="11"/>
  <c r="D14" i="11"/>
  <c r="J14" i="11" s="1"/>
  <c r="E14" i="11"/>
  <c r="G14" i="11"/>
  <c r="K19" i="60"/>
  <c r="D19" i="60"/>
  <c r="K129" i="11" l="1"/>
  <c r="K131" i="11"/>
  <c r="K132" i="11"/>
  <c r="K128" i="11"/>
  <c r="K130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46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46" i="11"/>
  <c r="D147" i="11"/>
  <c r="H147" i="11" s="1"/>
  <c r="E147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47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54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4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47" i="11"/>
  <c r="I147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47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49" i="11"/>
  <c r="H150" i="11" s="1"/>
  <c r="I149" i="11"/>
  <c r="I150" i="11" s="1"/>
  <c r="F330" i="29"/>
  <c r="F325" i="29"/>
  <c r="F714" i="41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39" i="29" l="1"/>
  <c r="F337" i="29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51" i="11"/>
  <c r="I151" i="11"/>
  <c r="F364" i="29"/>
  <c r="F69" i="39"/>
  <c r="F72" i="39"/>
  <c r="F367" i="29"/>
  <c r="J146" i="11"/>
  <c r="K146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49" i="11" l="1"/>
  <c r="K150" i="11" s="1"/>
  <c r="K151" i="11" s="1"/>
  <c r="B152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49" i="11"/>
  <c r="J150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51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29" i="41" l="1"/>
  <c r="F827" i="4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<sst xmlns="http://schemas.openxmlformats.org/spreadsheetml/2006/main" count="4816" uniqueCount="1646">
  <si>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</si>
  <si>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</si>
  <si>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</si>
  <si>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</si>
  <si>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</si>
  <si>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</si>
  <si>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</si>
  <si>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</si>
  <si>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</si>
  <si>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</si>
  <si>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</si>
  <si>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</si>
  <si>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</si>
  <si>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</si>
  <si>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</si>
  <si>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</si>
  <si>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</si>
  <si>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</si>
  <si>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</si>
  <si>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</si>
  <si>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</si>
  <si>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</si>
  <si>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</si>
  <si>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</si>
  <si>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</si>
  <si>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</si>
  <si>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</si>
  <si>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</si>
  <si>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</si>
  <si>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</si>
  <si>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</si>
  <si>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</si>
  <si>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</si>
  <si>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</si>
  <si>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</si>
  <si>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</si>
  <si>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</si>
  <si>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</si>
  <si>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</si>
  <si>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</si>
  <si>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</si>
  <si>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</si>
  <si>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</si>
  <si>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</si>
  <si>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</si>
  <si>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</si>
  <si>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</si>
  <si>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</si>
  <si>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</si>
  <si>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</si>
  <si>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</si>
  <si>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</si>
  <si>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</si>
  <si>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</si>
  <si>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</si>
  <si>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</si>
  <si>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</si>
  <si>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</si>
  <si>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</si>
  <si>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</si>
  <si>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</si>
  <si>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</si>
  <si>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</si>
  <si>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</si>
  <si>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</si>
  <si>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</si>
  <si>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</si>
  <si>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</si>
  <si>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</si>
  <si>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</si>
  <si>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</si>
  <si>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</si>
  <si>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</si>
  <si>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</si>
  <si>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</si>
  <si>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</si>
  <si>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</si>
  <si>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</si>
  <si>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</si>
  <si>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</si>
  <si>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</si>
  <si>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</si>
  <si>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</si>
  <si>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</si>
  <si>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</si>
  <si>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</si>
  <si>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</si>
  <si>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</si>
  <si>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</si>
  <si>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</si>
  <si>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</si>
  <si>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</si>
  <si>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</si>
  <si>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</si>
  <si>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</si>
  <si>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</si>
  <si>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</si>
  <si>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</si>
  <si>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</si>
  <si>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</si>
  <si>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</si>
  <si>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</si>
  <si>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</si>
  <si>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</si>
  <si>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</si>
  <si>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</si>
  <si>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</si>
  <si>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</si>
  <si>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</si>
  <si>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</si>
  <si>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</si>
  <si>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</si>
  <si>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</si>
  <si>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</si>
  <si>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</si>
  <si>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</si>
  <si>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</si>
  <si>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</si>
  <si>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</si>
  <si>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</si>
  <si>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</si>
  <si>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</si>
  <si>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</si>
  <si>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</si>
  <si>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</si>
  <si>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</si>
  <si>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</si>
  <si>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</si>
  <si>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</si>
  <si>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</si>
  <si>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</si>
  <si>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</si>
  <si>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</si>
  <si>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</si>
  <si>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</si>
  <si>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</si>
  <si>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</si>
  <si>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</si>
  <si>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</si>
  <si>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</si>
  <si>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</si>
  <si>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</si>
  <si>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</si>
  <si>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</si>
  <si>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</si>
  <si>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</si>
  <si>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</si>
  <si>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</si>
  <si>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</si>
  <si>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</si>
  <si>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</si>
  <si>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</si>
  <si>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</si>
  <si>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</si>
  <si>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</si>
  <si>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</si>
  <si>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</si>
  <si>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</si>
  <si>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</si>
  <si>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</si>
  <si>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</si>
  <si>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</si>
  <si>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</si>
  <si>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</si>
  <si>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</si>
  <si>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</si>
  <si>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</si>
  <si>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</si>
  <si>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</si>
  <si>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</si>
  <si>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</si>
  <si>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</si>
  <si>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</si>
  <si>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</si>
  <si>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</si>
  <si>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</si>
  <si>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</si>
  <si>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</si>
  <si>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</si>
  <si>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</si>
  <si>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</si>
  <si>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</si>
  <si>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</si>
  <si>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</si>
  <si>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</si>
  <si>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</si>
  <si>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</si>
  <si>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</si>
  <si>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</si>
  <si>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</si>
  <si>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</si>
  <si>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</si>
  <si>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</si>
  <si>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</si>
  <si>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</si>
  <si>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</si>
  <si>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</si>
  <si>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</si>
  <si>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</si>
  <si>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</si>
  <si>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</si>
  <si>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</si>
  <si>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</si>
  <si>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</si>
  <si>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</si>
  <si>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</si>
  <si>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</si>
  <si>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</si>
  <si>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</si>
  <si>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</si>
  <si>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</si>
  <si>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</si>
  <si>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</si>
  <si>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</si>
  <si>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</si>
  <si>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</si>
  <si>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</si>
  <si>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</si>
  <si>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</si>
  <si>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</si>
  <si>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</si>
  <si>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</si>
  <si>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</si>
  <si>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</si>
  <si>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</si>
  <si>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</si>
  <si>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</si>
  <si>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</si>
  <si>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</si>
  <si>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</si>
  <si>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</si>
  <si>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</si>
  <si>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</si>
  <si>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</si>
  <si>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</si>
  <si>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</si>
  <si>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</si>
  <si>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</si>
  <si>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</si>
  <si>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</si>
  <si>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</si>
  <si>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</si>
  <si>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</si>
  <si>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</si>
  <si>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</si>
  <si>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</si>
  <si>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</si>
  <si>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</si>
  <si>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</si>
  <si>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</si>
  <si>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</si>
  <si>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</si>
  <si>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</si>
  <si>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</si>
  <si>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</si>
  <si>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</si>
  <si>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</si>
  <si>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</si>
  <si>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</si>
  <si>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</si>
  <si>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</si>
  <si>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</si>
  <si>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</si>
  <si>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</si>
  <si>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</si>
  <si>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</si>
  <si>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</si>
  <si>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</si>
  <si>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</si>
  <si>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</si>
  <si>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</si>
  <si>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</si>
  <si>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</si>
  <si>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</si>
  <si>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</si>
  <si>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</si>
  <si>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</si>
  <si>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</si>
  <si>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</si>
  <si>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</si>
  <si>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</si>
  <si>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</si>
  <si>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</si>
  <si>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</si>
  <si>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</si>
  <si>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</si>
  <si>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</si>
  <si>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</si>
  <si>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</si>
  <si>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</si>
  <si>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</si>
  <si>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</si>
  <si>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</si>
  <si>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</si>
  <si>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</si>
  <si>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</si>
  <si>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</si>
  <si>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</si>
  <si>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</si>
  <si>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</si>
  <si>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</si>
  <si>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</si>
  <si>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</si>
  <si>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</si>
  <si>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</si>
  <si>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</si>
  <si>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</si>
  <si>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</si>
  <si>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</si>
  <si>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</si>
  <si>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</si>
  <si>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</si>
  <si>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</si>
  <si>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</si>
  <si>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</si>
  <si>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</si>
  <si>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</si>
  <si>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</si>
  <si>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</si>
  <si>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</si>
  <si>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</si>
  <si>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</si>
  <si>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</si>
  <si>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</si>
  <si>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</si>
  <si>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</si>
  <si>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</si>
  <si>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</si>
  <si>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</si>
  <si>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</si>
  <si>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</si>
  <si>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</si>
  <si>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</si>
  <si>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</si>
  <si>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</si>
  <si>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</si>
  <si>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</si>
  <si>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</si>
  <si>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</si>
  <si>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</si>
  <si>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</si>
  <si>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</si>
  <si>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</si>
  <si>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</si>
  <si>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</si>
  <si>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</si>
  <si>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</si>
  <si>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</si>
  <si>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</si>
  <si>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</si>
  <si>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</si>
  <si>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</si>
  <si>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</si>
  <si>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</si>
  <si>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</si>
  <si>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</si>
  <si>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</si>
  <si>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</si>
  <si>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</si>
  <si>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</si>
  <si>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</si>
  <si>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</si>
  <si>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</si>
  <si>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</si>
  <si>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</si>
  <si>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</si>
  <si>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</si>
  <si>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</si>
  <si>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</si>
  <si>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</si>
  <si>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</si>
  <si>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</si>
  <si>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</si>
  <si>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</si>
  <si>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</si>
  <si>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</si>
  <si>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</si>
  <si>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</si>
  <si>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</si>
  <si>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</si>
  <si>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</si>
  <si>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</si>
  <si>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</si>
  <si>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</si>
  <si>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</si>
  <si>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</si>
  <si>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</si>
  <si>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</si>
  <si>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</si>
  <si>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</si>
  <si>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</si>
  <si>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</si>
  <si>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</si>
  <si>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</si>
  <si>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</si>
  <si>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</si>
  <si>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</si>
  <si>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</si>
  <si>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</si>
  <si>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</si>
  <si>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</si>
  <si>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</si>
  <si>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</si>
  <si>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</si>
  <si>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</si>
  <si>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</si>
  <si>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</si>
  <si>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</si>
  <si>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</si>
  <si>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</si>
  <si>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</si>
  <si>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</si>
  <si>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</si>
  <si>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</si>
  <si>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</si>
  <si>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</si>
  <si>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</si>
  <si>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</si>
  <si>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</si>
  <si>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</si>
  <si>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</si>
  <si>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</si>
  <si>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</si>
  <si>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</si>
  <si>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</si>
  <si>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</si>
  <si>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</si>
  <si>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</si>
  <si>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</si>
  <si>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</si>
  <si>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</si>
  <si>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</si>
  <si>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</si>
  <si>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</si>
  <si>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</si>
  <si>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</si>
  <si>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</si>
  <si>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</si>
  <si>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</si>
  <si>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</si>
  <si>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</si>
  <si>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</si>
  <si>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</si>
  <si>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</si>
  <si>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</si>
  <si>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</si>
  <si>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</si>
  <si>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</si>
  <si>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</si>
  <si>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</si>
  <si>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</si>
  <si>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</si>
  <si>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</si>
  <si>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</si>
  <si>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</si>
  <si>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</si>
  <si>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</si>
  <si>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</si>
  <si>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</si>
  <si>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</si>
  <si>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</si>
  <si>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</si>
  <si>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</si>
  <si>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</si>
  <si>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</si>
  <si>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</si>
  <si>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</si>
  <si>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</si>
  <si>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</si>
  <si>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</si>
  <si>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</si>
  <si>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</si>
  <si>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</si>
  <si>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</si>
  <si>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</si>
  <si>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</si>
  <si>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</si>
  <si>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</si>
  <si>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</si>
  <si>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</si>
  <si>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</si>
  <si>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</si>
  <si>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</si>
  <si>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</si>
  <si>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</si>
  <si>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</si>
  <si>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</si>
  <si>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</si>
  <si>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</si>
  <si>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</si>
  <si>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</si>
  <si>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</si>
  <si>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</si>
  <si>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</si>
  <si>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</si>
  <si>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</si>
  <si>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</si>
  <si>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</si>
  <si>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</si>
  <si>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</si>
  <si>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</si>
  <si>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</si>
  <si>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</si>
  <si>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</si>
  <si>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</si>
  <si>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</si>
  <si>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</si>
  <si>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</si>
  <si>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</si>
  <si>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</si>
  <si>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</si>
  <si>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</si>
  <si>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</si>
  <si>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</si>
  <si>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</si>
  <si>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</si>
  <si>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</si>
  <si>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</si>
  <si>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</si>
  <si>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</si>
  <si>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</si>
  <si>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</si>
  <si>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</si>
  <si>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</si>
  <si>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</si>
  <si>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</si>
  <si>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</si>
  <si>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</si>
  <si>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</si>
  <si>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</si>
  <si>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</si>
  <si>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</si>
  <si>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</si>
  <si>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</si>
  <si>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</si>
  <si>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</si>
  <si>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</si>
  <si>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</si>
  <si>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</si>
  <si>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</si>
  <si>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</si>
  <si>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</si>
  <si>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</si>
  <si>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</si>
  <si>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</si>
  <si>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</si>
  <si>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</si>
  <si>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</si>
  <si>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</si>
  <si>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</si>
  <si>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</si>
  <si>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</si>
  <si>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</si>
  <si>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</si>
  <si>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</si>
  <si>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</si>
  <si>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</si>
  <si>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</si>
  <si>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</si>
  <si>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</si>
  <si>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</si>
  <si>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</si>
  <si>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</si>
  <si>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</si>
  <si>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</si>
  <si>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</si>
  <si>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</si>
  <si>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</si>
  <si>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</si>
  <si>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</si>
  <si>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</si>
  <si>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</si>
  <si>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</si>
  <si>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</si>
  <si>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</si>
  <si>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</si>
  <si>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</si>
  <si>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</si>
  <si>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</si>
  <si>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</si>
  <si>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</si>
  <si>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</si>
  <si>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</si>
  <si>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</si>
  <si>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</si>
  <si>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</si>
  <si>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</si>
  <si>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</si>
  <si>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</si>
  <si>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</si>
  <si>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</si>
  <si>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</si>
  <si>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</si>
  <si>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</si>
  <si>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</si>
  <si>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</si>
  <si>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</si>
  <si>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</si>
  <si>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</si>
  <si>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</si>
  <si>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</si>
  <si>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</si>
  <si>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</si>
  <si>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</si>
  <si>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</si>
  <si>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</si>
  <si>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</si>
  <si>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</si>
  <si>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</si>
  <si>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</si>
  <si>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</si>
  <si>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</si>
  <si>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</si>
  <si>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</si>
  <si>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</si>
  <si>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</si>
  <si>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</si>
  <si>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</si>
  <si>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</si>
  <si>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</si>
  <si>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</si>
  <si>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</si>
  <si>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</si>
  <si>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</si>
  <si>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</si>
  <si>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</si>
  <si>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</si>
  <si>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</si>
  <si>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</si>
  <si>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</si>
  <si>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</si>
  <si>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</si>
  <si>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</si>
  <si>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</si>
  <si>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</si>
  <si>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</si>
  <si>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</si>
  <si>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</si>
  <si>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</si>
  <si>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</si>
  <si>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</si>
  <si>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</si>
  <si>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</si>
  <si>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</si>
  <si>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</si>
  <si>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</si>
  <si>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</si>
  <si>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</si>
  <si>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</si>
  <si>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</si>
  <si>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</si>
  <si>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</si>
  <si>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</si>
  <si>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</si>
  <si>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</si>
  <si>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</si>
  <si>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</si>
  <si>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</si>
  <si>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</si>
  <si>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</si>
  <si>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</si>
  <si>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</si>
  <si>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</si>
  <si>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</si>
  <si>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</si>
  <si>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</si>
  <si>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</si>
  <si>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</si>
  <si>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</si>
  <si>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</si>
  <si>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</si>
  <si>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</si>
  <si>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</si>
  <si>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</si>
  <si>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</si>
  <si>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</si>
  <si>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</si>
  <si>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</si>
  <si>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</si>
  <si>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</si>
  <si>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</si>
  <si>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</si>
  <si>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</si>
  <si>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</si>
  <si>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</si>
  <si>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</si>
  <si>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</si>
  <si>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</si>
  <si>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</si>
  <si>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</si>
  <si>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</si>
  <si>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</si>
  <si>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</si>
  <si>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</si>
  <si>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</si>
  <si>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</si>
  <si>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</si>
  <si>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</si>
  <si>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</si>
  <si>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</si>
  <si>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</si>
  <si>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</si>
  <si>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</si>
  <si>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</si>
  <si>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</si>
  <si>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</si>
  <si>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</si>
  <si>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</si>
  <si>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</si>
  <si>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</si>
  <si>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</si>
  <si>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</si>
  <si>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</si>
  <si>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</si>
  <si>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</si>
  <si>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</si>
  <si>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</si>
  <si>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</si>
  <si>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</si>
  <si>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</si>
  <si>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</si>
  <si>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</si>
  <si>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</si>
  <si>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</si>
  <si>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</si>
  <si>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</si>
  <si>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</si>
  <si>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</si>
  <si>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</si>
  <si>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</si>
  <si>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</si>
  <si>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</si>
  <si>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</si>
  <si>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</si>
  <si>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</si>
  <si>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</si>
  <si>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</si>
  <si>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</si>
  <si>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</si>
  <si>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</si>
  <si>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</si>
  <si>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</si>
  <si>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</si>
  <si>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</si>
  <si>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</si>
  <si>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</si>
  <si>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</si>
  <si>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</si>
  <si>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</si>
  <si>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</si>
  <si>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</si>
  <si>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</si>
  <si>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</si>
  <si>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</si>
  <si>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</si>
  <si>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</si>
  <si>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</si>
  <si>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</si>
  <si>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</si>
  <si>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</si>
  <si>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</si>
  <si>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</si>
  <si>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</si>
  <si>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</si>
  <si>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</si>
  <si>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</si>
  <si>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</si>
  <si>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</si>
  <si>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</si>
  <si>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</si>
  <si>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</si>
  <si>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</si>
  <si>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</si>
  <si>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</si>
  <si>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</si>
  <si>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</si>
  <si>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</si>
  <si>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</si>
  <si>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</si>
  <si>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</si>
  <si>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</si>
  <si>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</si>
  <si>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</si>
  <si>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</si>
  <si>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</si>
  <si>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</si>
  <si>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</si>
  <si>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</si>
  <si>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</si>
  <si>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</si>
  <si>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</si>
  <si>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</si>
  <si>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</si>
  <si>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</si>
  <si>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</si>
  <si>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</si>
  <si>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</si>
  <si>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</si>
  <si>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</si>
  <si>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</si>
  <si>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</si>
  <si>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</si>
  <si>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</si>
  <si>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</si>
  <si>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</si>
  <si>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</si>
  <si>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</si>
  <si>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</si>
  <si>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</si>
  <si>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</si>
  <si>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</si>
  <si>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</si>
  <si>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</si>
  <si>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</si>
  <si>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</si>
  <si>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</si>
  <si>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</si>
  <si>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</si>
  <si>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</si>
  <si>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</si>
  <si>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</si>
  <si>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</si>
  <si>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</si>
  <si>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</si>
  <si>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</si>
  <si>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</si>
  <si>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</si>
  <si>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</si>
  <si>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</si>
  <si>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</si>
  <si>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</si>
  <si>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</si>
  <si>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</si>
  <si>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</si>
  <si>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</si>
  <si>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</si>
  <si>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</si>
  <si>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</si>
  <si>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</si>
  <si>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</si>
  <si>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</si>
  <si>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</si>
  <si>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</si>
  <si>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</si>
  <si>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</si>
  <si>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</si>
  <si>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</si>
  <si>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</si>
  <si>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</si>
  <si>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</si>
  <si>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</si>
  <si>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</si>
  <si>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</si>
  <si>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</si>
  <si>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</si>
  <si>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</si>
  <si>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</si>
  <si>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</si>
  <si>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</si>
  <si>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</si>
  <si>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</si>
  <si>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</si>
  <si>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</si>
  <si>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</si>
  <si>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</si>
  <si>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</si>
  <si>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</si>
  <si>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</si>
  <si>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</si>
  <si>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</si>
  <si>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</si>
  <si>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</si>
  <si>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</si>
  <si>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</si>
  <si>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</si>
  <si>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</si>
  <si>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</si>
  <si>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</si>
  <si>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</si>
  <si>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</si>
  <si>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</si>
  <si>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</si>
  <si>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</si>
  <si>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</si>
  <si>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</si>
  <si>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</si>
  <si>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</si>
  <si>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</si>
  <si>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</si>
  <si>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</si>
  <si>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</si>
  <si>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</si>
  <si>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</si>
  <si>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</si>
  <si>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</si>
  <si>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</si>
  <si>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</si>
  <si>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</si>
  <si>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</si>
  <si>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</si>
  <si>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</si>
  <si>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</si>
  <si>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</si>
  <si>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</si>
  <si>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</si>
  <si>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</si>
  <si>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</si>
  <si>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</si>
  <si>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</si>
  <si>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</si>
  <si>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</si>
  <si>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</si>
  <si>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</si>
  <si>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</si>
  <si>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</si>
  <si>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</si>
  <si>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</si>
  <si>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</si>
  <si>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</si>
  <si>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</si>
  <si>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</si>
  <si>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</si>
  <si>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</si>
  <si>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</si>
  <si>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</si>
  <si>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</si>
  <si>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</si>
  <si>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</si>
  <si>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</si>
  <si>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</si>
  <si>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</si>
  <si>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</si>
  <si>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</si>
  <si>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</si>
  <si>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</si>
  <si>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</si>
  <si>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</si>
  <si>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</si>
  <si>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</si>
  <si>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</si>
  <si>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</si>
  <si>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</si>
  <si>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</si>
  <si>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</si>
  <si>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</si>
  <si>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</si>
  <si>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</si>
  <si>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</si>
  <si>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</si>
  <si>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</si>
  <si>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</si>
  <si>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</si>
  <si>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</si>
  <si>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</si>
  <si>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</si>
  <si>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</si>
  <si>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</si>
  <si>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</si>
  <si>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</si>
  <si>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</si>
  <si>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</si>
  <si>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</si>
  <si>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</si>
  <si>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</si>
  <si>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</si>
  <si>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</si>
  <si>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</si>
  <si>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</si>
  <si>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</si>
  <si>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</si>
  <si>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</si>
  <si>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</si>
  <si>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</si>
  <si>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</si>
  <si>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</si>
  <si>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</si>
  <si>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</si>
  <si>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</si>
  <si>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</si>
  <si>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</si>
  <si>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</si>
  <si>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</si>
  <si>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</si>
  <si>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</si>
  <si>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</si>
  <si>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</si>
  <si>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</si>
  <si>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</si>
  <si>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</si>
  <si>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</si>
  <si>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</si>
  <si>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</si>
  <si>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</si>
  <si>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</si>
  <si>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</si>
  <si>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</si>
  <si>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</si>
  <si>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</si>
  <si>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</si>
  <si>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</si>
  <si>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</si>
  <si>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</si>
  <si>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</si>
  <si>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</si>
  <si>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</si>
  <si>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</si>
  <si>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</si>
  <si>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</si>
  <si>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</si>
  <si>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</si>
  <si>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</si>
  <si>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</si>
  <si>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</si>
  <si>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</si>
  <si>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</si>
  <si>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</si>
  <si>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</si>
  <si>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</si>
  <si>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</si>
  <si>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</si>
  <si>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</si>
  <si>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</si>
  <si>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</si>
  <si>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</si>
  <si>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</si>
  <si>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</si>
  <si>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</si>
  <si>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</si>
  <si>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</si>
  <si>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</si>
  <si>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</si>
  <si>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</si>
  <si>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</si>
  <si>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</si>
  <si>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</si>
  <si>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</si>
  <si>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</si>
  <si>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</si>
  <si>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</si>
  <si>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</si>
  <si>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</si>
  <si>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</si>
  <si>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</si>
  <si>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</si>
  <si>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</si>
  <si>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</si>
  <si>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</si>
  <si>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</si>
  <si>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</si>
  <si>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</si>
  <si>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</si>
  <si>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</si>
  <si>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</si>
  <si>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</si>
  <si>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</si>
  <si>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</si>
  <si>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</si>
  <si>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</si>
  <si>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</si>
  <si>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</si>
  <si>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</si>
  <si>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</si>
  <si>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</si>
  <si>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</si>
  <si>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</si>
  <si>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</si>
  <si>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</si>
  <si>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</si>
  <si>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</si>
  <si>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</si>
  <si>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</si>
  <si>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</si>
  <si>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</si>
  <si>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</si>
  <si>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</si>
  <si>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</si>
  <si>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</si>
  <si>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</si>
  <si>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</si>
  <si>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</si>
  <si>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</si>
  <si>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</si>
  <si>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</si>
  <si>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</si>
  <si>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</si>
  <si>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</si>
  <si>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</si>
  <si>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</si>
  <si>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</si>
  <si>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</si>
  <si>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</si>
  <si>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</si>
  <si>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</si>
  <si>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</si>
  <si>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</si>
  <si>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</si>
  <si>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</si>
  <si>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</si>
  <si>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</si>
  <si>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</si>
  <si>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</si>
  <si>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</si>
  <si>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</si>
  <si>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</si>
  <si>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</si>
  <si>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</si>
  <si>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</si>
  <si>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</si>
  <si>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</si>
  <si>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</si>
  <si>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</si>
  <si>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</si>
  <si>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</si>
  <si>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</si>
  <si>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</si>
  <si>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</si>
  <si>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</si>
  <si>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</si>
  <si>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</si>
  <si>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</si>
  <si>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</si>
  <si>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</si>
  <si>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</si>
  <si>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</si>
  <si>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</si>
  <si>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</si>
  <si>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</si>
  <si>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</si>
  <si>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</si>
  <si>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</si>
  <si>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</si>
  <si>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</si>
  <si>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</si>
  <si>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</si>
  <si>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</si>
  <si>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</si>
  <si>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</si>
  <si>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</si>
  <si>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</si>
  <si>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</si>
  <si>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</si>
  <si>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</si>
  <si>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</si>
  <si>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</si>
  <si>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</si>
  <si>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</si>
  <si>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</si>
  <si>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</si>
  <si>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</si>
  <si>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</si>
  <si>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</si>
  <si>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</si>
  <si>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</si>
  <si>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</si>
  <si>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</si>
  <si>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</si>
  <si>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</si>
  <si>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</si>
  <si>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</si>
  <si>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</si>
  <si>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</si>
  <si>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</si>
  <si>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</si>
  <si>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</si>
  <si>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</si>
  <si>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</si>
  <si>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</si>
  <si>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</si>
  <si>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</si>
  <si>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</si>
  <si>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</si>
  <si>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</si>
  <si>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</si>
  <si>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</si>
  <si>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</si>
  <si>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</si>
  <si>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</si>
  <si>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</si>
  <si>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</si>
  <si>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</si>
  <si>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</si>
  <si>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</si>
  <si>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</si>
  <si>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</si>
  <si>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</si>
  <si>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</si>
  <si>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</si>
  <si>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</si>
  <si>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</si>
  <si>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</si>
  <si>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</si>
  <si>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</si>
  <si>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</si>
  <si>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</si>
  <si>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</si>
  <si>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</si>
  <si>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</si>
  <si>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</si>
  <si>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</si>
  <si>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</si>
  <si>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</si>
  <si>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</si>
  <si>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</si>
  <si>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</si>
  <si>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</si>
  <si>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</si>
  <si>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</si>
  <si>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</si>
  <si>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</si>
  <si>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</si>
  <si>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</si>
  <si>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</si>
  <si>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</si>
  <si>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</si>
  <si>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</si>
  <si>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</si>
  <si>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</si>
  <si>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</si>
  <si>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</si>
  <si>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</si>
  <si>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</si>
  <si>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</si>
  <si>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</si>
  <si>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</si>
  <si>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</si>
  <si>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</si>
  <si>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</si>
  <si>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</si>
  <si>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</si>
  <si>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</si>
  <si>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</si>
  <si>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</si>
  <si>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</si>
  <si>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</si>
  <si>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</si>
  <si>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</si>
  <si>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</si>
  <si>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</si>
  <si>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</si>
  <si>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</si>
  <si>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</si>
  <si>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</si>
  <si>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</si>
  <si>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</si>
  <si>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</si>
  <si>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</si>
  <si>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</si>
  <si>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</si>
  <si>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</si>
  <si>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</si>
  <si>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</si>
  <si>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</si>
  <si>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</si>
  <si>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</si>
  <si>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</si>
  <si>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</si>
  <si>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</si>
  <si>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</si>
  <si>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</si>
  <si>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</si>
  <si>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</si>
  <si>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</si>
  <si>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</si>
  <si>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</si>
  <si>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</si>
  <si>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</si>
  <si>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</si>
  <si>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</si>
  <si>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</si>
  <si>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</si>
  <si>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</si>
  <si>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</si>
  <si>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</si>
  <si>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</si>
  <si>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</si>
  <si>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</si>
  <si>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</si>
  <si>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</si>
  <si>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</si>
  <si>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</si>
  <si>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</si>
  <si>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</si>
  <si>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</si>
  <si>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</si>
  <si>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</si>
  <si>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</si>
  <si>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</si>
  <si>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</si>
  <si>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</si>
  <si>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</si>
  <si>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</si>
  <si>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</si>
  <si>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</si>
  <si>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</si>
  <si>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</si>
  <si>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</si>
  <si>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</si>
  <si>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</si>
  <si>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</si>
  <si>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</si>
  <si>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</si>
  <si>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</si>
  <si>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</si>
  <si>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</si>
  <si>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</si>
  <si>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</si>
  <si>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</si>
  <si>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</si>
  <si>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</si>
  <si>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</si>
  <si>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</si>
  <si>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</si>
  <si>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</si>
  <si>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</si>
  <si>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</si>
  <si>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</si>
  <si>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</si>
  <si>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</si>
  <si>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</si>
  <si>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</si>
  <si>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</si>
  <si>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</si>
  <si>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</si>
  <si>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</si>
  <si>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</si>
  <si>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</si>
  <si>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</si>
  <si>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</si>
  <si>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</si>
  <si>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</si>
  <si>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</si>
  <si>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</si>
  <si>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</si>
  <si>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</si>
  <si>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</si>
  <si>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</si>
  <si>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</si>
  <si>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</si>
  <si>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</si>
  <si>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</si>
  <si>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</si>
  <si>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</si>
  <si>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</si>
  <si>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</si>
  <si>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</si>
  <si>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</si>
  <si>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</si>
  <si>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</si>
  <si>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</si>
  <si>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</si>
  <si>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</si>
  <si>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</si>
  <si>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</si>
  <si>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</si>
  <si>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</si>
  <si>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</si>
  <si>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</si>
  <si>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</si>
  <si>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</si>
  <si>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</si>
  <si>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</si>
  <si>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</si>
  <si>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</si>
  <si>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</si>
  <si>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</si>
  <si>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</si>
  <si>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</si>
  <si>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</si>
  <si>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</si>
  <si>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</si>
  <si>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</si>
  <si>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</si>
  <si>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</si>
  <si>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</si>
  <si>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</si>
  <si>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</si>
  <si>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</si>
  <si>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</si>
  <si>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</si>
  <si>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</si>
  <si>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</si>
  <si>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</si>
  <si>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</si>
  <si>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</si>
  <si>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</si>
  <si>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</si>
  <si>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</si>
  <si>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</si>
  <si>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</si>
  <si>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</si>
  <si>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</si>
  <si>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</si>
  <si>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</si>
  <si>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</si>
  <si>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</si>
  <si>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</si>
  <si>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</si>
  <si>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</si>
  <si>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</si>
  <si>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</si>
  <si>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</si>
  <si>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</si>
  <si>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</si>
  <si>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</si>
  <si>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</si>
  <si>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</si>
  <si>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</si>
  <si>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</si>
  <si>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</si>
  <si>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</si>
  <si>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</si>
  <si>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</si>
  <si>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</si>
  <si>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</si>
  <si>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</si>
  <si>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</si>
  <si>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</si>
  <si>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</si>
  <si>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</si>
  <si>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</si>
  <si>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</si>
  <si>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</si>
  <si>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</si>
  <si>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</si>
  <si>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</si>
  <si>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</si>
  <si>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</si>
  <si>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</si>
  <si>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</si>
  <si>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</si>
  <si>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</si>
  <si>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</si>
  <si>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</si>
  <si>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</si>
  <si>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</si>
  <si>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</si>
  <si>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</si>
  <si>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</si>
  <si>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</si>
  <si>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</si>
  <si>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</si>
  <si>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</si>
  <si>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</si>
  <si>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</si>
  <si>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</si>
  <si>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</si>
  <si>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</si>
  <si>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</si>
  <si>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</si>
  <si>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</si>
  <si>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</si>
  <si>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</si>
  <si>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</si>
  <si>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</si>
  <si>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</si>
  <si>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</si>
  <si>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</si>
  <si>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</si>
  <si>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</si>
  <si>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</si>
  <si>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</si>
  <si>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</si>
  <si>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</si>
  <si>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</si>
  <si>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</si>
  <si>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</si>
  <si>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</si>
  <si>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</si>
  <si>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</si>
  <si>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</si>
  <si>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</si>
  <si>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</si>
  <si>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</si>
  <si>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</si>
  <si>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</si>
  <si>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</si>
  <si>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</si>
  <si>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</si>
  <si>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</si>
  <si>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</si>
  <si>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</si>
  <si>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</si>
  <si>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</si>
  <si>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</si>
  <si>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</si>
  <si>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</si>
  <si>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</si>
  <si>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</si>
  <si>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</si>
  <si>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</si>
  <si>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</si>
  <si>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</si>
  <si>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</si>
  <si>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</si>
  <si>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</si>
  <si>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</si>
  <si>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</si>
  <si>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</si>
  <si>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</si>
  <si>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</si>
  <si>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</si>
  <si>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</si>
  <si>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</si>
  <si>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</si>
  <si>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</si>
  <si>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</si>
  <si>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</si>
  <si>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</si>
  <si>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</si>
  <si>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</si>
  <si>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</si>
  <si>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</si>
  <si>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</si>
  <si>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</si>
  <si>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</si>
  <si>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</si>
  <si>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</si>
  <si>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</si>
  <si>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</si>
  <si>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</si>
  <si>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</si>
  <si>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</si>
  <si>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</si>
  <si>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</si>
  <si>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</si>
  <si>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</si>
  <si>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</si>
  <si>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</si>
  <si>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</si>
  <si>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</si>
  <si>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</si>
  <si>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</si>
  <si>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</si>
  <si>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</si>
  <si>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</si>
  <si>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</si>
  <si>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</si>
  <si>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</si>
  <si>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</si>
  <si>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</si>
  <si>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</si>
  <si>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</si>
  <si>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</si>
  <si>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</si>
  <si>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</si>
  <si>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</si>
  <si>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</si>
  <si>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</si>
  <si>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</si>
  <si>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</si>
  <si>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</si>
  <si>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</si>
  <si>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</si>
  <si>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</si>
  <si>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</si>
  <si>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</si>
  <si>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</si>
  <si>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</si>
  <si>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</si>
  <si>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</si>
  <si>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</si>
  <si>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</si>
  <si>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</si>
  <si>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</si>
  <si>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</si>
  <si>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</si>
  <si>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</si>
  <si>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</si>
  <si>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</si>
  <si>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</si>
  <si>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</si>
  <si>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</si>
  <si>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</si>
  <si>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</si>
  <si>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</si>
  <si>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</si>
  <si>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</si>
  <si>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</si>
  <si>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</si>
  <si>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</si>
  <si>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</si>
  <si>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</si>
  <si>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</si>
  <si>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</si>
  <si>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</si>
  <si>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</si>
  <si>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</si>
  <si>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</si>
  <si>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</si>
  <si>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</si>
  <si>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</si>
  <si>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</si>
  <si>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</si>
  <si>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</si>
  <si>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</si>
  <si>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</si>
  <si>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</si>
  <si>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</si>
  <si>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</si>
  <si>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</si>
  <si>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</si>
  <si>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</si>
  <si>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</si>
  <si>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</si>
  <si>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</si>
  <si>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</si>
  <si>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</si>
  <si>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</si>
  <si>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</si>
  <si>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</si>
  <si>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</si>
  <si>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</si>
  <si>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</si>
  <si>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</si>
  <si>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</si>
  <si>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</si>
  <si>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</si>
  <si>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</si>
  <si>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>CM2-11M</t>
  </si>
  <si>
    <t xml:space="preserve">Pemasangan APP </t>
  </si>
  <si>
    <t>CJ6-T</t>
  </si>
  <si>
    <t>KONDUKTOR</t>
  </si>
  <si>
    <t>Pemasangan APP 1 Fasa Di Bangunan</t>
  </si>
  <si>
    <t>Daya 11.000 VA</t>
  </si>
  <si>
    <t>CJ5-T</t>
  </si>
  <si>
    <t>CG105</t>
  </si>
  <si>
    <t>B2</t>
  </si>
  <si>
    <t>CA1</t>
  </si>
  <si>
    <t xml:space="preserve"> </t>
  </si>
  <si>
    <t>CE1-3</t>
  </si>
  <si>
    <t>F1-3</t>
  </si>
  <si>
    <t>CM2-12A</t>
  </si>
  <si>
    <t>SCHOOR</t>
  </si>
  <si>
    <t>KOORDINAT : -6.941010, 110.756922</t>
  </si>
  <si>
    <t>CA5</t>
  </si>
  <si>
    <t>C12-200</t>
  </si>
  <si>
    <t>C12-350</t>
  </si>
  <si>
    <t>CM2-12</t>
  </si>
  <si>
    <t>KONSTRUKSI JARINGAN 1 PHASE</t>
  </si>
  <si>
    <t>KONTRUKSI JTR</t>
  </si>
  <si>
    <t>Trafo 1 Fasa CSP 50 KVA (G105, G106, G136)</t>
  </si>
  <si>
    <t xml:space="preserve">Jumper Wire : </t>
  </si>
  <si>
    <t>Stainless Steel Strap 20 X 0.7 mm</t>
  </si>
  <si>
    <t>IOH GEMPOL DENOK</t>
  </si>
  <si>
    <t>DS GEMPOLDENOK KEC. DEMPET</t>
  </si>
  <si>
    <t>MJ6-T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</si>
</sst>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43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43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168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8" fillId="0" borderId="0" applyFont="0" applyFill="0" applyBorder="0" applyAlignment="0" applyProtection="0"/>
    <xf numFmtId="184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204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5" fontId="37" fillId="0" borderId="3"/>
    <xf numFmtId="185" fontId="23" fillId="0" borderId="3"/>
    <xf numFmtId="42" fontId="24" fillId="0" borderId="0" applyFont="0" applyFill="0" applyBorder="0" applyAlignment="0" applyProtection="0"/>
    <xf numFmtId="42" fontId="49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71" fillId="0" borderId="0" applyFont="0" applyFill="0" applyBorder="0" applyAlignment="0" applyProtection="0"/>
    <xf numFmtId="187" fontId="73" fillId="0" borderId="0">
      <protection locked="0"/>
    </xf>
    <xf numFmtId="14" fontId="65" fillId="0" borderId="0" applyFill="0" applyBorder="0" applyAlignment="0"/>
    <xf numFmtId="188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89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0" fontId="78" fillId="0" borderId="0">
      <protection locked="0"/>
    </xf>
    <xf numFmtId="190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1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2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23" fillId="0" borderId="0"/>
    <xf numFmtId="192" fontId="37" fillId="0" borderId="0"/>
    <xf numFmtId="171" fontId="84" fillId="0" borderId="0"/>
    <xf numFmtId="171" fontId="85" fillId="0" borderId="0"/>
    <xf numFmtId="171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3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1" fontId="85" fillId="0" borderId="0"/>
    <xf numFmtId="0" fontId="85" fillId="0" borderId="0"/>
    <xf numFmtId="194" fontId="85" fillId="0" borderId="0"/>
    <xf numFmtId="195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4" fontId="85" fillId="0" borderId="0"/>
    <xf numFmtId="0" fontId="85" fillId="0" borderId="0"/>
    <xf numFmtId="0" fontId="37" fillId="0" borderId="0"/>
    <xf numFmtId="0" fontId="23" fillId="0" borderId="0"/>
    <xf numFmtId="181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7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6" fontId="85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3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3" fontId="44" fillId="0" borderId="0"/>
    <xf numFmtId="193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5" fontId="37" fillId="0" borderId="0" applyFont="0" applyFill="0" applyBorder="0" applyAlignment="0" applyProtection="0"/>
    <xf numFmtId="175" fontId="23" fillId="0" borderId="0" applyFont="0" applyFill="0" applyBorder="0" applyAlignment="0" applyProtection="0"/>
    <xf numFmtId="199" fontId="37" fillId="0" borderId="0" applyFont="0" applyFill="0" applyBorder="0" applyAlignment="0" applyProtection="0"/>
    <xf numFmtId="199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5" fillId="0" borderId="0"/>
    <xf numFmtId="200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1" fontId="37" fillId="0" borderId="0" applyFill="0" applyBorder="0" applyAlignment="0"/>
    <xf numFmtId="201" fontId="23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165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165" fontId="17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6" fillId="0" borderId="0"/>
    <xf numFmtId="165" fontId="23" fillId="0" borderId="0" applyFont="0" applyFill="0" applyBorder="0" applyAlignment="0" applyProtection="0"/>
    <xf numFmtId="0" fontId="6" fillId="0" borderId="0"/>
    <xf numFmtId="166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17" fillId="0" borderId="0" applyFont="0" applyFill="0" applyBorder="0" applyAlignment="0" applyProtection="0"/>
    <xf numFmtId="42" fontId="17" fillId="0" borderId="0" applyFont="0" applyFill="0" applyBorder="0" applyAlignment="0" applyProtection="0"/>
    <xf numFmtId="42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6" fillId="0" borderId="0"/>
    <xf numFmtId="0" fontId="17" fillId="0" borderId="0"/>
    <xf numFmtId="0" fontId="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100"/>
    <xf numFmtId="0" fontId="90" fillId="0" borderId="101"/>
    <xf numFmtId="166" fontId="23" fillId="0" borderId="0" applyFont="0" applyFill="0" applyBorder="0" applyAlignment="0" applyProtection="0"/>
  </cellStyleXfs>
  <cellXfs count="733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41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41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41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43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8" fontId="46" fillId="0" borderId="0" xfId="714" applyFont="1" applyFill="1" applyAlignment="1">
      <alignment horizontal="center" wrapText="1"/>
    </xf>
    <xf numFmtId="168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8" fontId="46" fillId="0" borderId="21" xfId="715" applyNumberFormat="1" applyFont="1" applyFill="1" applyBorder="1" applyAlignment="1">
      <alignment horizontal="center" vertical="center" wrapText="1"/>
    </xf>
    <xf numFmtId="168" fontId="46" fillId="0" borderId="21" xfId="714" applyFont="1" applyFill="1" applyBorder="1" applyAlignment="1">
      <alignment horizontal="center" vertical="center" wrapText="1"/>
    </xf>
    <xf numFmtId="168" fontId="46" fillId="0" borderId="33" xfId="714" applyFont="1" applyFill="1" applyBorder="1" applyAlignment="1">
      <alignment horizontal="center" vertical="center" wrapText="1"/>
    </xf>
    <xf numFmtId="43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43" fontId="45" fillId="0" borderId="0" xfId="1615" applyNumberFormat="1" applyFont="1" applyAlignment="1">
      <alignment horizontal="left" vertical="center"/>
    </xf>
    <xf numFmtId="43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6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41" fontId="97" fillId="0" borderId="0" xfId="1448" applyNumberFormat="1" applyFont="1" applyAlignment="1">
      <alignment wrapText="1"/>
    </xf>
    <xf numFmtId="41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8" fontId="46" fillId="0" borderId="21" xfId="717" applyNumberFormat="1" applyFont="1" applyFill="1" applyBorder="1" applyAlignment="1" applyProtection="1">
      <alignment horizontal="center" vertical="center" wrapText="1"/>
    </xf>
    <xf numFmtId="41" fontId="46" fillId="0" borderId="21" xfId="1451" applyNumberFormat="1" applyFont="1" applyBorder="1" applyAlignment="1">
      <alignment horizontal="center" vertical="center" wrapText="1"/>
    </xf>
    <xf numFmtId="168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8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8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8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43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94" fillId="33" borderId="68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9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22" fillId="33" borderId="72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41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43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8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4" fillId="0" borderId="0" xfId="1538"/>
    <xf numFmtId="43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43" fontId="0" fillId="0" borderId="3" xfId="1026" applyFont="1" applyFill="1" applyBorder="1" applyProtection="1"/>
    <xf numFmtId="43" fontId="114" fillId="0" borderId="3" xfId="1538" applyNumberFormat="1" applyBorder="1"/>
    <xf numFmtId="43" fontId="142" fillId="0" borderId="3" xfId="1026" applyFont="1" applyBorder="1" applyProtection="1"/>
    <xf numFmtId="43" fontId="0" fillId="0" borderId="3" xfId="1026" applyFont="1" applyBorder="1" applyProtection="1"/>
    <xf numFmtId="43" fontId="130" fillId="0" borderId="3" xfId="1538" applyNumberFormat="1" applyFont="1" applyBorder="1"/>
    <xf numFmtId="0" fontId="63" fillId="0" borderId="3" xfId="1538" applyFont="1" applyBorder="1"/>
    <xf numFmtId="41" fontId="114" fillId="0" borderId="3" xfId="1538" applyNumberFormat="1" applyBorder="1"/>
    <xf numFmtId="43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43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43" fontId="51" fillId="0" borderId="0" xfId="1538" applyNumberFormat="1" applyFont="1"/>
    <xf numFmtId="0" fontId="114" fillId="29" borderId="3" xfId="1538" applyFill="1" applyBorder="1"/>
    <xf numFmtId="168" fontId="114" fillId="29" borderId="3" xfId="1538" applyNumberFormat="1" applyFill="1" applyBorder="1" applyAlignment="1">
      <alignment horizontal="right"/>
    </xf>
    <xf numFmtId="166" fontId="114" fillId="0" borderId="0" xfId="1538" applyNumberFormat="1"/>
    <xf numFmtId="43" fontId="114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43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3" fillId="0" borderId="20" xfId="1615" applyFont="1" applyBorder="1" applyAlignment="1">
      <alignment horizontal="center" vertical="center"/>
    </xf>
    <xf numFmtId="0" fontId="153" fillId="0" borderId="21" xfId="1615" applyFont="1" applyBorder="1" applyAlignment="1">
      <alignment horizontal="left" vertical="center" wrapText="1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451" applyFont="1" applyBorder="1" applyAlignment="1">
      <alignment horizontal="left" vertical="center" wrapText="1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653" applyFont="1" applyBorder="1" applyAlignment="1">
      <alignment vertical="center" wrapText="1"/>
    </xf>
    <xf numFmtId="0" fontId="154" fillId="0" borderId="21" xfId="1652" applyFont="1" applyBorder="1" applyAlignment="1">
      <alignment vertical="center" wrapText="1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6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3" fontId="152" fillId="0" borderId="39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41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83" xfId="2670" applyFont="1" applyFill="1" applyBorder="1" applyAlignment="1">
      <alignment horizontal="left" vertical="center"/>
    </xf>
    <xf numFmtId="0" fontId="162" fillId="39" borderId="84" xfId="2670" applyFont="1" applyFill="1" applyBorder="1" applyAlignment="1">
      <alignment horizontal="center" vertical="center"/>
    </xf>
    <xf numFmtId="0" fontId="162" fillId="39" borderId="86" xfId="2670" applyFont="1" applyFill="1" applyBorder="1" applyAlignment="1">
      <alignment horizontal="left" vertical="center"/>
    </xf>
    <xf numFmtId="0" fontId="162" fillId="39" borderId="82" xfId="2670" applyFont="1" applyFill="1" applyBorder="1" applyAlignment="1">
      <alignment horizontal="center" vertical="center"/>
    </xf>
    <xf numFmtId="0" fontId="162" fillId="39" borderId="88" xfId="2670" applyFont="1" applyFill="1" applyBorder="1" applyAlignment="1">
      <alignment horizontal="left" vertical="center"/>
    </xf>
    <xf numFmtId="0" fontId="162" fillId="39" borderId="89" xfId="2670" applyFont="1" applyFill="1" applyBorder="1" applyAlignment="1">
      <alignment horizontal="center" vertical="center"/>
    </xf>
    <xf numFmtId="43" fontId="143" fillId="40" borderId="85" xfId="2672" applyFont="1" applyFill="1" applyBorder="1" applyAlignment="1" applyProtection="1">
      <alignment horizontal="right" vertical="center" wrapText="1"/>
      <protection locked="0"/>
    </xf>
    <xf numFmtId="43" fontId="143" fillId="40" borderId="87" xfId="2672" applyFont="1" applyFill="1" applyBorder="1" applyAlignment="1" applyProtection="1">
      <alignment horizontal="right" vertical="center"/>
      <protection locked="0"/>
    </xf>
    <xf numFmtId="168" fontId="143" fillId="40" borderId="87" xfId="2672" applyNumberFormat="1" applyFont="1" applyFill="1" applyBorder="1" applyAlignment="1" applyProtection="1">
      <alignment horizontal="right" vertical="center"/>
      <protection locked="0"/>
    </xf>
    <xf numFmtId="168" fontId="143" fillId="40" borderId="90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4" xfId="2673" applyFont="1" applyFill="1" applyBorder="1" applyAlignment="1">
      <alignment vertical="center" wrapText="1"/>
    </xf>
    <xf numFmtId="0" fontId="149" fillId="43" borderId="94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8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49" fontId="94" fillId="33" borderId="60" xfId="0" applyNumberFormat="1" applyFont="1" applyFill="1" applyBorder="1" applyAlignment="1">
      <alignment horizontal="left" vertical="center" wrapText="1"/>
    </xf>
    <xf numFmtId="49" fontId="94" fillId="33" borderId="61" xfId="0" applyNumberFormat="1" applyFont="1" applyFill="1" applyBorder="1" applyAlignment="1">
      <alignment horizontal="left" vertical="center"/>
    </xf>
    <xf numFmtId="165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6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168" fontId="147" fillId="47" borderId="0" xfId="2672" applyNumberFormat="1" applyFont="1" applyFill="1" applyBorder="1" applyAlignment="1" applyProtection="1">
      <alignment horizontal="right" vertical="center"/>
    </xf>
    <xf numFmtId="0" fontId="177" fillId="0" borderId="69" xfId="1450" applyFont="1" applyBorder="1" applyAlignment="1">
      <alignment horizontal="center" vertical="center"/>
    </xf>
    <xf numFmtId="0" fontId="177" fillId="0" borderId="99" xfId="1450" applyFont="1" applyBorder="1" applyAlignment="1">
      <alignment horizontal="center" vertical="center"/>
    </xf>
    <xf numFmtId="0" fontId="8" fillId="0" borderId="20" xfId="1652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8" fillId="0" borderId="21" xfId="1652" applyFont="1" applyBorder="1" applyAlignment="1">
      <alignment horizontal="left" vertical="center" wrapText="1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0" fontId="130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/>
    </xf>
    <xf numFmtId="0" fontId="5" fillId="0" borderId="21" xfId="1652" applyFont="1" applyBorder="1" applyAlignment="1">
      <alignment horizontal="left" vertical="center" wrapText="1"/>
    </xf>
    <xf numFmtId="0" fontId="23" fillId="0" borderId="21" xfId="1451" applyBorder="1" applyAlignment="1">
      <alignment horizontal="center" wrapText="1"/>
    </xf>
    <xf numFmtId="0" fontId="23" fillId="0" borderId="21" xfId="1451" applyBorder="1" applyAlignment="1">
      <alignment horizontal="center" vertical="center" wrapText="1"/>
    </xf>
    <xf numFmtId="3" fontId="116" fillId="0" borderId="21" xfId="1451" applyNumberFormat="1" applyFont="1" applyBorder="1" applyAlignment="1">
      <alignment horizontal="center" vertical="center" wrapText="1"/>
    </xf>
    <xf numFmtId="0" fontId="130" fillId="48" borderId="21" xfId="1652" applyFont="1" applyFill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78" fillId="33" borderId="0" xfId="0" applyFont="1" applyFill="1" applyAlignment="1">
      <alignment horizontal="left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0" fontId="130" fillId="48" borderId="20" xfId="1652" applyFont="1" applyFill="1" applyBorder="1" applyAlignment="1">
      <alignment horizontal="center" vertical="center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0" fontId="54" fillId="0" borderId="3" xfId="1614" applyFont="1" applyBorder="1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168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0" fillId="0" borderId="96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7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166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5" xfId="2673" applyNumberFormat="1" applyFont="1" applyFill="1" applyBorder="1" applyAlignment="1">
      <alignment horizontal="center" vertical="center" wrapText="1"/>
    </xf>
    <xf numFmtId="0" fontId="166" fillId="41" borderId="91" xfId="2673" applyFont="1" applyFill="1" applyBorder="1" applyAlignment="1">
      <alignment horizontal="center" vertical="center" wrapText="1"/>
    </xf>
    <xf numFmtId="0" fontId="166" fillId="41" borderId="92" xfId="2673" applyFont="1" applyFill="1" applyBorder="1" applyAlignment="1">
      <alignment horizontal="center" vertical="center" wrapText="1"/>
    </xf>
    <xf numFmtId="0" fontId="166" fillId="41" borderId="93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166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0" fontId="166" fillId="42" borderId="91" xfId="2673" applyFont="1" applyFill="1" applyBorder="1" applyAlignment="1">
      <alignment horizontal="center" vertical="center" wrapText="1"/>
    </xf>
    <xf numFmtId="0" fontId="166" fillId="42" borderId="92" xfId="2673" applyFont="1" applyFill="1" applyBorder="1" applyAlignment="1">
      <alignment horizontal="center" vertical="center" wrapText="1"/>
    </xf>
    <xf numFmtId="0" fontId="166" fillId="42" borderId="93" xfId="2673" applyFont="1" applyFill="1" applyBorder="1" applyAlignment="1">
      <alignment horizontal="center" vertical="center" wrapText="1"/>
    </xf>
    <xf numFmtId="166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5" xfId="2673" applyNumberFormat="1" applyFont="1" applyFill="1" applyBorder="1" applyAlignment="1">
      <alignment horizontal="center" vertical="center" wrapText="1"/>
    </xf>
    <xf numFmtId="0" fontId="11" fillId="34" borderId="77" xfId="2670" applyFill="1" applyBorder="1" applyAlignment="1">
      <alignment horizontal="center" vertical="center"/>
    </xf>
    <xf numFmtId="0" fontId="141" fillId="0" borderId="78" xfId="2670" applyFont="1" applyBorder="1" applyAlignment="1">
      <alignment horizontal="left" vertical="center"/>
    </xf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horizontal="center" vertical="center"/>
    </xf>
    <xf numFmtId="0" fontId="114" fillId="38" borderId="3" xfId="1538" applyFill="1" applyBorder="1" applyAlignment="1">
      <alignment horizontal="center" vertical="center" wrapText="1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207" fontId="122" fillId="0" borderId="73" xfId="1450" applyNumberFormat="1" applyFont="1" applyBorder="1" applyAlignment="1">
      <alignment horizontal="left" vertical="center"/>
    </xf>
    <xf numFmtId="207" fontId="177" fillId="0" borderId="74" xfId="1450" applyNumberFormat="1" applyFont="1" applyBorder="1" applyAlignment="1">
      <alignment horizontal="left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49" fontId="117" fillId="33" borderId="50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0" fontId="94" fillId="33" borderId="79" xfId="0" applyFont="1" applyFill="1" applyBorder="1" applyAlignment="1">
      <alignment horizontal="left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0" fontId="94" fillId="33" borderId="80" xfId="0" applyFont="1" applyFill="1" applyBorder="1" applyAlignment="1">
      <alignment horizontal="center" vertical="center"/>
    </xf>
    <xf numFmtId="0" fontId="94" fillId="33" borderId="81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center"/>
    </xf>
    <xf numFmtId="0" fontId="121" fillId="33" borderId="73" xfId="0" applyFont="1" applyFill="1" applyBorder="1" applyAlignment="1">
      <alignment horizontal="center" vertical="center"/>
    </xf>
    <xf numFmtId="0" fontId="121" fillId="33" borderId="74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94" fillId="33" borderId="61" xfId="0" applyFont="1" applyFill="1" applyBorder="1" applyAlignment="1">
      <alignment horizontal="left" vertical="center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15" fontId="117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center" vertical="center"/>
    </xf>
    <xf numFmtId="0" fontId="94" fillId="33" borderId="40" xfId="0" applyFont="1" applyFill="1" applyBorder="1" applyAlignment="1">
      <alignment horizontal="center" vertical="center"/>
    </xf>
    <xf numFmtId="0" fontId="122" fillId="33" borderId="75" xfId="0" applyFont="1" applyFill="1" applyBorder="1" applyAlignment="1">
      <alignment horizontal="center" vertical="center" wrapText="1"/>
    </xf>
    <xf numFmtId="0" fontId="122" fillId="33" borderId="76" xfId="0" applyFont="1" applyFill="1" applyBorder="1" applyAlignment="1">
      <alignment horizontal="center" vertical="center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117" fillId="33" borderId="64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 wrapText="1"/>
    </xf>
    <xf numFmtId="0" fontId="116" fillId="0" borderId="20" xfId="1652" applyFont="1" applyBorder="1" applyAlignment="1">
      <alignment horizontal="center" vertical="center"/>
    </xf>
    <xf numFmtId="0" fontId="116" fillId="0" borderId="21" xfId="1652" applyFont="1" applyBorder="1" applyAlignment="1">
      <alignment vertical="center" wrapText="1"/>
    </xf>
    <xf numFmtId="0" fontId="46" fillId="0" borderId="21" xfId="1450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0" fontId="151" fillId="0" borderId="0" xfId="1614" applyFont="1" applyFill="1" applyAlignment="1">
      <alignment horizontal="center"/>
    </xf>
    <xf numFmtId="0" fontId="7" fillId="0" borderId="20" xfId="1652" applyFont="1" applyFill="1" applyBorder="1" applyAlignment="1">
      <alignment horizontal="center" vertical="center"/>
    </xf>
    <xf numFmtId="0" fontId="130" fillId="0" borderId="21" xfId="1652" applyFont="1" applyFill="1" applyBorder="1" applyAlignment="1">
      <alignment vertical="center" wrapText="1"/>
    </xf>
    <xf numFmtId="0" fontId="155" fillId="0" borderId="0" xfId="1614" applyFont="1" applyFill="1" applyAlignment="1">
      <alignment horizontal="center" vertical="center"/>
    </xf>
    <xf numFmtId="3" fontId="155" fillId="0" borderId="0" xfId="1614" applyNumberFormat="1" applyFont="1" applyFill="1" applyAlignment="1">
      <alignment horizontal="center" vertical="center"/>
    </xf>
    <xf numFmtId="0" fontId="152" fillId="0" borderId="0" xfId="1614" applyFont="1" applyFill="1" applyAlignment="1">
      <alignment horizontal="center"/>
    </xf>
    <xf numFmtId="37" fontId="152" fillId="0" borderId="0" xfId="1614" applyNumberFormat="1" applyFont="1" applyFill="1" applyAlignment="1">
      <alignment horizontal="center"/>
    </xf>
    <xf numFmtId="0" fontId="159" fillId="0" borderId="0" xfId="1614" applyFont="1" applyFill="1" applyAlignment="1">
      <alignment horizontal="center"/>
    </xf>
    <xf numFmtId="0" fontId="46" fillId="0" borderId="21" xfId="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116" fillId="0" borderId="21" xfId="1652" applyFont="1" applyBorder="1" applyAlignment="1">
      <alignment vertical="center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7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7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161</xdr:row>
      <xdr:rowOff>81642</xdr:rowOff>
    </xdr:from>
    <xdr:to>
      <xdr:col>12</xdr:col>
      <xdr:colOff>41108</xdr:colOff>
      <xdr:row>164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89087</xdr:colOff>
      <xdr:row>10</xdr:row>
      <xdr:rowOff>136711</xdr:rowOff>
    </xdr:from>
    <xdr:to>
      <xdr:col>15</xdr:col>
      <xdr:colOff>257175</xdr:colOff>
      <xdr:row>13</xdr:row>
      <xdr:rowOff>95250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3DD6E280-7982-4754-B38B-09C5C90C898E}"/>
            </a:ext>
          </a:extLst>
        </xdr:cNvPr>
        <xdr:cNvCxnSpPr>
          <a:cxnSpLocks/>
        </xdr:cNvCxnSpPr>
      </xdr:nvCxnSpPr>
      <xdr:spPr>
        <a:xfrm flipH="1" flipV="1">
          <a:off x="3060887" y="1679761"/>
          <a:ext cx="2454088" cy="42526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278888</xdr:colOff>
      <xdr:row>23</xdr:row>
      <xdr:rowOff>19050</xdr:rowOff>
    </xdr:from>
    <xdr:to>
      <xdr:col>45</xdr:col>
      <xdr:colOff>354342</xdr:colOff>
      <xdr:row>51</xdr:row>
      <xdr:rowOff>39170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70D95A-335D-05DD-AF0A-266764BA4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46938" y="3552825"/>
          <a:ext cx="5790454" cy="4401620"/>
        </a:xfrm>
        <a:prstGeom prst="rect">
          <a:avLst/>
        </a:prstGeom>
      </xdr:spPr>
    </xdr:pic>
    <xdr:clientData/>
  </xdr:twoCellAnchor>
  <xdr:twoCellAnchor>
    <xdr:from>
      <xdr:col>10</xdr:col>
      <xdr:colOff>291913</xdr:colOff>
      <xdr:row>3</xdr:row>
      <xdr:rowOff>133350</xdr:rowOff>
    </xdr:from>
    <xdr:to>
      <xdr:col>12</xdr:col>
      <xdr:colOff>200025</xdr:colOff>
      <xdr:row>40</xdr:row>
      <xdr:rowOff>94689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55663F0D-54C9-48A3-9BDA-485C0206CA10}"/>
            </a:ext>
          </a:extLst>
        </xdr:cNvPr>
        <xdr:cNvCxnSpPr>
          <a:cxnSpLocks/>
        </xdr:cNvCxnSpPr>
      </xdr:nvCxnSpPr>
      <xdr:spPr>
        <a:xfrm flipV="1">
          <a:off x="3644713" y="609600"/>
          <a:ext cx="670112" cy="561918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2334" y="822053"/>
          <a:ext cx="1488839" cy="1803895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10</xdr:col>
      <xdr:colOff>148194</xdr:colOff>
      <xdr:row>4</xdr:row>
      <xdr:rowOff>38552</xdr:rowOff>
    </xdr:from>
    <xdr:to>
      <xdr:col>11</xdr:col>
      <xdr:colOff>120865</xdr:colOff>
      <xdr:row>6</xdr:row>
      <xdr:rowOff>35302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>
          <a:off x="3503925" y="668667"/>
          <a:ext cx="353671" cy="304481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BTS</a:t>
          </a:r>
        </a:p>
      </xdr:txBody>
    </xdr:sp>
    <xdr:clientData/>
  </xdr:twoCellAnchor>
  <xdr:twoCellAnchor>
    <xdr:from>
      <xdr:col>12</xdr:col>
      <xdr:colOff>329548</xdr:colOff>
      <xdr:row>6</xdr:row>
      <xdr:rowOff>84820</xdr:rowOff>
    </xdr:from>
    <xdr:to>
      <xdr:col>13</xdr:col>
      <xdr:colOff>36914</xdr:colOff>
      <xdr:row>7</xdr:row>
      <xdr:rowOff>29488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0BEB2CA7-FAE1-4216-B454-86D95AB96ED1}"/>
            </a:ext>
          </a:extLst>
        </xdr:cNvPr>
        <xdr:cNvGrpSpPr/>
      </xdr:nvGrpSpPr>
      <xdr:grpSpPr>
        <a:xfrm>
          <a:off x="4447279" y="1022666"/>
          <a:ext cx="88366" cy="9853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5" name="Oval 194">
            <a:extLst>
              <a:ext uri="{FF2B5EF4-FFF2-40B4-BE49-F238E27FC236}">
                <a16:creationId xmlns:a16="http://schemas.microsoft.com/office/drawing/2014/main" id="{3A9A7417-3DE1-1256-91DF-135137BC71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ED734F8D-B90C-2365-AE95-08F088C83F07}"/>
              </a:ext>
            </a:extLst>
          </xdr:cNvPr>
          <xdr:cNvCxnSpPr>
            <a:stCxn id="195" idx="1"/>
            <a:endCxn id="1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B5735C1E-0C63-10F6-9744-924DD2840E7C}"/>
              </a:ext>
            </a:extLst>
          </xdr:cNvPr>
          <xdr:cNvCxnSpPr>
            <a:stCxn id="195" idx="3"/>
            <a:endCxn id="1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130700</xdr:colOff>
      <xdr:row>36</xdr:row>
      <xdr:rowOff>128794</xdr:rowOff>
    </xdr:from>
    <xdr:to>
      <xdr:col>11</xdr:col>
      <xdr:colOff>219066</xdr:colOff>
      <xdr:row>37</xdr:row>
      <xdr:rowOff>65250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63D31E2A-D9A9-4E69-8CE3-B5863046C98F}"/>
            </a:ext>
          </a:extLst>
        </xdr:cNvPr>
        <xdr:cNvGrpSpPr/>
      </xdr:nvGrpSpPr>
      <xdr:grpSpPr>
        <a:xfrm>
          <a:off x="3867431" y="5682602"/>
          <a:ext cx="88366" cy="9764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9" name="Oval 198">
            <a:extLst>
              <a:ext uri="{FF2B5EF4-FFF2-40B4-BE49-F238E27FC236}">
                <a16:creationId xmlns:a16="http://schemas.microsoft.com/office/drawing/2014/main" id="{8551EEA2-4C4B-1784-1403-223454D00F0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82E12FE7-548B-914B-262F-A60D3E4DF8DA}"/>
              </a:ext>
            </a:extLst>
          </xdr:cNvPr>
          <xdr:cNvCxnSpPr>
            <a:stCxn id="199" idx="1"/>
            <a:endCxn id="1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F3F35516-3744-9567-70C6-1F8DA6F5AF23}"/>
              </a:ext>
            </a:extLst>
          </xdr:cNvPr>
          <xdr:cNvCxnSpPr>
            <a:stCxn id="199" idx="3"/>
            <a:endCxn id="1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242851</xdr:colOff>
      <xdr:row>6</xdr:row>
      <xdr:rowOff>119559</xdr:rowOff>
    </xdr:from>
    <xdr:to>
      <xdr:col>12</xdr:col>
      <xdr:colOff>329548</xdr:colOff>
      <xdr:row>6</xdr:row>
      <xdr:rowOff>132697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51233A44-8633-4795-93E0-258113A5A847}"/>
            </a:ext>
          </a:extLst>
        </xdr:cNvPr>
        <xdr:cNvCxnSpPr>
          <a:stCxn id="39" idx="6"/>
          <a:endCxn id="195" idx="2"/>
        </xdr:cNvCxnSpPr>
      </xdr:nvCxnSpPr>
      <xdr:spPr>
        <a:xfrm>
          <a:off x="3980592" y="1052352"/>
          <a:ext cx="467697" cy="13138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322293</xdr:colOff>
      <xdr:row>6</xdr:row>
      <xdr:rowOff>22719</xdr:rowOff>
    </xdr:from>
    <xdr:to>
      <xdr:col>12</xdr:col>
      <xdr:colOff>273684</xdr:colOff>
      <xdr:row>7</xdr:row>
      <xdr:rowOff>61448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5AD6609C-CE9A-4BA7-BC7D-754A023D9C51}"/>
            </a:ext>
          </a:extLst>
        </xdr:cNvPr>
        <xdr:cNvSpPr/>
      </xdr:nvSpPr>
      <xdr:spPr>
        <a:xfrm rot="698749">
          <a:off x="4060034" y="955512"/>
          <a:ext cx="332391" cy="18981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11</xdr:col>
      <xdr:colOff>177533</xdr:colOff>
      <xdr:row>7</xdr:row>
      <xdr:rowOff>29488</xdr:rowOff>
    </xdr:from>
    <xdr:to>
      <xdr:col>12</xdr:col>
      <xdr:colOff>373731</xdr:colOff>
      <xdr:row>36</xdr:row>
      <xdr:rowOff>28575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DA17C0A4-5D98-419F-BCC0-3366D53336A8}"/>
            </a:ext>
          </a:extLst>
        </xdr:cNvPr>
        <xdr:cNvCxnSpPr>
          <a:stCxn id="195" idx="4"/>
          <a:endCxn id="33" idx="0"/>
        </xdr:cNvCxnSpPr>
      </xdr:nvCxnSpPr>
      <xdr:spPr>
        <a:xfrm flipH="1">
          <a:off x="3911333" y="1115338"/>
          <a:ext cx="577198" cy="4418687"/>
        </a:xfrm>
        <a:prstGeom prst="line">
          <a:avLst/>
        </a:prstGeom>
        <a:ln w="6350"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148787</xdr:colOff>
      <xdr:row>15</xdr:row>
      <xdr:rowOff>32997</xdr:rowOff>
    </xdr:from>
    <xdr:to>
      <xdr:col>12</xdr:col>
      <xdr:colOff>237153</xdr:colOff>
      <xdr:row>15</xdr:row>
      <xdr:rowOff>131530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814928D0-D814-4378-B321-3A8BD5BA36C4}"/>
            </a:ext>
          </a:extLst>
        </xdr:cNvPr>
        <xdr:cNvGrpSpPr/>
      </xdr:nvGrpSpPr>
      <xdr:grpSpPr>
        <a:xfrm>
          <a:off x="4266518" y="2362959"/>
          <a:ext cx="88366" cy="9853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C6CCEC40-A698-798B-33B9-685FD1F7181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AC56700C-4A43-0A18-A634-CD900A370644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7F7F7222-C154-21EF-3F17-B066256EBC3B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114300</xdr:colOff>
      <xdr:row>37</xdr:row>
      <xdr:rowOff>65250</xdr:rowOff>
    </xdr:from>
    <xdr:to>
      <xdr:col>11</xdr:col>
      <xdr:colOff>174883</xdr:colOff>
      <xdr:row>40</xdr:row>
      <xdr:rowOff>142875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19FCF7A8-8D78-4BBD-8654-5F8A59DD395A}"/>
            </a:ext>
          </a:extLst>
        </xdr:cNvPr>
        <xdr:cNvCxnSpPr>
          <a:stCxn id="199" idx="4"/>
        </xdr:cNvCxnSpPr>
      </xdr:nvCxnSpPr>
      <xdr:spPr>
        <a:xfrm flipH="1">
          <a:off x="3848100" y="5732625"/>
          <a:ext cx="60583" cy="544350"/>
        </a:xfrm>
        <a:prstGeom prst="line">
          <a:avLst/>
        </a:prstGeom>
        <a:ln w="12700">
          <a:solidFill>
            <a:sysClr val="windowText" lastClr="000000"/>
          </a:solidFill>
          <a:prstDash val="lg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257175</xdr:colOff>
      <xdr:row>10</xdr:row>
      <xdr:rowOff>85725</xdr:rowOff>
    </xdr:from>
    <xdr:to>
      <xdr:col>12</xdr:col>
      <xdr:colOff>345541</xdr:colOff>
      <xdr:row>11</xdr:row>
      <xdr:rowOff>30393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C9862BDE-4B70-40F9-A1EF-58C898E4EEC4}"/>
            </a:ext>
          </a:extLst>
        </xdr:cNvPr>
        <xdr:cNvGrpSpPr/>
      </xdr:nvGrpSpPr>
      <xdr:grpSpPr>
        <a:xfrm>
          <a:off x="4374906" y="1639033"/>
          <a:ext cx="88366" cy="9853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" name="Oval 27">
            <a:extLst>
              <a:ext uri="{FF2B5EF4-FFF2-40B4-BE49-F238E27FC236}">
                <a16:creationId xmlns:a16="http://schemas.microsoft.com/office/drawing/2014/main" id="{BCE7FBB0-995C-4369-20FA-E7732413CAF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05290DB-B795-30C7-5262-2C9404561DC2}"/>
              </a:ext>
            </a:extLst>
          </xdr:cNvPr>
          <xdr:cNvCxnSpPr>
            <a:stCxn id="28" idx="1"/>
            <a:endCxn id="2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AEB03BD7-B5B1-F506-5E3F-28854895AC6B}"/>
              </a:ext>
            </a:extLst>
          </xdr:cNvPr>
          <xdr:cNvCxnSpPr>
            <a:stCxn id="28" idx="3"/>
            <a:endCxn id="2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350454</xdr:colOff>
      <xdr:row>30</xdr:row>
      <xdr:rowOff>11169</xdr:rowOff>
    </xdr:from>
    <xdr:to>
      <xdr:col>13</xdr:col>
      <xdr:colOff>49284</xdr:colOff>
      <xdr:row>32</xdr:row>
      <xdr:rowOff>19707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ABE1B89B-70ED-471F-A31E-C59927BEF103}"/>
            </a:ext>
          </a:extLst>
        </xdr:cNvPr>
        <xdr:cNvSpPr/>
      </xdr:nvSpPr>
      <xdr:spPr>
        <a:xfrm>
          <a:off x="4088195" y="4576600"/>
          <a:ext cx="460830" cy="310710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5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1</a:t>
          </a:r>
          <a:r>
            <a:rPr lang="en-US" sz="500" baseline="0">
              <a:solidFill>
                <a:srgbClr val="FF0000"/>
              </a:solidFill>
            </a:rPr>
            <a:t> CA 1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1 CM2-12</a:t>
          </a:r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241534</xdr:colOff>
      <xdr:row>7</xdr:row>
      <xdr:rowOff>74281</xdr:rowOff>
    </xdr:from>
    <xdr:to>
      <xdr:col>11</xdr:col>
      <xdr:colOff>380999</xdr:colOff>
      <xdr:row>10</xdr:row>
      <xdr:rowOff>117231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9E9EC580-BF50-4D51-B17A-AD26ED372D13}"/>
            </a:ext>
          </a:extLst>
        </xdr:cNvPr>
        <xdr:cNvSpPr/>
      </xdr:nvSpPr>
      <xdr:spPr>
        <a:xfrm>
          <a:off x="3597265" y="1165993"/>
          <a:ext cx="520465" cy="504546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50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50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50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500">
              <a:solidFill>
                <a:srgbClr val="FF0000"/>
              </a:solidFill>
            </a:rPr>
            <a:t>1</a:t>
          </a:r>
          <a:r>
            <a:rPr lang="en-US" sz="500" baseline="0">
              <a:solidFill>
                <a:srgbClr val="FF0000"/>
              </a:solidFill>
            </a:rPr>
            <a:t> CM2-12A</a:t>
          </a:r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260537</xdr:colOff>
      <xdr:row>28</xdr:row>
      <xdr:rowOff>3361</xdr:rowOff>
    </xdr:from>
    <xdr:to>
      <xdr:col>11</xdr:col>
      <xdr:colOff>57150</xdr:colOff>
      <xdr:row>36</xdr:row>
      <xdr:rowOff>57150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5AFBC2C2-0172-4F90-AF13-F1D5EEE5D493}"/>
            </a:ext>
          </a:extLst>
        </xdr:cNvPr>
        <xdr:cNvCxnSpPr>
          <a:cxnSpLocks/>
        </xdr:cNvCxnSpPr>
      </xdr:nvCxnSpPr>
      <xdr:spPr>
        <a:xfrm flipH="1" flipV="1">
          <a:off x="1708337" y="4299136"/>
          <a:ext cx="2082613" cy="126346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55685</xdr:colOff>
      <xdr:row>20</xdr:row>
      <xdr:rowOff>4397</xdr:rowOff>
    </xdr:from>
    <xdr:to>
      <xdr:col>12</xdr:col>
      <xdr:colOff>144051</xdr:colOff>
      <xdr:row>20</xdr:row>
      <xdr:rowOff>101465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BF0604B7-AC0D-4F88-9303-FF3446B8E01A}"/>
            </a:ext>
          </a:extLst>
        </xdr:cNvPr>
        <xdr:cNvGrpSpPr/>
      </xdr:nvGrpSpPr>
      <xdr:grpSpPr>
        <a:xfrm>
          <a:off x="4173416" y="3103685"/>
          <a:ext cx="88366" cy="97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" name="Oval 16">
            <a:extLst>
              <a:ext uri="{FF2B5EF4-FFF2-40B4-BE49-F238E27FC236}">
                <a16:creationId xmlns:a16="http://schemas.microsoft.com/office/drawing/2014/main" id="{F5222B96-B3F4-0860-9E8C-EC6BE2D2A52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6E48BF8E-9822-1862-3483-DF47AF5CE5F4}"/>
              </a:ext>
            </a:extLst>
          </xdr:cNvPr>
          <xdr:cNvCxnSpPr>
            <a:stCxn id="17" idx="1"/>
            <a:endCxn id="1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493917B3-4B78-ABE3-6964-01CB7602A853}"/>
              </a:ext>
            </a:extLst>
          </xdr:cNvPr>
          <xdr:cNvCxnSpPr>
            <a:stCxn id="17" idx="3"/>
            <a:endCxn id="1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338504</xdr:colOff>
      <xdr:row>25</xdr:row>
      <xdr:rowOff>52754</xdr:rowOff>
    </xdr:from>
    <xdr:to>
      <xdr:col>12</xdr:col>
      <xdr:colOff>45870</xdr:colOff>
      <xdr:row>25</xdr:row>
      <xdr:rowOff>151288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41424C02-CB61-412F-9EB4-F59E29464822}"/>
            </a:ext>
          </a:extLst>
        </xdr:cNvPr>
        <xdr:cNvGrpSpPr/>
      </xdr:nvGrpSpPr>
      <xdr:grpSpPr>
        <a:xfrm>
          <a:off x="4075235" y="3921369"/>
          <a:ext cx="88366" cy="9853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" name="Oval 21">
            <a:extLst>
              <a:ext uri="{FF2B5EF4-FFF2-40B4-BE49-F238E27FC236}">
                <a16:creationId xmlns:a16="http://schemas.microsoft.com/office/drawing/2014/main" id="{B554513C-F04E-B6C2-0A9A-A8F5F7D3FFB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3F76191F-5B79-FBA2-01AE-C156413CF2B7}"/>
              </a:ext>
            </a:extLst>
          </xdr:cNvPr>
          <xdr:cNvCxnSpPr>
            <a:stCxn id="22" idx="1"/>
            <a:endCxn id="2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9D25B038-6CE6-99C8-3F64-44D12D1DBA42}"/>
              </a:ext>
            </a:extLst>
          </xdr:cNvPr>
          <xdr:cNvCxnSpPr>
            <a:stCxn id="22" idx="3"/>
            <a:endCxn id="2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219075</xdr:colOff>
      <xdr:row>30</xdr:row>
      <xdr:rowOff>76200</xdr:rowOff>
    </xdr:from>
    <xdr:to>
      <xdr:col>11</xdr:col>
      <xdr:colOff>307441</xdr:colOff>
      <xdr:row>31</xdr:row>
      <xdr:rowOff>20868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E55EEDC9-1015-4873-96AE-F61BBCB41BF8}"/>
            </a:ext>
          </a:extLst>
        </xdr:cNvPr>
        <xdr:cNvGrpSpPr/>
      </xdr:nvGrpSpPr>
      <xdr:grpSpPr>
        <a:xfrm>
          <a:off x="3955806" y="4706815"/>
          <a:ext cx="88366" cy="9853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6" name="Oval 25">
            <a:extLst>
              <a:ext uri="{FF2B5EF4-FFF2-40B4-BE49-F238E27FC236}">
                <a16:creationId xmlns:a16="http://schemas.microsoft.com/office/drawing/2014/main" id="{0ACF21E4-B3D0-D03C-58FD-848B05B8694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FD96DD69-3E0A-09B7-3434-4F69058C81B9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726C84A1-9803-A5A5-5361-B1ABBBEDD4F5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133350</xdr:colOff>
      <xdr:row>36</xdr:row>
      <xdr:rowOff>28575</xdr:rowOff>
    </xdr:from>
    <xdr:to>
      <xdr:col>11</xdr:col>
      <xdr:colOff>221716</xdr:colOff>
      <xdr:row>36</xdr:row>
      <xdr:rowOff>125643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EDD1ED87-9A03-4F99-AC80-55CB505FA402}"/>
            </a:ext>
          </a:extLst>
        </xdr:cNvPr>
        <xdr:cNvGrpSpPr/>
      </xdr:nvGrpSpPr>
      <xdr:grpSpPr>
        <a:xfrm>
          <a:off x="3870081" y="5582383"/>
          <a:ext cx="88366" cy="97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3" name="Oval 32">
            <a:extLst>
              <a:ext uri="{FF2B5EF4-FFF2-40B4-BE49-F238E27FC236}">
                <a16:creationId xmlns:a16="http://schemas.microsoft.com/office/drawing/2014/main" id="{05162C86-CB17-38B9-64E3-F71C8C461A8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65D49235-C526-535D-B04B-75E81393FB38}"/>
              </a:ext>
            </a:extLst>
          </xdr:cNvPr>
          <xdr:cNvCxnSpPr>
            <a:stCxn id="33" idx="1"/>
            <a:endCxn id="3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7DDA58D0-D686-3E55-75C1-012021A5B6ED}"/>
              </a:ext>
            </a:extLst>
          </xdr:cNvPr>
          <xdr:cNvCxnSpPr>
            <a:stCxn id="33" idx="3"/>
            <a:endCxn id="3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154485</xdr:colOff>
      <xdr:row>6</xdr:row>
      <xdr:rowOff>71682</xdr:rowOff>
    </xdr:from>
    <xdr:to>
      <xdr:col>11</xdr:col>
      <xdr:colOff>242851</xdr:colOff>
      <xdr:row>7</xdr:row>
      <xdr:rowOff>16350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2C67CD6E-0E4C-444B-B5C7-4AF310ADC6E2}"/>
            </a:ext>
          </a:extLst>
        </xdr:cNvPr>
        <xdr:cNvGrpSpPr/>
      </xdr:nvGrpSpPr>
      <xdr:grpSpPr>
        <a:xfrm>
          <a:off x="3891216" y="1009528"/>
          <a:ext cx="88366" cy="9853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9" name="Oval 38">
            <a:extLst>
              <a:ext uri="{FF2B5EF4-FFF2-40B4-BE49-F238E27FC236}">
                <a16:creationId xmlns:a16="http://schemas.microsoft.com/office/drawing/2014/main" id="{1F142405-70DD-738B-0A11-0F1EEA718A1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AE150D04-90F3-34C3-D036-F03FCAACD670}"/>
              </a:ext>
            </a:extLst>
          </xdr:cNvPr>
          <xdr:cNvCxnSpPr>
            <a:stCxn id="39" idx="1"/>
            <a:endCxn id="3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1C2098D1-CE41-C0AA-B514-46DEBD859186}"/>
              </a:ext>
            </a:extLst>
          </xdr:cNvPr>
          <xdr:cNvCxnSpPr>
            <a:stCxn id="39" idx="3"/>
            <a:endCxn id="3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124810</xdr:colOff>
      <xdr:row>25</xdr:row>
      <xdr:rowOff>98534</xdr:rowOff>
    </xdr:from>
    <xdr:to>
      <xdr:col>13</xdr:col>
      <xdr:colOff>204640</xdr:colOff>
      <xdr:row>27</xdr:row>
      <xdr:rowOff>107072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A3ED603A-4CA5-43BE-A6B3-B5DDAB1EF10C}"/>
            </a:ext>
          </a:extLst>
        </xdr:cNvPr>
        <xdr:cNvSpPr/>
      </xdr:nvSpPr>
      <xdr:spPr>
        <a:xfrm>
          <a:off x="4243551" y="3915103"/>
          <a:ext cx="460830" cy="310710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5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1</a:t>
          </a:r>
          <a:r>
            <a:rPr lang="en-US" sz="500" baseline="0">
              <a:solidFill>
                <a:srgbClr val="FF0000"/>
              </a:solidFill>
            </a:rPr>
            <a:t> CA 1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1 CM2-12</a:t>
          </a:r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178676</xdr:colOff>
      <xdr:row>21</xdr:row>
      <xdr:rowOff>14451</xdr:rowOff>
    </xdr:from>
    <xdr:to>
      <xdr:col>13</xdr:col>
      <xdr:colOff>258506</xdr:colOff>
      <xdr:row>23</xdr:row>
      <xdr:rowOff>22988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92940789-B64F-48D9-BB21-4745B1D2AB9B}"/>
            </a:ext>
          </a:extLst>
        </xdr:cNvPr>
        <xdr:cNvSpPr/>
      </xdr:nvSpPr>
      <xdr:spPr>
        <a:xfrm>
          <a:off x="4297417" y="3226675"/>
          <a:ext cx="460830" cy="310710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5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1</a:t>
          </a:r>
          <a:r>
            <a:rPr lang="en-US" sz="500" baseline="0">
              <a:solidFill>
                <a:srgbClr val="FF0000"/>
              </a:solidFill>
            </a:rPr>
            <a:t> CA 1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1 CM2-12</a:t>
          </a:r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324506</xdr:colOff>
      <xdr:row>14</xdr:row>
      <xdr:rowOff>114299</xdr:rowOff>
    </xdr:from>
    <xdr:to>
      <xdr:col>14</xdr:col>
      <xdr:colOff>23336</xdr:colOff>
      <xdr:row>16</xdr:row>
      <xdr:rowOff>122837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9315EC0B-2C3F-449E-BDCB-028678457F7F}"/>
            </a:ext>
          </a:extLst>
        </xdr:cNvPr>
        <xdr:cNvSpPr/>
      </xdr:nvSpPr>
      <xdr:spPr>
        <a:xfrm>
          <a:off x="4443247" y="2268920"/>
          <a:ext cx="460830" cy="310710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5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1</a:t>
          </a:r>
          <a:r>
            <a:rPr lang="en-US" sz="500" baseline="0">
              <a:solidFill>
                <a:srgbClr val="FF0000"/>
              </a:solidFill>
            </a:rPr>
            <a:t> CA 1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1 CM2-12</a:t>
          </a:r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69630</xdr:colOff>
      <xdr:row>10</xdr:row>
      <xdr:rowOff>76199</xdr:rowOff>
    </xdr:from>
    <xdr:to>
      <xdr:col>14</xdr:col>
      <xdr:colOff>149460</xdr:colOff>
      <xdr:row>12</xdr:row>
      <xdr:rowOff>84737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1053912-2A61-4DB8-807F-500F63F72BE5}"/>
            </a:ext>
          </a:extLst>
        </xdr:cNvPr>
        <xdr:cNvSpPr/>
      </xdr:nvSpPr>
      <xdr:spPr>
        <a:xfrm>
          <a:off x="4569371" y="1613337"/>
          <a:ext cx="460830" cy="310710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5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500">
              <a:solidFill>
                <a:srgbClr val="FF0000"/>
              </a:solidFill>
            </a:rPr>
            <a:t>1</a:t>
          </a:r>
          <a:r>
            <a:rPr lang="en-US" sz="500" baseline="0">
              <a:solidFill>
                <a:srgbClr val="FF0000"/>
              </a:solidFill>
            </a:rPr>
            <a:t> CA 1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1 CM2-12</a:t>
          </a:r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275897</xdr:colOff>
      <xdr:row>36</xdr:row>
      <xdr:rowOff>6568</xdr:rowOff>
    </xdr:from>
    <xdr:to>
      <xdr:col>12</xdr:col>
      <xdr:colOff>355727</xdr:colOff>
      <xdr:row>39</xdr:row>
      <xdr:rowOff>6569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B5B69B62-8B17-4D14-B038-5AB098E0E1C0}"/>
            </a:ext>
          </a:extLst>
        </xdr:cNvPr>
        <xdr:cNvSpPr/>
      </xdr:nvSpPr>
      <xdr:spPr>
        <a:xfrm>
          <a:off x="4013638" y="5478516"/>
          <a:ext cx="460830" cy="479536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500">
              <a:solidFill>
                <a:srgbClr val="FF0000"/>
              </a:solidFill>
            </a:rPr>
            <a:t>1 C12-350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2 CA 5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1 CG106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2 CJ6-T</a:t>
          </a:r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105102</xdr:colOff>
      <xdr:row>5</xdr:row>
      <xdr:rowOff>78828</xdr:rowOff>
    </xdr:from>
    <xdr:to>
      <xdr:col>14</xdr:col>
      <xdr:colOff>227133</xdr:colOff>
      <xdr:row>9</xdr:row>
      <xdr:rowOff>14654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C8758238-FBB3-4777-8F75-23EE71C74EB2}"/>
            </a:ext>
          </a:extLst>
        </xdr:cNvPr>
        <xdr:cNvSpPr/>
      </xdr:nvSpPr>
      <xdr:spPr>
        <a:xfrm>
          <a:off x="4603833" y="862809"/>
          <a:ext cx="503031" cy="551287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500">
              <a:solidFill>
                <a:srgbClr val="FF0000"/>
              </a:solidFill>
            </a:rPr>
            <a:t>1 C12-350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2 CA 5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1 CG106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2 CM2-11M</a:t>
          </a:r>
        </a:p>
        <a:p>
          <a:pPr algn="l"/>
          <a:r>
            <a:rPr lang="en-US" sz="500" baseline="0">
              <a:solidFill>
                <a:srgbClr val="FF0000"/>
              </a:solidFill>
            </a:rPr>
            <a:t>2 CJ6-T</a:t>
          </a:r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373731</xdr:colOff>
      <xdr:row>5</xdr:row>
      <xdr:rowOff>19707</xdr:rowOff>
    </xdr:from>
    <xdr:to>
      <xdr:col>13</xdr:col>
      <xdr:colOff>6569</xdr:colOff>
      <xdr:row>6</xdr:row>
      <xdr:rowOff>84820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384A8192-A595-48CC-B474-265D600E982D}"/>
            </a:ext>
          </a:extLst>
        </xdr:cNvPr>
        <xdr:cNvCxnSpPr>
          <a:stCxn id="195" idx="0"/>
        </xdr:cNvCxnSpPr>
      </xdr:nvCxnSpPr>
      <xdr:spPr>
        <a:xfrm flipV="1">
          <a:off x="4492472" y="801414"/>
          <a:ext cx="13838" cy="2161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380184</xdr:colOff>
      <xdr:row>6</xdr:row>
      <xdr:rowOff>109904</xdr:rowOff>
    </xdr:from>
    <xdr:to>
      <xdr:col>11</xdr:col>
      <xdr:colOff>161192</xdr:colOff>
      <xdr:row>6</xdr:row>
      <xdr:rowOff>117230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5E48D3B5-B05E-4062-8CA1-8BE817C66D00}"/>
            </a:ext>
          </a:extLst>
        </xdr:cNvPr>
        <xdr:cNvCxnSpPr/>
      </xdr:nvCxnSpPr>
      <xdr:spPr>
        <a:xfrm flipH="1" flipV="1">
          <a:off x="3735915" y="1047750"/>
          <a:ext cx="162008" cy="732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161192</xdr:colOff>
      <xdr:row>5</xdr:row>
      <xdr:rowOff>95250</xdr:rowOff>
    </xdr:from>
    <xdr:to>
      <xdr:col>12</xdr:col>
      <xdr:colOff>300403</xdr:colOff>
      <xdr:row>6</xdr:row>
      <xdr:rowOff>87923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FD06D666-7CD8-4E78-B941-02C540177EF2}"/>
            </a:ext>
          </a:extLst>
        </xdr:cNvPr>
        <xdr:cNvSpPr/>
      </xdr:nvSpPr>
      <xdr:spPr>
        <a:xfrm>
          <a:off x="4278923" y="879231"/>
          <a:ext cx="139211" cy="14653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344365</xdr:colOff>
      <xdr:row>36</xdr:row>
      <xdr:rowOff>58615</xdr:rowOff>
    </xdr:from>
    <xdr:to>
      <xdr:col>11</xdr:col>
      <xdr:colOff>102576</xdr:colOff>
      <xdr:row>37</xdr:row>
      <xdr:rowOff>43961</xdr:rowOff>
    </xdr:to>
    <xdr:sp macro="" textlink="">
      <xdr:nvSpPr>
        <xdr:cNvPr id="6" name="Isosceles Triangle 5">
          <a:extLst>
            <a:ext uri="{FF2B5EF4-FFF2-40B4-BE49-F238E27FC236}">
              <a16:creationId xmlns:a16="http://schemas.microsoft.com/office/drawing/2014/main" id="{276E248D-965E-4BA9-9C54-5D2BD4AAEA5B}"/>
            </a:ext>
          </a:extLst>
        </xdr:cNvPr>
        <xdr:cNvSpPr/>
      </xdr:nvSpPr>
      <xdr:spPr>
        <a:xfrm>
          <a:off x="3700096" y="5612423"/>
          <a:ext cx="139211" cy="14653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142875</xdr:colOff>
      <xdr:row>7</xdr:row>
      <xdr:rowOff>47624</xdr:rowOff>
    </xdr:from>
    <xdr:to>
      <xdr:col>20</xdr:col>
      <xdr:colOff>325258</xdr:colOff>
      <xdr:row>53</xdr:row>
      <xdr:rowOff>48694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AC4443-6D8D-344C-080C-0B58CED7B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1357312"/>
          <a:ext cx="10088383" cy="766869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4" t="s">
        <v>1134</v>
      </c>
      <c r="C4" s="524"/>
      <c r="D4" s="524"/>
      <c r="E4" s="524"/>
      <c r="F4" s="524"/>
      <c r="G4" s="524"/>
      <c r="H4" s="52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5" t="s">
        <v>0</v>
      </c>
      <c r="C7" s="525" t="s">
        <v>1</v>
      </c>
      <c r="D7" s="526" t="s">
        <v>42</v>
      </c>
      <c r="E7" s="526" t="s">
        <v>43</v>
      </c>
      <c r="F7" s="526" t="s">
        <v>1135</v>
      </c>
      <c r="G7" s="527" t="s">
        <v>41</v>
      </c>
      <c r="H7" s="523" t="s">
        <v>1042</v>
      </c>
      <c r="I7" s="523" t="s">
        <v>1137</v>
      </c>
      <c r="J7" s="523" t="s">
        <v>1026</v>
      </c>
      <c r="K7" s="517" t="s">
        <v>1024</v>
      </c>
      <c r="L7" s="518"/>
    </row>
    <row r="8" spans="1:12" ht="15" customHeight="1">
      <c r="B8" s="525"/>
      <c r="C8" s="525"/>
      <c r="D8" s="526"/>
      <c r="E8" s="526"/>
      <c r="F8" s="526"/>
      <c r="G8" s="527"/>
      <c r="H8" s="523"/>
      <c r="I8" s="523"/>
      <c r="J8" s="523"/>
      <c r="K8" s="519"/>
      <c r="L8" s="520"/>
    </row>
    <row r="9" spans="1:12" ht="15" customHeight="1">
      <c r="B9" s="525"/>
      <c r="C9" s="525"/>
      <c r="D9" s="526"/>
      <c r="E9" s="526"/>
      <c r="F9" s="526"/>
      <c r="G9" s="527"/>
      <c r="H9" s="523"/>
      <c r="I9" s="523"/>
      <c r="J9" s="523"/>
      <c r="K9" s="521"/>
      <c r="L9" s="52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Isolator Tumpu ( Pin Post ) 20 KV Porcelein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5</v>
      </c>
      <c r="G15" s="41">
        <f ca="1">IF(ISERROR(OFFSET('HARGA SATUAN'!$I$6,MATCH(C15,'HARGA SATUAN'!$C$7:$C$1492,0),0)),"",OFFSET('HARGA SATUAN'!$I$6,MATCH(C15,'HARGA SATUAN'!$C$7:$C$1492,0),0))</f>
        <v>235900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Isolator Tarik ( Strainkap Porcelain ) 20 KV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Set</v>
      </c>
      <c r="F16" s="138">
        <f t="shared" ca="1" si="2"/>
        <v>2</v>
      </c>
      <c r="G16" s="41">
        <f ca="1">IF(ISERROR(OFFSET('HARGA SATUAN'!$I$6,MATCH(C16,'HARGA SATUAN'!$C$7:$C$1492,0),0)),"",OFFSET('HARGA SATUAN'!$I$6,MATCH(C16,'HARGA SATUAN'!$C$7:$C$1492,0),0))</f>
        <v>430000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2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150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620</v>
      </c>
      <c r="G18" s="41">
        <f ca="1">IF(ISERROR(OFFSET('HARGA SATUAN'!$I$6,MATCH(C18,'HARGA SATUAN'!$C$7:$C$1492,0),0)),"",OFFSET('HARGA SATUAN'!$I$6,MATCH(C18,'HARGA SATUAN'!$C$7:$C$1492,0),0))</f>
        <v>25300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2 x 70 + N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52</v>
      </c>
      <c r="G19" s="41">
        <f ca="1">IF(ISERROR(OFFSET('HARGA SATUAN'!$I$6,MATCH(C19,'HARGA SATUAN'!$C$7:$C$1492,0),0)),"",OFFSET('HARGA SATUAN'!$I$6,MATCH(C19,'HARGA SATUAN'!$C$7:$C$1492,0),0))</f>
        <v>53300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 2 x 16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35</v>
      </c>
      <c r="G20" s="41">
        <f ca="1">IF(ISERROR(OFFSET('HARGA SATUAN'!$I$6,MATCH(C20,'HARGA SATUAN'!$C$7:$C$1492,0),0)),"",OFFSET('HARGA SATUAN'!$I$6,MATCH(C20,'HARGA SATUAN'!$C$7:$C$1492,0),0))</f>
        <v>6600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SUMIFS(RAB!$F$14:$F$145,RAB!$C$14:$C$145,C714)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SUMIFS(RAB!$F$14:$F$145,RAB!$C$14:$C$145,C715)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SUMIFS(RAB!$F$14:$F$145,RAB!$C$14:$C$145,C716)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SUMIFS(RAB!$F$14:$F$145,RAB!$C$14:$C$145,C717)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SUMIFS(RAB!$F$14:$F$145,RAB!$C$14:$C$145,C718)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SUMIFS(RAB!$F$14:$F$145,RAB!$C$14:$C$145,C719)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SUMIFS(RAB!$F$14:$F$145,RAB!$C$14:$C$145,C720)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SUMIFS(RAB!$F$14:$F$145,RAB!$C$14:$C$145,C721)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SUMIFS(RAB!$F$14:$F$145,RAB!$C$14:$C$145,C722)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SUMIFS(RAB!$F$14:$F$145,RAB!$C$14:$C$145,C723)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SUMIFS(RAB!$F$14:$F$145,RAB!$C$14:$C$145,C724)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SUMIFS(RAB!$F$14:$F$145,RAB!$C$14:$C$145,C725)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SUMIFS(RAB!$F$14:$F$145,RAB!$C$14:$C$145,C726)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SUMIFS(RAB!$F$14:$F$145,RAB!$C$14:$C$145,C727)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SUMIFS(RAB!$F$14:$F$145,RAB!$C$14:$C$145,C728)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SUMIFS(RAB!$F$14:$F$145,RAB!$C$14:$C$145,C729)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SUMIFS(RAB!$F$14:$F$145,RAB!$C$14:$C$145,C730)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SUMIFS(RAB!$F$14:$F$145,RAB!$C$14:$C$145,C731)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SUMIFS(RAB!$F$14:$F$145,RAB!$C$14:$C$145,C732)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SUMIFS(RAB!$F$14:$F$145,RAB!$C$14:$C$145,C733)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SUMIFS(RAB!$F$14:$F$145,RAB!$C$14:$C$145,C734)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SUMIFS(RAB!$F$14:$F$145,RAB!$C$14:$C$145,C735)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SUMIFS(RAB!$F$14:$F$145,RAB!$C$14:$C$145,C736)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SUMIFS(RAB!$F$14:$F$145,RAB!$C$14:$C$145,C737)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SUMIFS(RAB!$F$14:$F$145,RAB!$C$14:$C$145,C738)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SUMIFS(RAB!$F$14:$F$145,RAB!$C$14:$C$145,C739)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SUMIFS(RAB!$F$14:$F$145,RAB!$C$14:$C$145,C740)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SUMIFS(RAB!$F$14:$F$145,RAB!$C$14:$C$145,C741)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SUMIFS(RAB!$F$14:$F$145,RAB!$C$14:$C$145,C742)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SUMIFS(RAB!$F$14:$F$145,RAB!$C$14:$C$145,C743)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SUMIFS(RAB!$F$14:$F$145,RAB!$C$14:$C$145,C744)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SUMIFS(RAB!$F$14:$F$145,RAB!$C$14:$C$145,C745)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SUMIFS(RAB!$F$14:$F$145,RAB!$C$14:$C$145,C746)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SUMIFS(RAB!$F$14:$F$145,RAB!$C$14:$C$145,C747)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SUMIFS(RAB!$F$14:$F$145,RAB!$C$14:$C$145,C748)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SUMIFS(RAB!$F$14:$F$145,RAB!$C$14:$C$145,C749)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SUMIFS(RAB!$F$14:$F$145,RAB!$C$14:$C$145,C750)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SUMIFS(RAB!$F$14:$F$145,RAB!$C$14:$C$145,C751)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SUMIFS(RAB!$F$14:$F$145,RAB!$C$14:$C$145,C752)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SUMIFS(RAB!$F$14:$F$145,RAB!$C$14:$C$145,C753)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SUMIFS(RAB!$F$14:$F$145,RAB!$C$14:$C$145,C754)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SUMIFS(RAB!$F$14:$F$145,RAB!$C$14:$C$145,C755)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SUMIFS(RAB!$F$14:$F$145,RAB!$C$14:$C$145,C756)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SUMIFS(RAB!$F$14:$F$145,RAB!$C$14:$C$145,C757)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SUMIFS(RAB!$F$14:$F$145,RAB!$C$14:$C$145,C758)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SUMIFS(RAB!$F$14:$F$145,RAB!$C$14:$C$145,C759)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SUMIFS(RAB!$F$14:$F$145,RAB!$C$14:$C$145,C760)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SUMIFS(RAB!$F$14:$F$145,RAB!$C$14:$C$145,C761)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SUMIFS(RAB!$F$14:$F$145,RAB!$C$14:$C$145,C762)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SUMIFS(RAB!$F$14:$F$145,RAB!$C$14:$C$145,C763)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SUMIFS(RAB!$F$14:$F$145,RAB!$C$14:$C$145,C764)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SUMIFS(RAB!$F$14:$F$145,RAB!$C$14:$C$145,C765)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SUMIFS(RAB!$F$14:$F$145,RAB!$C$14:$C$145,C766)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SUMIFS(RAB!$F$14:$F$145,RAB!$C$14:$C$145,C767)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SUMIFS(RAB!$F$14:$F$145,RAB!$C$14:$C$145,C768)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SUMIFS(RAB!$F$14:$F$145,RAB!$C$14:$C$145,C769)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SUMIFS(RAB!$F$14:$F$145,RAB!$C$14:$C$145,C770)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SUMIFS(RAB!$F$14:$F$145,RAB!$C$14:$C$145,C771)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SUMIFS(RAB!$F$14:$F$145,RAB!$C$14:$C$145,C772)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SUMIFS(RAB!$F$14:$F$145,RAB!$C$14:$C$145,C773)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SUMIFS(RAB!$F$14:$F$145,RAB!$C$14:$C$145,C774)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SUMIFS(RAB!$F$14:$F$145,RAB!$C$14:$C$145,C775)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SUMIFS(RAB!$F$14:$F$145,RAB!$C$14:$C$145,C776)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SUMIFS(RAB!$F$14:$F$145,RAB!$C$14:$C$145,C777)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SUMIFS(RAB!$F$14:$F$145,RAB!$C$14:$C$145,C778)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SUMIFS(RAB!$F$14:$F$145,RAB!$C$14:$C$145,C779)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SUMIFS(RAB!$F$14:$F$145,RAB!$C$14:$C$145,C780)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SUMIFS(RAB!$F$14:$F$145,RAB!$C$14:$C$145,C781)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SUMIFS(RAB!$F$14:$F$145,RAB!$C$14:$C$145,C782)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SUMIFS(RAB!$F$14:$F$145,RAB!$C$14:$C$145,C783)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SUMIFS(RAB!$F$14:$F$145,RAB!$C$14:$C$145,C784)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SUMIFS(RAB!$F$14:$F$145,RAB!$C$14:$C$145,C785)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SUMIFS(RAB!$F$14:$F$145,RAB!$C$14:$C$145,C786)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SUMIFS(RAB!$F$14:$F$145,RAB!$C$14:$C$145,C787)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SUMIFS(RAB!$F$14:$F$145,RAB!$C$14:$C$145,C788)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SUMIFS(RAB!$F$14:$F$145,RAB!$C$14:$C$145,C789)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SUMIFS(RAB!$F$14:$F$145,RAB!$C$14:$C$145,C790)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SUMIFS(RAB!$F$14:$F$145,RAB!$C$14:$C$145,C791)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SUMIFS(RAB!$F$14:$F$145,RAB!$C$14:$C$145,C792)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SUMIFS(RAB!$F$14:$F$145,RAB!$C$14:$C$145,C793)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SUMIFS(RAB!$F$14:$F$145,RAB!$C$14:$C$145,C794)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SUMIFS(RAB!$F$14:$F$145,RAB!$C$14:$C$145,C795)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SUMIFS(RAB!$F$14:$F$145,RAB!$C$14:$C$145,C796)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SUMIFS(RAB!$F$14:$F$145,RAB!$C$14:$C$145,C797)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SUMIFS(RAB!$F$14:$F$145,RAB!$C$14:$C$145,C798)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SUMIFS(RAB!$F$14:$F$145,RAB!$C$14:$C$145,C799)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SUMIFS(RAB!$F$14:$F$145,RAB!$C$14:$C$145,C800)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SUMIFS(RAB!$F$14:$F$145,RAB!$C$14:$C$145,C801)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SUMIFS(RAB!$F$14:$F$145,RAB!$C$14:$C$145,C802)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SUMIFS(RAB!$F$14:$F$145,RAB!$C$14:$C$145,C803)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SUMIFS(RAB!$F$14:$F$145,RAB!$C$14:$C$145,C804)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SUMIFS(RAB!$F$14:$F$145,RAB!$C$14:$C$145,C805)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SUMIFS(RAB!$F$14:$F$145,RAB!$C$14:$C$145,C806)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SUMIFS(RAB!$F$14:$F$145,RAB!$C$14:$C$145,C807)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SUMIFS(RAB!$F$14:$F$145,RAB!$C$14:$C$145,C808)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SUMIFS(RAB!$F$14:$F$145,RAB!$C$14:$C$145,C809)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SUMIFS(RAB!$F$14:$F$145,RAB!$C$14:$C$145,C810)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SUMIFS(RAB!$F$14:$F$145,RAB!$C$14:$C$145,C811)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SUMIFS(RAB!$F$14:$F$145,RAB!$C$14:$C$145,C812)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SUMIFS(RAB!$F$14:$F$145,RAB!$C$14:$C$145,C813)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SUMIFS(RAB!$F$14:$F$145,RAB!$C$14:$C$145,C814)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SUMIFS(RAB!$F$14:$F$145,RAB!$C$14:$C$145,C815)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SUMIFS(RAB!$F$14:$F$145,RAB!$C$14:$C$145,C816)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SUMIFS(RAB!$F$14:$F$145,RAB!$C$14:$C$145,C817)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SUMIFS(RAB!$F$14:$F$145,RAB!$C$14:$C$145,C818)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SUMIFS(RAB!$F$14:$F$145,RAB!$C$14:$C$145,C819)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SUMIFS(RAB!$F$14:$F$145,RAB!$C$14:$C$145,C820)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SUMIFS(RAB!$F$14:$F$145,RAB!$C$14:$C$145,C821)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SUMIFS(RAB!$F$14:$F$145,RAB!$C$14:$C$145,C822)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SUMIFS(RAB!$F$14:$F$145,RAB!$C$14:$C$145,C823)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SUMIFS(RAB!$F$14:$F$145,RAB!$C$14:$C$145,C824)</f>
        <v>5</v>
      </c>
      <c r="E824" s="26">
        <f t="shared" ca="1" si="34"/>
        <v>1</v>
      </c>
      <c r="F824" s="26">
        <f ca="1">IF(D824=0,0,SUM($E$713:E824))</f>
        <v>4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SUMIFS(RAB!$F$14:$F$145,RAB!$C$14:$C$145,C825)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SUMIFS(RAB!$F$14:$F$145,RAB!$C$14:$C$145,C826)</f>
        <v>2</v>
      </c>
      <c r="E826" s="26">
        <f t="shared" ca="1" si="34"/>
        <v>1</v>
      </c>
      <c r="F826" s="26">
        <f ca="1">IF(D826=0,0,SUM($E$713:E826))</f>
        <v>5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SUMIFS(RAB!$F$14:$F$145,RAB!$C$14:$C$145,C827)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SUMIFS(RAB!$F$14:$F$145,RAB!$C$14:$C$145,C828)</f>
        <v>2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SUMIFS(RAB!$F$14:$F$145,RAB!$C$14:$C$145,C829)</f>
        <v>620</v>
      </c>
      <c r="E829" s="26">
        <f t="shared" ca="1" si="34"/>
        <v>1</v>
      </c>
      <c r="F829" s="26">
        <f ca="1">IF(D829=0,0,SUM($E$713:E829))</f>
        <v>7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SUMIFS(RAB!$F$14:$F$145,RAB!$C$14:$C$145,C830)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SUMIFS(RAB!$F$14:$F$145,RAB!$C$14:$C$145,C831)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SUMIFS(RAB!$F$14:$F$145,RAB!$C$14:$C$145,C832)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SUMIFS(RAB!$F$14:$F$145,RAB!$C$14:$C$145,C833)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SUMIFS(RAB!$F$14:$F$145,RAB!$C$14:$C$145,C834)</f>
        <v>52</v>
      </c>
      <c r="E834" s="26">
        <f t="shared" ca="1" si="34"/>
        <v>1</v>
      </c>
      <c r="F834" s="26">
        <f ca="1">IF(D834=0,0,SUM($E$713:E834))</f>
        <v>8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SUMIFS(RAB!$F$14:$F$145,RAB!$C$14:$C$145,C835)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SUMIFS(RAB!$F$14:$F$145,RAB!$C$14:$C$145,C836)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SUMIFS(RAB!$F$14:$F$145,RAB!$C$14:$C$145,C837)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SUMIFS(RAB!$F$14:$F$145,RAB!$C$14:$C$145,C838)</f>
        <v>35</v>
      </c>
      <c r="E838" s="26">
        <f t="shared" ca="1" si="34"/>
        <v>1</v>
      </c>
      <c r="F838" s="26">
        <f ca="1">IF(D838=0,0,SUM($E$713:E838))</f>
        <v>9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SUMIFS(RAB!$F$14:$F$145,RAB!$C$14:$C$145,C839)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SUMIFS(RAB!$F$14:$F$145,RAB!$C$14:$C$145,C840)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SUMIFS(RAB!$F$14:$F$145,RAB!$C$14:$C$145,C841)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SUMIFS(RAB!$F$14:$F$145,RAB!$C$14:$C$145,C842)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SUMIFS(RAB!$F$14:$F$145,RAB!$C$14:$C$145,C843)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SUMIFS(RAB!$F$14:$F$145,RAB!$C$14:$C$145,C844)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SUMIFS(RAB!$F$14:$F$145,RAB!$C$14:$C$145,C845)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SUMIFS(RAB!$F$14:$F$145,RAB!$C$14:$C$145,C846)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SUMIFS(RAB!$F$14:$F$145,RAB!$C$14:$C$145,C847)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SUMIFS(RAB!$F$14:$F$145,RAB!$C$14:$C$145,C848)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SUMIFS(RAB!$F$14:$F$145,RAB!$C$14:$C$145,C849)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SUMIFS(RAB!$F$14:$F$145,RAB!$C$14:$C$145,C850)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SUMIFS(RAB!$F$14:$F$145,RAB!$C$14:$C$145,C851)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SUMIFS(RAB!$F$14:$F$145,RAB!$C$14:$C$145,C852)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SUMIFS(RAB!$F$14:$F$145,RAB!$C$14:$C$145,C853)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SUMIFS(RAB!$F$14:$F$145,RAB!$C$14:$C$145,C854)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SUMIFS(RAB!$F$14:$F$145,RAB!$C$14:$C$145,C855)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SUMIFS(RAB!$F$14:$F$145,RAB!$C$14:$C$145,C856)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SUMIFS(RAB!$F$14:$F$145,RAB!$C$14:$C$145,C857)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SUMIFS(RAB!$F$14:$F$145,RAB!$C$14:$C$145,C858)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SUMIFS(RAB!$F$14:$F$145,RAB!$C$14:$C$145,C859)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SUMIFS(RAB!$F$14:$F$145,RAB!$C$14:$C$145,C860)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SUMIFS(RAB!$F$14:$F$145,RAB!$C$14:$C$145,C861)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SUMIFS(RAB!$F$14:$F$145,RAB!$C$14:$C$145,C862)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SUMIFS(RAB!$F$14:$F$145,RAB!$C$14:$C$145,C863)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SUMIFS(RAB!$F$14:$F$145,RAB!$C$14:$C$145,C864)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SUMIFS(RAB!$F$14:$F$145,RAB!$C$14:$C$145,C865)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SUMIFS(RAB!$F$14:$F$145,RAB!$C$14:$C$145,C866)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SUMIFS(RAB!$F$14:$F$145,RAB!$C$14:$C$145,C867)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SUMIFS(RAB!$F$14:$F$145,RAB!$C$14:$C$145,C868)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SUMIFS(RAB!$F$14:$F$145,RAB!$C$14:$C$145,C869)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SUMIFS(RAB!$F$14:$F$145,RAB!$C$14:$C$145,C870)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SUMIFS(RAB!$F$14:$F$145,RAB!$C$14:$C$145,C871)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SUMIFS(RAB!$F$14:$F$145,RAB!$C$14:$C$145,C872)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SUMIFS(RAB!$F$14:$F$145,RAB!$C$14:$C$145,C873)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SUMIFS(RAB!$F$14:$F$145,RAB!$C$14:$C$145,C874)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SUMIFS(RAB!$F$14:$F$145,RAB!$C$14:$C$145,C875)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SUMIFS(RAB!$F$14:$F$145,RAB!$C$14:$C$145,C876)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SUMIFS(RAB!$F$14:$F$145,RAB!$C$14:$C$145,C877)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SUMIFS(RAB!$F$14:$F$145,RAB!$C$14:$C$145,C878)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SUMIFS(RAB!$F$14:$F$145,RAB!$C$14:$C$145,C879)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SUMIFS(RAB!$F$14:$F$145,RAB!$C$14:$C$145,C880)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SUMIFS(RAB!$F$14:$F$145,RAB!$C$14:$C$145,C881)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SUMIFS(RAB!$F$14:$F$145,RAB!$C$14:$C$145,C882)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SUMIFS(RAB!$F$14:$F$145,RAB!$C$14:$C$145,C883)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SUMIFS(RAB!$F$14:$F$145,RAB!$C$14:$C$145,C884)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SUMIFS(RAB!$F$14:$F$145,RAB!$C$14:$C$145,C885)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SUMIFS(RAB!$F$14:$F$145,RAB!$C$14:$C$145,C886)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SUMIFS(RAB!$F$14:$F$145,RAB!$C$14:$C$145,C887)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SUMIFS(RAB!$F$14:$F$145,RAB!$C$14:$C$145,C888)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SUMIFS(RAB!$F$14:$F$145,RAB!$C$14:$C$145,C889)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SUMIFS(RAB!$F$14:$F$145,RAB!$C$14:$C$145,C890)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SUMIFS(RAB!$F$14:$F$145,RAB!$C$14:$C$145,C891)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SUMIFS(RAB!$F$14:$F$145,RAB!$C$14:$C$145,C892)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SUMIFS(RAB!$F$14:$F$145,RAB!$C$14:$C$145,C893)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SUMIFS(RAB!$F$14:$F$145,RAB!$C$14:$C$145,C894)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SUMIFS(RAB!$F$14:$F$145,RAB!$C$14:$C$145,C895)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SUMIFS(RAB!$F$14:$F$145,RAB!$C$14:$C$145,C896)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SUMIFS(RAB!$F$14:$F$145,RAB!$C$14:$C$145,C897)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SUMIFS(RAB!$F$14:$F$145,RAB!$C$14:$C$145,C898)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SUMIFS(RAB!$F$14:$F$145,RAB!$C$14:$C$145,C899)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SUMIFS(RAB!$F$14:$F$145,RAB!$C$14:$C$145,C900)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SUMIFS(RAB!$F$14:$F$145,RAB!$C$14:$C$145,C901)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SUMIFS(RAB!$F$14:$F$145,RAB!$C$14:$C$145,C902)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SUMIFS(RAB!$F$14:$F$145,RAB!$C$14:$C$145,C903)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SUMIFS(RAB!$F$14:$F$145,RAB!$C$14:$C$145,C904)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SUMIFS(RAB!$F$14:$F$145,RAB!$C$14:$C$145,C905)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SUMIFS(RAB!$F$14:$F$145,RAB!$C$14:$C$145,C906)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SUMIFS(RAB!$F$14:$F$145,RAB!$C$14:$C$145,C907)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SUMIFS(RAB!$F$14:$F$145,RAB!$C$14:$C$145,C908)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SUMIFS(RAB!$F$14:$F$145,RAB!$C$14:$C$145,C909)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SUMIFS(RAB!$F$14:$F$145,RAB!$C$14:$C$145,C910)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SUMIFS(RAB!$F$14:$F$145,RAB!$C$14:$C$145,C911)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SUMIFS(RAB!$F$14:$F$145,RAB!$C$14:$C$145,C912)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SUMIFS(RAB!$F$14:$F$145,RAB!$C$14:$C$145,C913)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SUMIFS(RAB!$F$14:$F$145,RAB!$C$14:$C$145,C914)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SUMIFS(RAB!$F$14:$F$145,RAB!$C$14:$C$145,C915)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SUMIFS(RAB!$F$14:$F$145,RAB!$C$14:$C$145,C916)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SUMIFS(RAB!$F$14:$F$145,RAB!$C$14:$C$145,C917)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SUMIFS(RAB!$F$14:$F$145,RAB!$C$14:$C$145,C918)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SUMIFS(RAB!$F$14:$F$145,RAB!$C$14:$C$145,C919)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SUMIFS(RAB!$F$14:$F$145,RAB!$C$14:$C$145,C920)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SUMIFS(RAB!$F$14:$F$145,RAB!$C$14:$C$145,C921)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SUMIFS(RAB!$F$14:$F$145,RAB!$C$14:$C$145,C922)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SUMIFS(RAB!$F$14:$F$145,RAB!$C$14:$C$145,C923)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SUMIFS(RAB!$F$14:$F$145,RAB!$C$14:$C$145,C924)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SUMIFS(RAB!$F$14:$F$145,RAB!$C$14:$C$145,C925)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SUMIFS(RAB!$F$14:$F$145,RAB!$C$14:$C$145,C926)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SUMIFS(RAB!$F$14:$F$145,RAB!$C$14:$C$145,C927)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SUMIFS(RAB!$F$14:$F$145,RAB!$C$14:$C$145,C928)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SUMIFS(RAB!$F$14:$F$145,RAB!$C$14:$C$145,C929)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SUMIFS(RAB!$F$14:$F$145,RAB!$C$14:$C$145,C930)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SUMIFS(RAB!$F$14:$F$145,RAB!$C$14:$C$145,C931)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SUMIFS(RAB!$F$14:$F$145,RAB!$C$14:$C$145,C932)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SUMIFS(RAB!$F$14:$F$145,RAB!$C$14:$C$145,C933)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SUMIFS(RAB!$F$14:$F$145,RAB!$C$14:$C$145,C934)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SUMIFS(RAB!$F$14:$F$145,RAB!$C$14:$C$145,C935)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SUMIFS(RAB!$F$14:$F$145,RAB!$C$14:$C$145,C936)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SUMIFS(RAB!$F$14:$F$145,RAB!$C$14:$C$145,C937)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SUMIFS(RAB!$F$14:$F$145,RAB!$C$14:$C$145,C938)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SUMIFS(RAB!$F$14:$F$145,RAB!$C$14:$C$145,C939)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SUMIFS(RAB!$F$14:$F$145,RAB!$C$14:$C$145,C940)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SUMIFS(RAB!$F$14:$F$145,RAB!$C$14:$C$145,C941)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SUMIFS(RAB!$F$14:$F$145,RAB!$C$14:$C$145,C942)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SUMIFS(RAB!$F$14:$F$145,RAB!$C$14:$C$145,C943)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SUMIFS(RAB!$F$14:$F$145,RAB!$C$14:$C$145,C944)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SUMIFS(RAB!$F$14:$F$145,RAB!$C$14:$C$145,C945)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SUMIFS(RAB!$F$14:$F$145,RAB!$C$14:$C$145,C946)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SUMIFS(RAB!$F$14:$F$145,RAB!$C$14:$C$145,C947)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SUMIFS(RAB!$F$14:$F$145,RAB!$C$14:$C$145,C948)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SUMIFS(RAB!$F$14:$F$145,RAB!$C$14:$C$145,C949)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SUMIFS(RAB!$F$14:$F$145,RAB!$C$14:$C$145,C950)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SUMIFS(RAB!$F$14:$F$145,RAB!$C$14:$C$145,C951)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SUMIFS(RAB!$F$14:$F$145,RAB!$C$14:$C$145,C952)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SUMIFS(RAB!$F$14:$F$145,RAB!$C$14:$C$145,C953)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SUMIFS(RAB!$F$14:$F$145,RAB!$C$14:$C$145,C954)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SUMIFS(RAB!$F$14:$F$145,RAB!$C$14:$C$145,C955)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SUMIFS(RAB!$F$14:$F$145,RAB!$C$14:$C$145,C956)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SUMIFS(RAB!$F$14:$F$145,RAB!$C$14:$C$145,C957)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SUMIFS(RAB!$F$14:$F$145,RAB!$C$14:$C$145,C958)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SUMIFS(RAB!$F$14:$F$145,RAB!$C$14:$C$145,C959)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SUMIFS(RAB!$F$14:$F$145,RAB!$C$14:$C$145,C960)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SUMIFS(RAB!$F$14:$F$145,RAB!$C$14:$C$145,C961)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SUMIFS(RAB!$F$14:$F$145,RAB!$C$14:$C$145,C962)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SUMIFS(RAB!$F$14:$F$145,RAB!$C$14:$C$145,C963)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SUMIFS(RAB!$F$14:$F$145,RAB!$C$14:$C$145,C964)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SUMIFS(RAB!$F$14:$F$145,RAB!$C$14:$C$145,C965)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SUMIFS(RAB!$F$14:$F$145,RAB!$C$14:$C$145,C966)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SUMIFS(RAB!$F$14:$F$145,RAB!$C$14:$C$145,C967)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SUMIFS(RAB!$F$14:$F$145,RAB!$C$14:$C$145,C968)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SUMIFS(RAB!$F$14:$F$145,RAB!$C$14:$C$145,C969)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SUMIFS(RAB!$F$14:$F$145,RAB!$C$14:$C$145,C970)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SUMIFS(RAB!$F$14:$F$145,RAB!$C$14:$C$145,C971)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SUMIFS(RAB!$F$14:$F$145,RAB!$C$14:$C$145,C972)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SUMIFS(RAB!$F$14:$F$145,RAB!$C$14:$C$145,C973)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SUMIFS(RAB!$F$14:$F$145,RAB!$C$14:$C$145,C974)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SUMIFS(RAB!$F$14:$F$145,RAB!$C$14:$C$145,C975)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SUMIFS(RAB!$F$14:$F$145,RAB!$C$14:$C$145,C976)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SUMIFS(RAB!$F$14:$F$145,RAB!$C$14:$C$145,C977)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SUMIFS(RAB!$F$14:$F$145,RAB!$C$14:$C$145,C978)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SUMIFS(RAB!$F$14:$F$145,RAB!$C$14:$C$145,C979)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SUMIFS(RAB!$F$14:$F$145,RAB!$C$14:$C$145,C980)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SUMIFS(RAB!$F$14:$F$145,RAB!$C$14:$C$145,C981)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SUMIFS(RAB!$F$14:$F$145,RAB!$C$14:$C$145,C982)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SUMIFS(RAB!$F$14:$F$145,RAB!$C$14:$C$145,C983)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SUMIFS(RAB!$F$14:$F$145,RAB!$C$14:$C$145,C984)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SUMIFS(RAB!$F$14:$F$145,RAB!$C$14:$C$145,C985)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SUMIFS(RAB!$F$14:$F$145,RAB!$C$14:$C$145,C986)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SUMIFS(RAB!$F$14:$F$145,RAB!$C$14:$C$145,C987)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SUMIFS(RAB!$F$14:$F$145,RAB!$C$14:$C$145,C988)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SUMIFS(RAB!$F$14:$F$145,RAB!$C$14:$C$145,C989)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SUMIFS(RAB!$F$14:$F$145,RAB!$C$14:$C$145,C990)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SUMIFS(RAB!$F$14:$F$145,RAB!$C$14:$C$145,C991)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SUMIFS(RAB!$F$14:$F$145,RAB!$C$14:$C$145,C992)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SUMIFS(RAB!$F$14:$F$145,RAB!$C$14:$C$145,C993)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SUMIFS(RAB!$F$14:$F$145,RAB!$C$14:$C$145,C994)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SUMIFS(RAB!$F$14:$F$145,RAB!$C$14:$C$145,C995)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SUMIFS(RAB!$F$14:$F$145,RAB!$C$14:$C$145,C996)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SUMIFS(RAB!$F$14:$F$145,RAB!$C$14:$C$145,C997)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SUMIFS(RAB!$F$14:$F$145,RAB!$C$14:$C$145,C998)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SUMIFS(RAB!$F$14:$F$145,RAB!$C$14:$C$145,C999)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SUMIFS(RAB!$F$14:$F$145,RAB!$C$14:$C$145,C1000)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SUMIFS(RAB!$F$14:$F$145,RAB!$C$14:$C$145,C1001)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SUMIFS(RAB!$F$14:$F$145,RAB!$C$14:$C$145,C1002)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SUMIFS(RAB!$F$14:$F$145,RAB!$C$14:$C$145,C1003)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SUMIFS(RAB!$F$14:$F$145,RAB!$C$14:$C$145,C1004)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SUMIFS(RAB!$F$14:$F$145,RAB!$C$14:$C$145,C1005)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SUMIFS(RAB!$F$14:$F$145,RAB!$C$14:$C$145,C1006)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SUMIFS(RAB!$F$14:$F$145,RAB!$C$14:$C$145,C1007)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SUMIFS(RAB!$F$14:$F$145,RAB!$C$14:$C$145,C1008)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SUMIFS(RAB!$F$14:$F$145,RAB!$C$14:$C$145,C1009)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SUMIFS(RAB!$F$14:$F$145,RAB!$C$14:$C$145,C1010)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SUMIFS(RAB!$F$14:$F$145,RAB!$C$14:$C$145,C1011)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SUMIFS(RAB!$F$14:$F$145,RAB!$C$14:$C$145,C1012)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SUMIFS(RAB!$F$14:$F$145,RAB!$C$14:$C$145,C1013)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SUMIFS(RAB!$F$14:$F$145,RAB!$C$14:$C$145,C1014)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SUMIFS(RAB!$F$14:$F$145,RAB!$C$14:$C$145,C1015)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SUMIFS(RAB!$F$14:$F$145,RAB!$C$14:$C$145,C1016)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SUMIFS(RAB!$F$14:$F$145,RAB!$C$14:$C$145,C1017)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SUMIFS(RAB!$F$14:$F$145,RAB!$C$14:$C$145,C1018)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SUMIFS(RAB!$F$14:$F$145,RAB!$C$14:$C$145,C1019)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SUMIFS(RAB!$F$14:$F$145,RAB!$C$14:$C$145,C1020)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SUMIFS(RAB!$F$14:$F$145,RAB!$C$14:$C$145,C1021)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SUMIFS(RAB!$F$14:$F$145,RAB!$C$14:$C$145,C1022)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SUMIFS(RAB!$F$14:$F$145,RAB!$C$14:$C$145,C1023)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SUMIFS(RAB!$F$14:$F$145,RAB!$C$14:$C$145,C1024)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SUMIFS(RAB!$F$14:$F$145,RAB!$C$14:$C$145,C1025)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SUMIFS(RAB!$F$14:$F$145,RAB!$C$14:$C$145,C1026)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SUMIFS(RAB!$F$14:$F$145,RAB!$C$14:$C$145,C1027)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SUMIFS(RAB!$F$14:$F$145,RAB!$C$14:$C$145,C1028)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SUMIFS(RAB!$F$14:$F$145,RAB!$C$14:$C$145,C1029)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SUMIFS(RAB!$F$14:$F$145,RAB!$C$14:$C$145,C1030)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SUMIFS(RAB!$F$14:$F$145,RAB!$C$14:$C$145,C1031)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SUMIFS(RAB!$F$14:$F$145,RAB!$C$14:$C$145,C1032)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SUMIFS(RAB!$F$14:$F$145,RAB!$C$14:$C$145,C1033)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SUMIFS(RAB!$F$14:$F$145,RAB!$C$14:$C$145,C1034)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SUMIFS(RAB!$F$14:$F$145,RAB!$C$14:$C$145,C1035)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SUMIFS(RAB!$F$14:$F$145,RAB!$C$14:$C$145,C1036)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SUMIFS(RAB!$F$14:$F$145,RAB!$C$14:$C$145,C1037)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SUMIFS(RAB!$F$14:$F$145,RAB!$C$14:$C$145,C1038)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SUMIFS(RAB!$F$14:$F$145,RAB!$C$14:$C$145,C1039)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SUMIFS(RAB!$F$14:$F$145,RAB!$C$14:$C$145,C1040)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SUMIFS(RAB!$F$14:$F$145,RAB!$C$14:$C$145,C1041)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SUMIFS(RAB!$F$14:$F$145,RAB!$C$14:$C$145,C1042)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SUMIFS(RAB!$F$14:$F$145,RAB!$C$14:$C$145,C1043)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SUMIFS(RAB!$F$14:$F$145,RAB!$C$14:$C$145,C1044)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SUMIFS(RAB!$F$14:$F$145,RAB!$C$14:$C$145,C1045)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SUMIFS(RAB!$F$14:$F$145,RAB!$C$14:$C$145,C1046)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SUMIFS(RAB!$F$14:$F$145,RAB!$C$14:$C$145,C1047)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SUMIFS(RAB!$F$14:$F$145,RAB!$C$14:$C$145,C1048)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SUMIFS(RAB!$F$14:$F$145,RAB!$C$14:$C$145,C1049)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SUMIFS(RAB!$F$14:$F$145,RAB!$C$14:$C$145,C1050)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SUMIFS(RAB!$F$14:$F$145,RAB!$C$14:$C$145,C1051)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SUMIFS(RAB!$F$14:$F$145,RAB!$C$14:$C$145,C1052)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SUMIFS(RAB!$F$14:$F$145,RAB!$C$14:$C$145,C1053)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SUMIFS(RAB!$F$14:$F$145,RAB!$C$14:$C$145,C1054)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SUMIFS(RAB!$F$14:$F$145,RAB!$C$14:$C$145,C1055)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SUMIFS(RAB!$F$14:$F$145,RAB!$C$14:$C$145,C1056)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SUMIFS(RAB!$F$14:$F$145,RAB!$C$14:$C$145,C1057)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SUMIFS(RAB!$F$14:$F$145,RAB!$C$14:$C$145,C1058)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SUMIFS(RAB!$F$14:$F$145,RAB!$C$14:$C$145,C1059)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SUMIFS(RAB!$F$14:$F$145,RAB!$C$14:$C$145,C1060)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SUMIFS(RAB!$F$14:$F$145,RAB!$C$14:$C$145,C1061)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SUMIFS(RAB!$F$14:$F$145,RAB!$C$14:$C$145,C1062)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SUMIFS(RAB!$F$14:$F$145,RAB!$C$14:$C$145,C1063)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SUMIFS(RAB!$F$14:$F$145,RAB!$C$14:$C$145,C1064)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SUMIFS(RAB!$F$14:$F$145,RAB!$C$14:$C$145,C1065)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SUMIFS(RAB!$F$14:$F$145,RAB!$C$14:$C$145,C1066)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SUMIFS(RAB!$F$14:$F$145,RAB!$C$14:$C$145,C1067)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SUMIFS(RAB!$F$14:$F$145,RAB!$C$14:$C$145,C1068)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SUMIFS(RAB!$F$14:$F$145,RAB!$C$14:$C$145,C1069)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SUMIFS(RAB!$F$14:$F$145,RAB!$C$14:$C$145,C1070)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SUMIFS(RAB!$F$14:$F$145,RAB!$C$14:$C$145,C1071)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SUMIFS(RAB!$F$14:$F$145,RAB!$C$14:$C$145,C1072)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SUMIFS(RAB!$F$14:$F$145,RAB!$C$14:$C$145,C1073)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SUMIFS(RAB!$F$14:$F$145,RAB!$C$14:$C$145,C1074)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SUMIFS(RAB!$F$14:$F$145,RAB!$C$14:$C$145,C1075)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SUMIFS(RAB!$F$14:$F$145,RAB!$C$14:$C$145,C1076)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SUMIFS(RAB!$F$14:$F$145,RAB!$C$14:$C$145,C1077)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SUMIFS(RAB!$F$14:$F$145,RAB!$C$14:$C$145,C1078)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SUMIFS(RAB!$F$14:$F$145,RAB!$C$14:$C$145,C1079)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SUMIFS(RAB!$F$14:$F$145,RAB!$C$14:$C$145,C1080)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SUMIFS(RAB!$F$14:$F$145,RAB!$C$14:$C$145,C1081)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SUMIFS(RAB!$F$14:$F$145,RAB!$C$14:$C$145,C1082)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SUMIFS(RAB!$F$14:$F$145,RAB!$C$14:$C$145,C1083)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SUMIFS(RAB!$F$14:$F$145,RAB!$C$14:$C$145,C1084)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SUMIFS(RAB!$F$14:$F$145,RAB!$C$14:$C$145,C1085)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SUMIFS(RAB!$F$14:$F$145,RAB!$C$14:$C$145,C1086)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SUMIFS(RAB!$F$14:$F$145,RAB!$C$14:$C$145,C1087)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SUMIFS(RAB!$F$14:$F$145,RAB!$C$14:$C$145,C1088)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SUMIFS(RAB!$F$14:$F$145,RAB!$C$14:$C$145,C1089)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SUMIFS(RAB!$F$14:$F$145,RAB!$C$14:$C$145,C1090)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SUMIFS(RAB!$F$14:$F$145,RAB!$C$14:$C$145,C1091)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SUMIFS(RAB!$F$14:$F$145,RAB!$C$14:$C$145,C1092)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SUMIFS(RAB!$F$14:$F$145,RAB!$C$14:$C$145,C1093)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SUMIFS(RAB!$F$14:$F$145,RAB!$C$14:$C$145,C1094)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SUMIFS(RAB!$F$14:$F$145,RAB!$C$14:$C$145,C1095)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SUMIFS(RAB!$F$14:$F$145,RAB!$C$14:$C$145,C1096)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SUMIFS(RAB!$F$14:$F$145,RAB!$C$14:$C$145,C1097)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SUMIFS(RAB!$F$14:$F$145,RAB!$C$14:$C$145,C1098)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SUMIFS(RAB!$F$14:$F$145,RAB!$C$14:$C$145,C1099)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SUMIFS(RAB!$F$14:$F$145,RAB!$C$14:$C$145,C1100)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SUMIFS(RAB!$F$14:$F$145,RAB!$C$14:$C$145,C1101)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SUMIFS(RAB!$F$14:$F$145,RAB!$C$14:$C$145,C1102)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SUMIFS(RAB!$F$14:$F$145,RAB!$C$14:$C$145,C1103)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SUMIFS(RAB!$F$14:$F$145,RAB!$C$14:$C$145,C1104)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SUMIFS(RAB!$F$14:$F$145,RAB!$C$14:$C$145,C1105)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SUMIFS(RAB!$F$14:$F$145,RAB!$C$14:$C$145,C1106)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SUMIFS(RAB!$F$14:$F$145,RAB!$C$14:$C$145,C1107)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SUMIFS(RAB!$F$14:$F$145,RAB!$C$14:$C$145,C1108)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SUMIFS(RAB!$F$14:$F$145,RAB!$C$14:$C$145,C1109)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SUMIFS(RAB!$F$14:$F$145,RAB!$C$14:$C$145,C1110)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SUMIFS(RAB!$F$14:$F$145,RAB!$C$14:$C$145,C1111)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SUMIFS(RAB!$F$14:$F$145,RAB!$C$14:$C$145,C1112)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SUMIFS(RAB!$F$14:$F$145,RAB!$C$14:$C$145,C1113)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SUMIFS(RAB!$F$14:$F$145,RAB!$C$14:$C$145,C1114)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SUMIFS(RAB!$F$14:$F$145,RAB!$C$14:$C$145,C1115)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SUMIFS(RAB!$F$14:$F$145,RAB!$C$14:$C$145,C1116)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SUMIFS(RAB!$F$14:$F$145,RAB!$C$14:$C$145,C1117)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SUMIFS(RAB!$F$14:$F$145,RAB!$C$14:$C$145,C1118)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SUMIFS(RAB!$F$14:$F$145,RAB!$C$14:$C$145,C1119)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SUMIFS(RAB!$F$14:$F$145,RAB!$C$14:$C$145,C1120)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SUMIFS(RAB!$F$14:$F$145,RAB!$C$14:$C$145,C1121)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SUMIFS(RAB!$F$14:$F$145,RAB!$C$14:$C$145,C1122)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SUMIFS(RAB!$F$14:$F$145,RAB!$C$14:$C$145,C1123)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SUMIFS(RAB!$F$14:$F$145,RAB!$C$14:$C$145,C1124)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SUMIFS(RAB!$F$14:$F$145,RAB!$C$14:$C$145,C1125)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SUMIFS(RAB!$F$14:$F$145,RAB!$C$14:$C$145,C1126)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SUMIFS(RAB!$F$14:$F$145,RAB!$C$14:$C$145,C1127)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SUMIFS(RAB!$F$14:$F$145,RAB!$C$14:$C$145,C1128)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SUMIFS(RAB!$F$14:$F$145,RAB!$C$14:$C$145,C1129)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SUMIFS(RAB!$F$14:$F$145,RAB!$C$14:$C$145,C1130)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SUMIFS(RAB!$F$14:$F$145,RAB!$C$14:$C$145,C1131)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SUMIFS(RAB!$F$14:$F$145,RAB!$C$14:$C$145,C1132)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SUMIFS(RAB!$F$14:$F$145,RAB!$C$14:$C$145,C1133)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SUMIFS(RAB!$F$14:$F$145,RAB!$C$14:$C$145,C1134)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SUMIFS(RAB!$F$14:$F$145,RAB!$C$14:$C$145,C1135)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SUMIFS(RAB!$F$14:$F$145,RAB!$C$14:$C$145,C1136)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SUMIFS(RAB!$F$14:$F$145,RAB!$C$14:$C$145,C1137)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SUMIFS(RAB!$F$14:$F$145,RAB!$C$14:$C$145,C1138)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SUMIFS(RAB!$F$14:$F$145,RAB!$C$14:$C$145,C1139)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SUMIFS(RAB!$F$14:$F$145,RAB!$C$14:$C$145,C1140)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SUMIFS(RAB!$F$14:$F$145,RAB!$C$14:$C$145,C1141)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SUMIFS(RAB!$F$14:$F$145,RAB!$C$14:$C$145,C1142)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SUMIFS(RAB!$F$14:$F$145,RAB!$C$14:$C$145,C1143)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SUMIFS(RAB!$F$14:$F$145,RAB!$C$14:$C$145,C1144)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SUMIFS(RAB!$F$14:$F$145,RAB!$C$14:$C$145,C1145)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SUMIFS(RAB!$F$14:$F$145,RAB!$C$14:$C$145,C1146)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SUMIFS(RAB!$F$14:$F$145,RAB!$C$14:$C$145,C1147)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SUMIFS(RAB!$F$14:$F$145,RAB!$C$14:$C$145,C1148)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SUMIFS(RAB!$F$14:$F$145,RAB!$C$14:$C$145,C1149)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SUMIFS(RAB!$F$14:$F$145,RAB!$C$14:$C$145,C1150)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SUMIFS(RAB!$F$14:$F$145,RAB!$C$14:$C$145,C1151)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SUMIFS(RAB!$F$14:$F$145,RAB!$C$14:$C$145,C1152)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SUMIFS(RAB!$F$14:$F$145,RAB!$C$14:$C$145,C1153)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SUMIFS(RAB!$F$14:$F$145,RAB!$C$14:$C$145,C1154)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SUMIFS(RAB!$F$14:$F$145,RAB!$C$14:$C$145,C1155)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SUMIFS(RAB!$F$14:$F$145,RAB!$C$14:$C$145,C1156)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SUMIFS(RAB!$F$14:$F$145,RAB!$C$14:$C$145,C1157)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SUMIFS(RAB!$F$14:$F$145,RAB!$C$14:$C$145,C1158)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SUMIFS(RAB!$F$14:$F$145,RAB!$C$14:$C$145,C1159)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SUMIFS(RAB!$F$14:$F$145,RAB!$C$14:$C$145,C1160)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SUMIFS(RAB!$F$14:$F$145,RAB!$C$14:$C$145,C1161)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SUMIFS(RAB!$F$14:$F$145,RAB!$C$14:$C$145,C1162)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SUMIFS(RAB!$F$14:$F$145,RAB!$C$14:$C$145,C1163)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SUMIFS(RAB!$F$14:$F$145,RAB!$C$14:$C$145,C1164)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SUMIFS(RAB!$F$14:$F$145,RAB!$C$14:$C$145,C1165)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SUMIFS(RAB!$F$14:$F$145,RAB!$C$14:$C$145,C1166)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SUMIFS(RAB!$F$14:$F$145,RAB!$C$14:$C$145,C1167)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SUMIFS(RAB!$F$14:$F$145,RAB!$C$14:$C$145,C1168)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SUMIFS(RAB!$F$14:$F$145,RAB!$C$14:$C$145,C1169)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SUMIFS(RAB!$F$14:$F$145,RAB!$C$14:$C$145,C1170)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SUMIFS(RAB!$F$14:$F$145,RAB!$C$14:$C$145,C1171)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SUMIFS(RAB!$F$14:$F$145,RAB!$C$14:$C$145,C1172)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SUMIFS(RAB!$F$14:$F$145,RAB!$C$14:$C$145,C1173)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SUMIFS(RAB!$F$14:$F$145,RAB!$C$14:$C$145,C1174)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SUMIFS(RAB!$F$14:$F$145,RAB!$C$14:$C$145,C1175)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SUMIFS(RAB!$F$14:$F$145,RAB!$C$14:$C$145,C1176)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SUMIFS(RAB!$F$14:$F$145,RAB!$C$14:$C$145,C1177)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SUMIFS(RAB!$F$14:$F$145,RAB!$C$14:$C$145,C1178)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SUMIFS(RAB!$F$14:$F$145,RAB!$C$14:$C$145,C1179)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SUMIFS(RAB!$F$14:$F$145,RAB!$C$14:$C$145,C1180)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SUMIFS(RAB!$F$14:$F$145,RAB!$C$14:$C$145,C1181)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SUMIFS(RAB!$F$14:$F$145,RAB!$C$14:$C$145,C1182)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SUMIFS(RAB!$F$14:$F$145,RAB!$C$14:$C$145,C1183)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SUMIFS(RAB!$F$14:$F$145,RAB!$C$14:$C$145,C1184)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SUMIFS(RAB!$F$14:$F$145,RAB!$C$14:$C$145,C1185)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SUMIFS(RAB!$F$14:$F$145,RAB!$C$14:$C$145,C1186)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SUMIFS(RAB!$F$14:$F$145,RAB!$C$14:$C$145,C1187)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SUMIFS(RAB!$F$14:$F$145,RAB!$C$14:$C$145,C1188)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SUMIFS(RAB!$F$14:$F$145,RAB!$C$14:$C$145,C1189)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SUMIFS(RAB!$F$14:$F$145,RAB!$C$14:$C$145,C1190)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SUMIFS(RAB!$F$14:$F$145,RAB!$C$14:$C$145,C1191)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SUMIFS(RAB!$F$14:$F$145,RAB!$C$14:$C$145,C1192)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SUMIFS(RAB!$F$14:$F$145,RAB!$C$14:$C$145,C1193)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SUMIFS(RAB!$F$14:$F$145,RAB!$C$14:$C$145,C1194)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SUMIFS(RAB!$F$14:$F$145,RAB!$C$14:$C$145,C1195)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SUMIFS(RAB!$F$14:$F$145,RAB!$C$14:$C$145,C1196)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SUMIFS(RAB!$F$14:$F$145,RAB!$C$14:$C$145,C1197)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SUMIFS(RAB!$F$14:$F$145,RAB!$C$14:$C$145,C1198)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SUMIFS(RAB!$F$14:$F$145,RAB!$C$14:$C$145,C1199)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SUMIFS(RAB!$F$14:$F$145,RAB!$C$14:$C$145,C1200)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SUMIFS(RAB!$F$14:$F$145,RAB!$C$14:$C$145,C1201)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SUMIFS(RAB!$F$14:$F$145,RAB!$C$14:$C$145,C1202)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SUMIFS(RAB!$F$14:$F$145,RAB!$C$14:$C$145,C1203)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SUMIFS(RAB!$F$14:$F$145,RAB!$C$14:$C$145,C1204)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SUMIFS(RAB!$F$14:$F$145,RAB!$C$14:$C$145,C1205)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SUMIFS(RAB!$F$14:$F$145,RAB!$C$14:$C$145,C1206)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SUMIFS(RAB!$F$14:$F$145,RAB!$C$14:$C$145,C1207)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SUMIFS(RAB!$F$14:$F$145,RAB!$C$14:$C$145,C1208)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SUMIFS(RAB!$F$14:$F$145,RAB!$C$14:$C$145,C1209)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SUMIFS(RAB!$F$14:$F$145,RAB!$C$14:$C$145,C1210)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SUMIFS(RAB!$F$14:$F$145,RAB!$C$14:$C$145,C1211)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SUMIFS(RAB!$F$14:$F$145,RAB!$C$14:$C$145,C1212)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SUMIFS(RAB!$F$14:$F$145,RAB!$C$14:$C$145,C1213)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SUMIFS(RAB!$F$14:$F$145,RAB!$C$14:$C$145,C1214)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SUMIFS(RAB!$F$14:$F$145,RAB!$C$14:$C$145,C1215)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SUMIFS(RAB!$F$14:$F$145,RAB!$C$14:$C$145,C1216)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SUMIFS(RAB!$F$14:$F$145,RAB!$C$14:$C$145,C1217)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SUMIFS(RAB!$F$14:$F$145,RAB!$C$14:$C$145,C1218)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SUMIFS(RAB!$F$14:$F$145,RAB!$C$14:$C$145,C1219)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SUMIFS(RAB!$F$14:$F$145,RAB!$C$14:$C$145,C1220)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SUMIFS(RAB!$F$14:$F$145,RAB!$C$14:$C$145,C1221)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SUMIFS(RAB!$F$14:$F$145,RAB!$C$14:$C$145,C1222)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SUMIFS(RAB!$F$14:$F$145,RAB!$C$14:$C$145,C1223)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SUMIFS(RAB!$F$14:$F$145,RAB!$C$14:$C$145,C1224)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SUMIFS(RAB!$F$14:$F$145,RAB!$C$14:$C$145,C1225)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SUMIFS(RAB!$F$14:$F$145,RAB!$C$14:$C$145,C1226)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SUMIFS(RAB!$F$14:$F$145,RAB!$C$14:$C$145,C1227)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SUMIFS(RAB!$F$14:$F$145,RAB!$C$14:$C$145,C1228)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SUMIFS(RAB!$F$14:$F$145,RAB!$C$14:$C$145,C1229)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SUMIFS(RAB!$F$14:$F$145,RAB!$C$14:$C$145,C1230)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SUMIFS(RAB!$F$14:$F$145,RAB!$C$14:$C$145,C1231)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SUMIFS(RAB!$F$14:$F$145,RAB!$C$14:$C$145,C1232)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SUMIFS(RAB!$F$14:$F$145,RAB!$C$14:$C$145,C1233)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SUMIFS(RAB!$F$14:$F$145,RAB!$C$14:$C$145,C1234)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SUMIFS(RAB!$F$14:$F$145,RAB!$C$14:$C$145,C1235)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SUMIFS(RAB!$F$14:$F$145,RAB!$C$14:$C$145,C1236)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SUMIFS(RAB!$F$14:$F$145,RAB!$C$14:$C$145,C1237)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SUMIFS(RAB!$F$14:$F$145,RAB!$C$14:$C$145,C1238)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SUMIFS(RAB!$F$14:$F$145,RAB!$C$14:$C$145,C1239)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SUMIFS(RAB!$F$14:$F$145,RAB!$C$14:$C$145,C1240)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SUMIFS(RAB!$F$14:$F$145,RAB!$C$14:$C$145,C1241)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SUMIFS(RAB!$F$14:$F$145,RAB!$C$14:$C$145,C1242)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SUMIFS(RAB!$F$14:$F$145,RAB!$C$14:$C$145,C1243)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SUMIFS(RAB!$F$14:$F$145,RAB!$C$14:$C$145,C1244)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SUMIFS(RAB!$F$14:$F$145,RAB!$C$14:$C$145,C1245)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SUMIFS(RAB!$F$14:$F$145,RAB!$C$14:$C$145,C1246)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SUMIFS(RAB!$F$14:$F$145,RAB!$C$14:$C$145,C1247)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SUMIFS(RAB!$F$14:$F$145,RAB!$C$14:$C$145,C1248)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SUMIFS(RAB!$F$14:$F$145,RAB!$C$14:$C$145,C1249)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SUMIFS(RAB!$F$14:$F$145,RAB!$C$14:$C$145,C1250)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SUMIFS(RAB!$F$14:$F$145,RAB!$C$14:$C$145,C1251)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SUMIFS(RAB!$F$14:$F$145,RAB!$C$14:$C$145,C1252)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SUMIFS(RAB!$F$14:$F$145,RAB!$C$14:$C$145,C1253)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SUMIFS(RAB!$F$14:$F$145,RAB!$C$14:$C$145,C1254)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SUMIFS(RAB!$F$14:$F$145,RAB!$C$14:$C$145,C1255)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SUMIFS(RAB!$F$14:$F$145,RAB!$C$14:$C$145,C1256)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SUMIFS(RAB!$F$14:$F$145,RAB!$C$14:$C$145,C1257)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SUMIFS(RAB!$F$14:$F$145,RAB!$C$14:$C$145,C1258)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SUMIFS(RAB!$F$14:$F$145,RAB!$C$14:$C$145,C1259)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SUMIFS(RAB!$F$14:$F$145,RAB!$C$14:$C$145,C1260)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SUMIFS(RAB!$F$14:$F$145,RAB!$C$14:$C$145,C1261)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SUMIFS(RAB!$F$14:$F$145,RAB!$C$14:$C$145,C1262)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SUMIFS(RAB!$F$14:$F$145,RAB!$C$14:$C$145,C1263)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SUMIFS(RAB!$F$14:$F$145,RAB!$C$14:$C$145,C1264)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SUMIFS(RAB!$F$14:$F$145,RAB!$C$14:$C$145,C1265)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SUMIFS(RAB!$F$14:$F$145,RAB!$C$14:$C$145,C1266)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SUMIFS(RAB!$F$14:$F$145,RAB!$C$14:$C$145,C1267)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SUMIFS(RAB!$F$14:$F$145,RAB!$C$14:$C$145,C1268)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SUMIFS(RAB!$F$14:$F$145,RAB!$C$14:$C$145,C1269)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SUMIFS(RAB!$F$14:$F$145,RAB!$C$14:$C$145,C1270)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SUMIFS(RAB!$F$14:$F$145,RAB!$C$14:$C$145,C1271)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SUMIFS(RAB!$F$14:$F$145,RAB!$C$14:$C$145,C1272)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SUMIFS(RAB!$F$14:$F$145,RAB!$C$14:$C$145,C1273)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SUMIFS(RAB!$F$14:$F$145,RAB!$C$14:$C$145,C1274)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SUMIFS(RAB!$F$14:$F$145,RAB!$C$14:$C$145,C1275)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SUMIFS(RAB!$F$14:$F$145,RAB!$C$14:$C$145,C1276)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SUMIFS(RAB!$F$14:$F$145,RAB!$C$14:$C$145,C1277)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SUMIFS(RAB!$F$14:$F$145,RAB!$C$14:$C$145,C1278)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SUMIFS(RAB!$F$14:$F$145,RAB!$C$14:$C$145,C1279)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SUMIFS(RAB!$F$14:$F$145,RAB!$C$14:$C$145,C1280)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SUMIFS(RAB!$F$14:$F$145,RAB!$C$14:$C$145,C1281)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SUMIFS(RAB!$F$14:$F$145,RAB!$C$14:$C$145,C1282)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SUMIFS(RAB!$F$14:$F$145,RAB!$C$14:$C$145,C1283)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SUMIFS(RAB!$F$14:$F$145,RAB!$C$14:$C$145,C1284)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SUMIFS(RAB!$F$14:$F$145,RAB!$C$14:$C$145,C1285)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SUMIFS(RAB!$F$14:$F$145,RAB!$C$14:$C$145,C1286)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SUMIFS(RAB!$F$14:$F$145,RAB!$C$14:$C$145,C1287)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SUMIFS(RAB!$F$14:$F$145,RAB!$C$14:$C$145,C1288)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SUMIFS(RAB!$F$14:$F$145,RAB!$C$14:$C$145,C1289)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SUMIFS(RAB!$F$14:$F$145,RAB!$C$14:$C$145,C1290)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SUMIFS(RAB!$F$14:$F$145,RAB!$C$14:$C$145,C1291)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SUMIFS(RAB!$F$14:$F$145,RAB!$C$14:$C$145,C1292)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SUMIFS(RAB!$F$14:$F$145,RAB!$C$14:$C$145,C1293)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SUMIFS(RAB!$F$14:$F$145,RAB!$C$14:$C$145,C1294)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SUMIFS(RAB!$F$14:$F$145,RAB!$C$14:$C$145,C1295)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SUMIFS(RAB!$F$14:$F$145,RAB!$C$14:$C$145,C1296)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SUMIFS(RAB!$F$14:$F$145,RAB!$C$14:$C$145,C1297)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SUMIFS(RAB!$F$14:$F$145,RAB!$C$14:$C$145,C1298)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SUMIFS(RAB!$F$14:$F$145,RAB!$C$14:$C$145,C1299)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SUMIFS(RAB!$F$14:$F$145,RAB!$C$14:$C$145,C1300)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SUMIFS(RAB!$F$14:$F$145,RAB!$C$14:$C$145,C1301)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SUMIFS(RAB!$F$14:$F$145,RAB!$C$14:$C$145,C1302)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SUMIFS(RAB!$F$14:$F$145,RAB!$C$14:$C$145,C1303)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SUMIFS(RAB!$F$14:$F$145,RAB!$C$14:$C$145,C1304)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SUMIFS(RAB!$F$14:$F$145,RAB!$C$14:$C$145,C1305)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SUMIFS(RAB!$F$14:$F$145,RAB!$C$14:$C$145,C1306)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SUMIFS(RAB!$F$14:$F$145,RAB!$C$14:$C$145,C1307)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SUMIFS(RAB!$F$14:$F$145,RAB!$C$14:$C$145,C1308)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SUMIFS(RAB!$F$14:$F$145,RAB!$C$14:$C$145,C1309)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SUMIFS(RAB!$F$14:$F$145,RAB!$C$14:$C$145,C1310)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SUMIFS(RAB!$F$14:$F$145,RAB!$C$14:$C$145,C1311)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SUMIFS(RAB!$F$14:$F$145,RAB!$C$14:$C$145,C1312)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SUMIFS(RAB!$F$14:$F$145,RAB!$C$14:$C$145,C1313)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SUMIFS(RAB!$F$14:$F$145,RAB!$C$14:$C$145,C1314)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SUMIFS(RAB!$F$14:$F$145,RAB!$C$14:$C$145,C1315)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SUMIFS(RAB!$F$14:$F$145,RAB!$C$14:$C$145,C1316)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SUMIFS(RAB!$F$14:$F$145,RAB!$C$14:$C$145,C1317)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SUMIFS(RAB!$F$14:$F$145,RAB!$C$14:$C$145,C1318)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SUMIFS(RAB!$F$14:$F$145,RAB!$C$14:$C$145,C1319)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SUMIFS(RAB!$F$14:$F$145,RAB!$C$14:$C$145,C1320)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5" priority="5" operator="equal">
      <formula>0</formula>
    </cfRule>
  </conditionalFormatting>
  <conditionalFormatting sqref="A10:L65536">
    <cfRule type="cellIs" dxfId="64" priority="1" operator="equal">
      <formula>0</formula>
    </cfRule>
  </conditionalFormatting>
  <conditionalFormatting sqref="C12:C711">
    <cfRule type="cellIs" dxfId="63" priority="66" stopIfTrue="1" operator="equal">
      <formula>0</formula>
    </cfRule>
  </conditionalFormatting>
  <conditionalFormatting sqref="E712:E65536">
    <cfRule type="cellIs" dxfId="62" priority="16" stopIfTrue="1" operator="equal">
      <formula>0</formula>
    </cfRule>
  </conditionalFormatting>
  <conditionalFormatting sqref="G1:G11 E6:E11 E1:E3 H7 H10:H11 F10:F711 G712:G65536">
    <cfRule type="cellIs" dxfId="61" priority="69" stopIfTrue="1" operator="equal">
      <formula>0</formula>
    </cfRule>
  </conditionalFormatting>
  <conditionalFormatting sqref="G12:H711">
    <cfRule type="cellIs" dxfId="60" priority="12" stopIfTrue="1" operator="equal">
      <formula>0</formula>
    </cfRule>
  </conditionalFormatting>
  <conditionalFormatting sqref="I7:K7">
    <cfRule type="cellIs" dxfId="59" priority="4" stopIfTrue="1" operator="equal">
      <formula>0</formula>
    </cfRule>
  </conditionalFormatting>
  <conditionalFormatting sqref="I10:L711">
    <cfRule type="cellIs" dxfId="58" priority="2" stopIfTrue="1" operator="equal">
      <formula>0</formula>
    </cfRule>
  </conditionalFormatting>
  <conditionalFormatting sqref="L1:L6">
    <cfRule type="cellIs" dxfId="57" priority="10" operator="equal">
      <formula>0</formula>
    </cfRule>
  </conditionalFormatting>
  <conditionalFormatting sqref="M1:IV1048576 A8:G9">
    <cfRule type="cellIs" dxfId="5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1127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IOH GEMPOL DENOK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GEMPOLDENOK KEC.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5</v>
      </c>
      <c r="G17" s="41">
        <f ca="1">IF(ISERROR(OFFSET('HARGA SATUAN'!$I$6,MATCH(C17,'HARGA SATUAN'!$C$7:$C$1492,0),0)),"",OFFSET('HARGA SATUAN'!$I$6,MATCH(C17,'HARGA SATUAN'!$C$7:$C$1492,0),0))</f>
        <v>5800000</v>
      </c>
      <c r="H17" s="42">
        <f t="shared" ca="1" si="1"/>
        <v>0</v>
      </c>
      <c r="I17" s="42">
        <f t="shared" ca="1" si="2"/>
        <v>29000000</v>
      </c>
      <c r="J17" s="42">
        <f t="shared" ca="1" si="3"/>
        <v>0</v>
      </c>
      <c r="K17" s="43">
        <f t="shared" ca="1" si="0"/>
        <v>29000000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6"/>
        <v>3</v>
      </c>
      <c r="C18" s="109" t="str">
        <f t="shared" ca="1" si="4"/>
        <v>Tiang Beton 12M-350 daN+E</v>
      </c>
      <c r="D18" s="101" t="str">
        <f ca="1">IF(ISERROR(OFFSET('HARGA SATUAN'!$D$6,MATCH(C18,'HARGA SATUAN'!$C$7:$C$1492,0),0)),"",OFFSET('HARGA SATUAN'!$D$6,MATCH(C18,'HARGA SATUAN'!$C$7:$C$1492,0),0))</f>
        <v>HDW</v>
      </c>
      <c r="E18" s="101" t="str">
        <f ca="1">IF(B18="+","Unit",IF(ISERROR(OFFSET('HARGA SATUAN'!$E$6,MATCH(C18,'HARGA SATUAN'!$C$7:$C$1492,0),0)),"",OFFSET('HARGA SATUAN'!$E$6,MATCH(C18,'HARGA SATUAN'!$C$7:$C$1492,0),0)))</f>
        <v>Btg</v>
      </c>
      <c r="F18" s="101">
        <f t="shared" ca="1" si="5"/>
        <v>2</v>
      </c>
      <c r="G18" s="41">
        <f ca="1">IF(ISERROR(OFFSET('HARGA SATUAN'!$I$6,MATCH(C18,'HARGA SATUAN'!$C$7:$C$1492,0),0)),"",OFFSET('HARGA SATUAN'!$I$6,MATCH(C18,'HARGA SATUAN'!$C$7:$C$1492,0),0))</f>
        <v>6074400</v>
      </c>
      <c r="H18" s="42">
        <f t="shared" ca="1" si="1"/>
        <v>0</v>
      </c>
      <c r="I18" s="42">
        <f t="shared" ca="1" si="2"/>
        <v>12148800</v>
      </c>
      <c r="J18" s="42">
        <f t="shared" ca="1" si="3"/>
        <v>0</v>
      </c>
      <c r="K18" s="43">
        <f t="shared" ca="1" si="0"/>
        <v>12148800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8" t="s">
        <v>1008</v>
      </c>
      <c r="D38" s="538"/>
      <c r="E38" s="538"/>
      <c r="F38" s="538"/>
      <c r="G38" s="77" t="s">
        <v>9</v>
      </c>
      <c r="H38" s="55">
        <f ca="1">SUM(H14:H37)</f>
        <v>0</v>
      </c>
      <c r="I38" s="55">
        <f ca="1">SUM(I14:I37)</f>
        <v>44531400</v>
      </c>
      <c r="J38" s="55">
        <f ca="1">SUM(J14:J37)</f>
        <v>0</v>
      </c>
      <c r="K38" s="55">
        <f ca="1">SUM(K14:K37)</f>
        <v>44531400</v>
      </c>
      <c r="L38" s="44"/>
      <c r="R38" s="99"/>
      <c r="S38" s="99"/>
      <c r="T38" s="99"/>
    </row>
    <row r="39" spans="1:20" s="36" customFormat="1">
      <c r="A39" s="30"/>
      <c r="B39" s="56"/>
      <c r="C39" s="539" t="s">
        <v>462</v>
      </c>
      <c r="D39" s="539"/>
      <c r="E39" s="539"/>
      <c r="F39" s="539"/>
      <c r="G39" s="59" t="s">
        <v>9</v>
      </c>
      <c r="H39" s="60">
        <f ca="1">H38*0.1</f>
        <v>0</v>
      </c>
      <c r="I39" s="60">
        <f ca="1">I38*0.1</f>
        <v>4453140</v>
      </c>
      <c r="J39" s="60">
        <f ca="1">J38*0.1</f>
        <v>0</v>
      </c>
      <c r="K39" s="60">
        <f ca="1">K38*0.1</f>
        <v>4453140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8" t="s">
        <v>463</v>
      </c>
      <c r="D40" s="528"/>
      <c r="E40" s="528"/>
      <c r="F40" s="528"/>
      <c r="G40" s="61" t="s">
        <v>9</v>
      </c>
      <c r="H40" s="78">
        <f ca="1">SUM(H38:H39)</f>
        <v>0</v>
      </c>
      <c r="I40" s="78">
        <f ca="1">SUM(I38:I39)</f>
        <v>48984540</v>
      </c>
      <c r="J40" s="61">
        <f ca="1">SUM(J38:J39)</f>
        <v>0</v>
      </c>
      <c r="K40" s="61">
        <f ca="1">SUM(K38:K39)</f>
        <v>48984540</v>
      </c>
      <c r="L40" s="44"/>
      <c r="R40" s="99"/>
      <c r="S40" s="99"/>
      <c r="T40" s="99"/>
    </row>
    <row r="41" spans="1:20" s="36" customFormat="1">
      <c r="A41" s="30"/>
      <c r="B41" s="531" t="e">
        <f ca="1">"Terbilang : ( "&amp;L42&amp;" Rupiah )"</f>
        <v>#NAME?</v>
      </c>
      <c r="C41" s="532"/>
      <c r="D41" s="532"/>
      <c r="E41" s="532"/>
      <c r="F41" s="532"/>
      <c r="G41" s="532"/>
      <c r="H41" s="532"/>
      <c r="I41" s="532"/>
      <c r="J41" s="532"/>
      <c r="K41" s="533"/>
      <c r="L41" s="44"/>
      <c r="R41" s="58"/>
      <c r="S41" s="58"/>
      <c r="T41" s="58"/>
    </row>
    <row r="42" spans="1:20" s="36" customFormat="1">
      <c r="A42" s="30"/>
      <c r="B42" s="534"/>
      <c r="C42" s="535"/>
      <c r="D42" s="535"/>
      <c r="E42" s="535"/>
      <c r="F42" s="535"/>
      <c r="G42" s="535"/>
      <c r="H42" s="535"/>
      <c r="I42" s="535"/>
      <c r="J42" s="535"/>
      <c r="K42" s="536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9"/>
      <c r="I45" s="529"/>
      <c r="J45" s="530"/>
      <c r="K45" s="53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9"/>
      <c r="I46" s="529"/>
      <c r="J46" s="530"/>
      <c r="K46" s="53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9"/>
      <c r="I47" s="529"/>
      <c r="J47" s="530"/>
      <c r="K47" s="53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9"/>
      <c r="I52" s="529"/>
      <c r="J52" s="530"/>
      <c r="K52" s="53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SUMIFS(RAB!$F$14:$F$145,RAB!$C$14:$C$145,'REKAP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SUMIFS(RAB!$F$14:$F$145,RAB!$C$14:$C$145,'REKAP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SUMIFS(RAB!$F$14:$F$145,RAB!$C$14:$C$145,'REKAP TIANG'!C59)</f>
        <v>5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SUMIFS(RAB!$F$14:$F$145,RAB!$C$14:$C$145,'REKAP TIANG'!C60)</f>
        <v>2</v>
      </c>
      <c r="E60" s="24">
        <f t="shared" ca="1" si="12"/>
        <v>1</v>
      </c>
      <c r="F60" s="24">
        <f ca="1">IF(D60=0,0,SUM($E$56:E60))</f>
        <v>3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SUMIFS(RAB!$F$14:$F$145,RAB!$C$14:$C$145,'REKAP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SUMIFS(RAB!$F$14:$F$145,RAB!$C$14:$C$145,'REKAP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SUMIFS(RAB!$F$14:$F$145,RAB!$C$14:$C$145,'REKAP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SUMIFS(RAB!$F$14:$F$145,RAB!$C$14:$C$145,'REKAP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SUMIFS(RAB!$F$14:$F$145,RAB!$C$14:$C$145,'REKAP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SUMIFS(RAB!$F$14:$F$145,RAB!$C$14:$C$145,'REKAP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SUMIFS(RAB!$F$14:$F$145,RAB!$C$14:$C$145,'REKAP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SUMIFS(RAB!$F$14:$F$145,RAB!$C$14:$C$145,'REKAP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SUMIFS(RAB!$F$14:$F$145,RAB!$C$14:$C$145,'REKAP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SUMIFS(RAB!$F$14:$F$145,RAB!$C$14:$C$145,'REKAP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SUMIFS(RAB!$F$14:$F$145,RAB!$C$14:$C$145,'REKAP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SUMIFS(RAB!$F$14:$F$145,RAB!$C$14:$C$145,'REKAP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SUMIFS(RAB!$F$14:$F$145,RAB!$C$14:$C$145,'REKAP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SUMIFS(RAB!$F$14:$F$145,RAB!$C$14:$C$145,'REKAP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SUMIFS(RAB!$F$14:$F$145,RAB!$C$14:$C$145,'REKAP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SUMIFS(RAB!$F$14:$F$145,RAB!$C$14:$C$145,'REKAP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1034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IOH GEMPOL DENOK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GEMPOLDENOK KEC.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Isolator Tumpu ( Pin Post ) 20 KV Porcelein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5</v>
      </c>
      <c r="G19" s="41">
        <f ca="1">IF(ISERROR(OFFSET('HARGA SATUAN'!$I$6,MATCH(C19,'HARGA SATUAN'!$C$7:$C$1492,0),0)),"",OFFSET('HARGA SATUAN'!$I$6,MATCH(C19,'HARGA SATUAN'!$C$7:$C$1492,0),0))</f>
        <v>235900</v>
      </c>
      <c r="H19" s="42">
        <f t="shared" ca="1" si="1"/>
        <v>1179500</v>
      </c>
      <c r="I19" s="42">
        <f t="shared" ca="1" si="2"/>
        <v>0</v>
      </c>
      <c r="J19" s="42">
        <f t="shared" ca="1" si="3"/>
        <v>0</v>
      </c>
      <c r="K19" s="43">
        <f t="shared" ca="1" si="0"/>
        <v>1179500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Isolator Tarik ( Strainkap Porcelain ) 20 KV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Set</v>
      </c>
      <c r="F20" s="101">
        <f t="shared" ca="1" si="6"/>
        <v>2</v>
      </c>
      <c r="G20" s="41">
        <f ca="1">IF(ISERROR(OFFSET('HARGA SATUAN'!$I$6,MATCH(C20,'HARGA SATUAN'!$C$7:$C$1492,0),0)),"",OFFSET('HARGA SATUAN'!$I$6,MATCH(C20,'HARGA SATUAN'!$C$7:$C$1492,0),0))</f>
        <v>430000</v>
      </c>
      <c r="H20" s="42">
        <f t="shared" ca="1" si="1"/>
        <v>860000</v>
      </c>
      <c r="I20" s="42">
        <f t="shared" ca="1" si="2"/>
        <v>0</v>
      </c>
      <c r="J20" s="42">
        <f t="shared" ca="1" si="3"/>
        <v>0</v>
      </c>
      <c r="K20" s="43">
        <f t="shared" ca="1" si="0"/>
        <v>860000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2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28400</v>
      </c>
      <c r="I21" s="42">
        <f t="shared" ca="1" si="2"/>
        <v>0</v>
      </c>
      <c r="J21" s="42">
        <f t="shared" ca="1" si="3"/>
        <v>0</v>
      </c>
      <c r="K21" s="43">
        <f t="shared" ca="1" si="0"/>
        <v>28400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150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620</v>
      </c>
      <c r="G22" s="41">
        <f ca="1">IF(ISERROR(OFFSET('HARGA SATUAN'!$I$6,MATCH(C22,'HARGA SATUAN'!$C$7:$C$1492,0),0)),"",OFFSET('HARGA SATUAN'!$I$6,MATCH(C22,'HARGA SATUAN'!$C$7:$C$1492,0),0))</f>
        <v>25300</v>
      </c>
      <c r="H22" s="42">
        <f t="shared" ca="1" si="1"/>
        <v>15686000</v>
      </c>
      <c r="I22" s="42">
        <f t="shared" ca="1" si="2"/>
        <v>0</v>
      </c>
      <c r="J22" s="42">
        <f t="shared" ca="1" si="3"/>
        <v>0</v>
      </c>
      <c r="K22" s="43">
        <f t="shared" ca="1" si="0"/>
        <v>15686000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2 x 70 + N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52</v>
      </c>
      <c r="G23" s="41">
        <f ca="1">IF(ISERROR(OFFSET('HARGA SATUAN'!$I$6,MATCH(C23,'HARGA SATUAN'!$C$7:$C$1492,0),0)),"",OFFSET('HARGA SATUAN'!$I$6,MATCH(C23,'HARGA SATUAN'!$C$7:$C$1492,0),0))</f>
        <v>53300</v>
      </c>
      <c r="H23" s="42">
        <f t="shared" ca="1" si="1"/>
        <v>2771600</v>
      </c>
      <c r="I23" s="42">
        <f t="shared" ca="1" si="2"/>
        <v>0</v>
      </c>
      <c r="J23" s="42">
        <f t="shared" ca="1" si="3"/>
        <v>0</v>
      </c>
      <c r="K23" s="43">
        <f t="shared" ca="1" si="0"/>
        <v>2771600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 2 x 16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35</v>
      </c>
      <c r="G24" s="41">
        <f ca="1">IF(ISERROR(OFFSET('HARGA SATUAN'!$I$6,MATCH(C24,'HARGA SATUAN'!$C$7:$C$1492,0),0)),"",OFFSET('HARGA SATUAN'!$I$6,MATCH(C24,'HARGA SATUAN'!$C$7:$C$1492,0),0))</f>
        <v>6600</v>
      </c>
      <c r="H24" s="42">
        <f t="shared" ca="1" si="1"/>
        <v>231000</v>
      </c>
      <c r="I24" s="42">
        <f t="shared" ca="1" si="2"/>
        <v>0</v>
      </c>
      <c r="J24" s="42">
        <f t="shared" ca="1" si="3"/>
        <v>0</v>
      </c>
      <c r="K24" s="43">
        <f t="shared" ca="1" si="0"/>
        <v>231000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8" t="s">
        <v>1008</v>
      </c>
      <c r="D168" s="538"/>
      <c r="E168" s="538"/>
      <c r="F168" s="538"/>
      <c r="G168" s="77" t="s">
        <v>9</v>
      </c>
      <c r="H168" s="55">
        <f ca="1">SUM(H14:H167)</f>
        <v>50381650</v>
      </c>
      <c r="I168" s="55">
        <f ca="1">SUM(I14:I167)</f>
        <v>0</v>
      </c>
      <c r="J168" s="55">
        <f ca="1">SUM(J14:J167)</f>
        <v>0</v>
      </c>
      <c r="K168" s="55">
        <f ca="1">SUM(K14:K167)</f>
        <v>50381650</v>
      </c>
      <c r="L168" s="44"/>
      <c r="R168" s="99"/>
      <c r="S168" s="99"/>
      <c r="T168" s="99"/>
    </row>
    <row r="169" spans="1:20" s="36" customFormat="1">
      <c r="A169" s="30"/>
      <c r="B169" s="56"/>
      <c r="C169" s="539" t="s">
        <v>462</v>
      </c>
      <c r="D169" s="539"/>
      <c r="E169" s="539"/>
      <c r="F169" s="539"/>
      <c r="G169" s="59" t="s">
        <v>9</v>
      </c>
      <c r="H169" s="60">
        <f ca="1">H168*0.1</f>
        <v>5038165</v>
      </c>
      <c r="I169" s="60">
        <f ca="1">I168*0.1</f>
        <v>0</v>
      </c>
      <c r="J169" s="60">
        <f ca="1">J168*0.1</f>
        <v>0</v>
      </c>
      <c r="K169" s="60">
        <f ca="1">K168*0.1</f>
        <v>5038165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8" t="s">
        <v>463</v>
      </c>
      <c r="D170" s="528"/>
      <c r="E170" s="528"/>
      <c r="F170" s="528"/>
      <c r="G170" s="61" t="s">
        <v>9</v>
      </c>
      <c r="H170" s="78">
        <f ca="1">SUM(H168:H169)</f>
        <v>55419815</v>
      </c>
      <c r="I170" s="78">
        <f ca="1">SUM(I168:I169)</f>
        <v>0</v>
      </c>
      <c r="J170" s="61">
        <f ca="1">SUM(J168:J169)</f>
        <v>0</v>
      </c>
      <c r="K170" s="61">
        <f ca="1">SUM(K168:K169)</f>
        <v>55419815</v>
      </c>
      <c r="L170" s="44"/>
      <c r="R170" s="99"/>
      <c r="S170" s="99"/>
      <c r="T170" s="99"/>
    </row>
    <row r="171" spans="1:20" s="36" customFormat="1">
      <c r="A171" s="30"/>
      <c r="B171" s="531" t="e">
        <f ca="1">"Terbilang : ( "&amp;L172&amp;" Rupiah )"</f>
        <v>#NAME?</v>
      </c>
      <c r="C171" s="532"/>
      <c r="D171" s="532"/>
      <c r="E171" s="532"/>
      <c r="F171" s="532"/>
      <c r="G171" s="532"/>
      <c r="H171" s="532"/>
      <c r="I171" s="532"/>
      <c r="J171" s="532"/>
      <c r="K171" s="533"/>
      <c r="L171" s="44"/>
      <c r="R171" s="58"/>
      <c r="S171" s="58"/>
      <c r="T171" s="58"/>
    </row>
    <row r="172" spans="1:20" s="36" customFormat="1">
      <c r="A172" s="30"/>
      <c r="B172" s="534"/>
      <c r="C172" s="535"/>
      <c r="D172" s="535"/>
      <c r="E172" s="535"/>
      <c r="F172" s="535"/>
      <c r="G172" s="535"/>
      <c r="H172" s="535"/>
      <c r="I172" s="535"/>
      <c r="J172" s="535"/>
      <c r="K172" s="536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9"/>
      <c r="I175" s="529"/>
      <c r="J175" s="530"/>
      <c r="K175" s="53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9"/>
      <c r="I176" s="529"/>
      <c r="J176" s="530"/>
      <c r="K176" s="53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9"/>
      <c r="I177" s="529"/>
      <c r="J177" s="530"/>
      <c r="K177" s="53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9"/>
      <c r="I182" s="529"/>
      <c r="J182" s="530"/>
      <c r="K182" s="53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SUMIFS(RAB!$F$14:$F$145,RAB!$C$14:$C$145,C224)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SUMIFS(RAB!$F$14:$F$145,RAB!$C$14:$C$145,C225)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SUMIFS(RAB!$F$14:$F$145,RAB!$C$14:$C$145,C226)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SUMIFS(RAB!$F$14:$F$145,RAB!$C$14:$C$145,C227)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SUMIFS(RAB!$F$14:$F$145,RAB!$C$14:$C$145,C228)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SUMIFS(RAB!$F$14:$F$145,RAB!$C$14:$C$145,C229)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SUMIFS(RAB!$F$14:$F$145,RAB!$C$14:$C$145,C230)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SUMIFS(RAB!$F$14:$F$145,RAB!$C$14:$C$145,C231)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SUMIFS(RAB!$F$14:$F$145,RAB!$C$14:$C$145,C232)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SUMIFS(RAB!$F$14:$F$145,RAB!$C$14:$C$145,C233)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SUMIFS(RAB!$F$14:$F$145,RAB!$C$14:$C$145,C234)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SUMIFS(RAB!$F$14:$F$145,RAB!$C$14:$C$145,C235)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SUMIFS(RAB!$F$14:$F$145,RAB!$C$14:$C$145,C236)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SUMIFS(RAB!$F$14:$F$145,RAB!$C$14:$C$145,C237)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SUMIFS(RAB!$F$14:$F$145,RAB!$C$14:$C$145,C238)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SUMIFS(RAB!$F$14:$F$145,RAB!$C$14:$C$145,C239)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SUMIFS(RAB!$F$14:$F$145,RAB!$C$14:$C$145,C240)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SUMIFS(RAB!$F$14:$F$145,RAB!$C$14:$C$145,C241)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SUMIFS(RAB!$F$14:$F$145,RAB!$C$14:$C$145,C242)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SUMIFS(RAB!$F$14:$F$145,RAB!$C$14:$C$145,C243)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SUMIFS(RAB!$F$14:$F$145,RAB!$C$14:$C$145,C244)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SUMIFS(RAB!$F$14:$F$145,RAB!$C$14:$C$145,C245)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SUMIFS(RAB!$F$14:$F$145,RAB!$C$14:$C$145,C246)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SUMIFS(RAB!$F$14:$F$145,RAB!$C$14:$C$145,C247)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SUMIFS(RAB!$F$14:$F$145,RAB!$C$14:$C$145,C248)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SUMIFS(RAB!$F$14:$F$145,RAB!$C$14:$C$145,C249)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SUMIFS(RAB!$F$14:$F$145,RAB!$C$14:$C$145,C250)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SUMIFS(RAB!$F$14:$F$145,RAB!$C$14:$C$145,C251)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SUMIFS(RAB!$F$14:$F$145,RAB!$C$14:$C$145,C252)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SUMIFS(RAB!$F$14:$F$145,RAB!$C$14:$C$145,C253)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SUMIFS(RAB!$F$14:$F$145,RAB!$C$14:$C$145,C254)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SUMIFS(RAB!$F$14:$F$145,RAB!$C$14:$C$145,C255)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SUMIFS(RAB!$F$14:$F$145,RAB!$C$14:$C$145,C256)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SUMIFS(RAB!$F$14:$F$145,RAB!$C$14:$C$145,C257)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SUMIFS(RAB!$F$14:$F$145,RAB!$C$14:$C$145,C258)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SUMIFS(RAB!$F$14:$F$145,RAB!$C$14:$C$145,C259)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SUMIFS(RAB!$F$14:$F$145,RAB!$C$14:$C$145,C260)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SUMIFS(RAB!$F$14:$F$145,RAB!$C$14:$C$145,C261)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SUMIFS(RAB!$F$14:$F$145,RAB!$C$14:$C$145,C262)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SUMIFS(RAB!$F$14:$F$145,RAB!$C$14:$C$145,C263)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SUMIFS(RAB!$F$14:$F$145,RAB!$C$14:$C$145,C264)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SUMIFS(RAB!$F$14:$F$145,RAB!$C$14:$C$145,C265)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SUMIFS(RAB!$F$14:$F$145,RAB!$C$14:$C$145,C266)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SUMIFS(RAB!$F$14:$F$145,RAB!$C$14:$C$145,C267)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SUMIFS(RAB!$F$14:$F$145,RAB!$C$14:$C$145,C268)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SUMIFS(RAB!$F$14:$F$145,RAB!$C$14:$C$145,C269)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SUMIFS(RAB!$F$14:$F$145,RAB!$C$14:$C$145,C270)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SUMIFS(RAB!$F$14:$F$145,RAB!$C$14:$C$145,C271)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SUMIFS(RAB!$F$14:$F$145,RAB!$C$14:$C$145,C272)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SUMIFS(RAB!$F$14:$F$145,RAB!$C$14:$C$145,C273)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SUMIFS(RAB!$F$14:$F$145,RAB!$C$14:$C$145,C274)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SUMIFS(RAB!$F$14:$F$145,RAB!$C$14:$C$145,C275)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SUMIFS(RAB!$F$14:$F$145,RAB!$C$14:$C$145,C276)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SUMIFS(RAB!$F$14:$F$145,RAB!$C$14:$C$145,C277)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SUMIFS(RAB!$F$14:$F$145,RAB!$C$14:$C$145,C278)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SUMIFS(RAB!$F$14:$F$145,RAB!$C$14:$C$145,C279)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SUMIFS(RAB!$F$14:$F$145,RAB!$C$14:$C$145,C280)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SUMIFS(RAB!$F$14:$F$145,RAB!$C$14:$C$145,C281)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SUMIFS(RAB!$F$14:$F$145,RAB!$C$14:$C$145,C282)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SUMIFS(RAB!$F$14:$F$145,RAB!$C$14:$C$145,C283)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SUMIFS(RAB!$F$14:$F$145,RAB!$C$14:$C$145,C284)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SUMIFS(RAB!$F$14:$F$145,RAB!$C$14:$C$145,C285)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SUMIFS(RAB!$F$14:$F$145,RAB!$C$14:$C$145,C286)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SUMIFS(RAB!$F$14:$F$145,RAB!$C$14:$C$145,C287)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SUMIFS(RAB!$F$14:$F$145,RAB!$C$14:$C$145,C288)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SUMIFS(RAB!$F$14:$F$145,RAB!$C$14:$C$145,C289)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SUMIFS(RAB!$F$14:$F$145,RAB!$C$14:$C$145,C290)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SUMIFS(RAB!$F$14:$F$145,RAB!$C$14:$C$145,C291)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SUMIFS(RAB!$F$14:$F$145,RAB!$C$14:$C$145,C292)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SUMIFS(RAB!$F$14:$F$145,RAB!$C$14:$C$145,C293)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SUMIFS(RAB!$F$14:$F$145,RAB!$C$14:$C$145,C294)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SUMIFS(RAB!$F$14:$F$145,RAB!$C$14:$C$145,C295)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SUMIFS(RAB!$F$14:$F$145,RAB!$C$14:$C$145,C296)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SUMIFS(RAB!$F$14:$F$145,RAB!$C$14:$C$145,C297)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SUMIFS(RAB!$F$14:$F$145,RAB!$C$14:$C$145,C298)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SUMIFS(RAB!$F$14:$F$145,RAB!$C$14:$C$145,C299)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SUMIFS(RAB!$F$14:$F$145,RAB!$C$14:$C$145,C300)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SUMIFS(RAB!$F$14:$F$145,RAB!$C$14:$C$145,C301)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SUMIFS(RAB!$F$14:$F$145,RAB!$C$14:$C$145,C302)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SUMIFS(RAB!$F$14:$F$145,RAB!$C$14:$C$145,C303)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SUMIFS(RAB!$F$14:$F$145,RAB!$C$14:$C$145,C304)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SUMIFS(RAB!$F$14:$F$145,RAB!$C$14:$C$145,C305)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SUMIFS(RAB!$F$14:$F$145,RAB!$C$14:$C$145,C306)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SUMIFS(RAB!$F$14:$F$145,RAB!$C$14:$C$145,C307)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SUMIFS(RAB!$F$14:$F$145,RAB!$C$14:$C$145,C308)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SUMIFS(RAB!$F$14:$F$145,RAB!$C$14:$C$145,C309)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SUMIFS(RAB!$F$14:$F$145,RAB!$C$14:$C$145,C310)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SUMIFS(RAB!$F$14:$F$145,RAB!$C$14:$C$145,C311)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SUMIFS(RAB!$F$14:$F$145,RAB!$C$14:$C$145,C312)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SUMIFS(RAB!$F$14:$F$145,RAB!$C$14:$C$145,C313)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SUMIFS(RAB!$F$14:$F$145,RAB!$C$14:$C$145,C314)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SUMIFS(RAB!$F$14:$F$145,RAB!$C$14:$C$145,C315)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SUMIFS(RAB!$F$14:$F$145,RAB!$C$14:$C$145,C316)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SUMIFS(RAB!$F$14:$F$145,RAB!$C$14:$C$145,C317)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SUMIFS(RAB!$F$14:$F$145,RAB!$C$14:$C$145,C318)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SUMIFS(RAB!$F$14:$F$145,RAB!$C$14:$C$145,C319)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SUMIFS(RAB!$F$14:$F$145,RAB!$C$14:$C$145,C320)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SUMIFS(RAB!$F$14:$F$145,RAB!$C$14:$C$145,C321)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SUMIFS(RAB!$F$14:$F$145,RAB!$C$14:$C$145,C322)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SUMIFS(RAB!$F$14:$F$145,RAB!$C$14:$C$145,C323)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SUMIFS(RAB!$F$14:$F$145,RAB!$C$14:$C$145,C324)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SUMIFS(RAB!$F$14:$F$145,RAB!$C$14:$C$145,C325)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SUMIFS(RAB!$F$14:$F$145,RAB!$C$14:$C$145,C326)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SUMIFS(RAB!$F$14:$F$145,RAB!$C$14:$C$145,C327)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SUMIFS(RAB!$F$14:$F$145,RAB!$C$14:$C$145,C328)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SUMIFS(RAB!$F$14:$F$145,RAB!$C$14:$C$145,C329)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SUMIFS(RAB!$F$14:$F$145,RAB!$C$14:$C$145,C330)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SUMIFS(RAB!$F$14:$F$145,RAB!$C$14:$C$145,C331)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SUMIFS(RAB!$F$14:$F$145,RAB!$C$14:$C$145,C332)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SUMIFS(RAB!$F$14:$F$145,RAB!$C$14:$C$145,C333)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SUMIFS(RAB!$F$14:$F$145,RAB!$C$14:$C$145,C334)</f>
        <v>5</v>
      </c>
      <c r="E334" s="24">
        <f t="shared" ca="1" si="22"/>
        <v>1</v>
      </c>
      <c r="F334" s="24">
        <f ca="1">IF(D334=0,0,SUM($E$223:E334))</f>
        <v>4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SUMIFS(RAB!$F$14:$F$145,RAB!$C$14:$C$145,C335)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SUMIFS(RAB!$F$14:$F$145,RAB!$C$14:$C$145,C336)</f>
        <v>2</v>
      </c>
      <c r="E336" s="24">
        <f t="shared" ca="1" si="22"/>
        <v>1</v>
      </c>
      <c r="F336" s="24">
        <f ca="1">IF(D336=0,0,SUM($E$223:E336))</f>
        <v>5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SUMIFS(RAB!$F$14:$F$145,RAB!$C$14:$C$145,C337)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SUMIFS(RAB!$F$14:$F$145,RAB!$C$14:$C$145,C338)</f>
        <v>2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SUMIFS(RAB!$F$14:$F$145,RAB!$C$14:$C$145,C339)</f>
        <v>620</v>
      </c>
      <c r="E339" s="24">
        <f t="shared" ca="1" si="22"/>
        <v>1</v>
      </c>
      <c r="F339" s="24">
        <f ca="1">IF(D339=0,0,SUM($E$223:E339))</f>
        <v>7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SUMIFS(RAB!$F$14:$F$145,RAB!$C$14:$C$145,C340)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SUMIFS(RAB!$F$14:$F$145,RAB!$C$14:$C$145,C341)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SUMIFS(RAB!$F$14:$F$145,RAB!$C$14:$C$145,C342)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SUMIFS(RAB!$F$14:$F$145,RAB!$C$14:$C$145,C343)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SUMIFS(RAB!$F$14:$F$145,RAB!$C$14:$C$145,C344)</f>
        <v>52</v>
      </c>
      <c r="E344" s="24">
        <f t="shared" ca="1" si="22"/>
        <v>1</v>
      </c>
      <c r="F344" s="24">
        <f ca="1">IF(D344=0,0,SUM($E$223:E344))</f>
        <v>8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SUMIFS(RAB!$F$14:$F$145,RAB!$C$14:$C$145,C345)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SUMIFS(RAB!$F$14:$F$145,RAB!$C$14:$C$145,C346)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SUMIFS(RAB!$F$14:$F$145,RAB!$C$14:$C$145,C347)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SUMIFS(RAB!$F$14:$F$145,RAB!$C$14:$C$145,C348)</f>
        <v>35</v>
      </c>
      <c r="E348" s="24">
        <f t="shared" ca="1" si="22"/>
        <v>1</v>
      </c>
      <c r="F348" s="24">
        <f ca="1">IF(D348=0,0,SUM($E$223:E348))</f>
        <v>9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SUMIFS(RAB!$F$14:$F$145,RAB!$C$14:$C$145,C349)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SUMIFS(RAB!$F$14:$F$145,RAB!$C$14:$C$145,C350)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SUMIFS(RAB!$F$14:$F$145,RAB!$C$14:$C$145,C351)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SUMIFS(RAB!$F$14:$F$145,RAB!$C$14:$C$145,C352)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SUMIFS(RAB!$F$14:$F$145,RAB!$C$14:$C$145,C353)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SUMIFS(RAB!$F$14:$F$145,RAB!$C$14:$C$145,C354)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SUMIFS(RAB!$F$14:$F$145,RAB!$C$14:$C$145,C355)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SUMIFS(RAB!$F$14:$F$145,RAB!$C$14:$C$145,C356)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SUMIFS(RAB!$F$14:$F$145,RAB!$C$14:$C$145,C357)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SUMIFS(RAB!$F$14:$F$145,RAB!$C$14:$C$145,C358)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SUMIFS(RAB!$F$14:$F$145,RAB!$C$14:$C$145,C359)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SUMIFS(RAB!$F$14:$F$145,RAB!$C$14:$C$145,C360)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SUMIFS(RAB!$F$14:$F$145,RAB!$C$14:$C$145,C361)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SUMIFS(RAB!$F$14:$F$145,RAB!$C$14:$C$145,C362)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SUMIFS(RAB!$F$14:$F$145,RAB!$C$14:$C$145,C363)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SUMIFS(RAB!$F$14:$F$145,RAB!$C$14:$C$145,C364)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SUMIFS(RAB!$F$14:$F$145,RAB!$C$14:$C$145,C365)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SUMIFS(RAB!$F$14:$F$145,RAB!$C$14:$C$145,C366)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SUMIFS(RAB!$F$14:$F$145,RAB!$C$14:$C$145,C367)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SUMIFS(RAB!$F$14:$F$145,RAB!$C$14:$C$145,C368)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SUMIFS(RAB!$F$14:$F$145,RAB!$C$14:$C$145,C369)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SUMIFS(RAB!$F$14:$F$145,RAB!$C$14:$C$145,C370)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SUMIFS(RAB!$F$14:$F$145,RAB!$C$14:$C$145,C371)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SUMIFS(RAB!$F$14:$F$145,RAB!$C$14:$C$145,C372)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SUMIFS(RAB!$F$14:$F$145,RAB!$C$14:$C$145,C373)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53" priority="5" operator="equal">
      <formula>0</formula>
    </cfRule>
  </conditionalFormatting>
  <conditionalFormatting sqref="C16:C165">
    <cfRule type="cellIs" dxfId="52" priority="4" stopIfTrue="1" operator="equal">
      <formula>0</formula>
    </cfRule>
  </conditionalFormatting>
  <conditionalFormatting sqref="C16:E165">
    <cfRule type="cellIs" dxfId="51" priority="1" operator="equal">
      <formula>0</formula>
    </cfRule>
  </conditionalFormatting>
  <conditionalFormatting sqref="D224:F373">
    <cfRule type="cellIs" dxfId="50" priority="8" operator="equal">
      <formula>0</formula>
    </cfRule>
  </conditionalFormatting>
  <conditionalFormatting sqref="E1:E3 G1:G115 E6:E15 H12:I12 N13 F14:F15 H14:K115 E166:K166 G166:G223 E167:F167 H167:K167">
    <cfRule type="cellIs" dxfId="49" priority="43" stopIfTrue="1" operator="equal">
      <formula>0</formula>
    </cfRule>
  </conditionalFormatting>
  <conditionalFormatting sqref="E171:E65536">
    <cfRule type="cellIs" dxfId="48" priority="9" stopIfTrue="1" operator="equal">
      <formula>0</formula>
    </cfRule>
  </conditionalFormatting>
  <conditionalFormatting sqref="G224">
    <cfRule type="cellIs" dxfId="47" priority="10" operator="equal">
      <formula>0</formula>
    </cfRule>
  </conditionalFormatting>
  <conditionalFormatting sqref="G225:G65536">
    <cfRule type="cellIs" dxfId="46" priority="14" stopIfTrue="1" operator="equal">
      <formula>0</formula>
    </cfRule>
  </conditionalFormatting>
  <conditionalFormatting sqref="R14:T166 G116:K165">
    <cfRule type="cellIs" dxfId="4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74" activePane="bottomRight" state="frozen"/>
      <selection activeCell="D209" sqref="D209"/>
      <selection pane="topRight" activeCell="D209" sqref="D209"/>
      <selection pane="bottomLeft" activeCell="D209" sqref="D209"/>
      <selection pane="bottomRight" activeCell="C277" sqref="C27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6" t="s">
        <v>41</v>
      </c>
      <c r="C2" s="55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7" t="s">
        <v>23</v>
      </c>
      <c r="C4" s="558" t="s">
        <v>1012</v>
      </c>
      <c r="D4" s="558" t="s">
        <v>42</v>
      </c>
      <c r="E4" s="557" t="s">
        <v>43</v>
      </c>
      <c r="F4" s="108" t="s">
        <v>1609</v>
      </c>
      <c r="G4" s="108" t="s">
        <v>1608</v>
      </c>
      <c r="H4" s="555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7"/>
      <c r="C5" s="558"/>
      <c r="D5" s="558"/>
      <c r="E5" s="557"/>
      <c r="F5" s="93"/>
      <c r="G5" s="93"/>
      <c r="H5" s="555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44" priority="138" operator="equal">
      <formula>0</formula>
    </cfRule>
  </conditionalFormatting>
  <conditionalFormatting sqref="B8:C135">
    <cfRule type="cellIs" dxfId="43" priority="51" operator="equal">
      <formula>0</formula>
    </cfRule>
  </conditionalFormatting>
  <conditionalFormatting sqref="B150:G1493">
    <cfRule type="cellIs" dxfId="42" priority="1" operator="equal">
      <formula>0</formula>
    </cfRule>
  </conditionalFormatting>
  <conditionalFormatting sqref="C143:G149">
    <cfRule type="cellIs" dxfId="41" priority="5" operator="equal">
      <formula>0</formula>
    </cfRule>
  </conditionalFormatting>
  <conditionalFormatting sqref="D9:G142">
    <cfRule type="cellIs" dxfId="40" priority="11" operator="equal">
      <formula>0</formula>
    </cfRule>
  </conditionalFormatting>
  <conditionalFormatting sqref="D1:IV5 A1:C7 D6:K6 H1455:IV1457 H1458:XFD1485 H1486:H1493 I1486:XFD1494 A1494:H1494 A1495:XFD65536">
    <cfRule type="cellIs" dxfId="39" priority="163" operator="equal">
      <formula>0</formula>
    </cfRule>
  </conditionalFormatting>
  <conditionalFormatting sqref="D7:IV8 C136:C142 B136:B149">
    <cfRule type="cellIs" dxfId="38" priority="62" operator="equal">
      <formula>0</formula>
    </cfRule>
  </conditionalFormatting>
  <conditionalFormatting sqref="H9:H1418">
    <cfRule type="cellIs" dxfId="37" priority="129" operator="equal">
      <formula>0</formula>
    </cfRule>
  </conditionalFormatting>
  <conditionalFormatting sqref="H1419:I1454">
    <cfRule type="cellIs" dxfId="36" priority="128" operator="equal">
      <formula>0</formula>
    </cfRule>
  </conditionalFormatting>
  <conditionalFormatting sqref="I108:I1418">
    <cfRule type="cellIs" dxfId="35" priority="125" operator="equal">
      <formula>0</formula>
    </cfRule>
  </conditionalFormatting>
  <conditionalFormatting sqref="J108:IV1454">
    <cfRule type="cellIs" dxfId="34" priority="139" operator="equal">
      <formula>0</formula>
    </cfRule>
  </conditionalFormatting>
  <conditionalFormatting sqref="M6:IV6">
    <cfRule type="cellIs" dxfId="33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3" t="s">
        <v>1454</v>
      </c>
      <c r="C2" s="563"/>
      <c r="D2" s="563"/>
      <c r="E2" s="563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8" t="s">
        <v>1532</v>
      </c>
      <c r="C4" s="569"/>
      <c r="D4" s="569"/>
      <c r="E4" s="570"/>
      <c r="F4" s="442"/>
      <c r="G4" s="442"/>
      <c r="H4" s="443"/>
      <c r="I4" s="595" t="s">
        <v>1533</v>
      </c>
      <c r="J4" s="596"/>
      <c r="K4" s="596"/>
      <c r="L4" s="597"/>
    </row>
    <row r="5" spans="1:12" ht="34.5" customHeight="1">
      <c r="A5" s="204"/>
      <c r="B5" s="445" t="s">
        <v>1379</v>
      </c>
      <c r="C5" s="277" t="s">
        <v>9</v>
      </c>
      <c r="D5" s="564" t="str">
        <f>DATA!D14</f>
        <v>IOH GEMPOL DENOK</v>
      </c>
      <c r="E5" s="565"/>
      <c r="F5" s="208"/>
      <c r="G5" s="208"/>
      <c r="I5" s="446" t="s">
        <v>1379</v>
      </c>
      <c r="J5" s="277" t="s">
        <v>9</v>
      </c>
      <c r="K5" s="598" t="str">
        <f>D5</f>
        <v>IOH GEMPOL DENOK</v>
      </c>
      <c r="L5" s="599"/>
    </row>
    <row r="6" spans="1:12" ht="31.5" customHeight="1">
      <c r="A6" s="204"/>
      <c r="B6" s="445" t="s">
        <v>1529</v>
      </c>
      <c r="C6" s="277" t="s">
        <v>9</v>
      </c>
      <c r="D6" s="573">
        <f>DATA!D17*1000</f>
        <v>0</v>
      </c>
      <c r="E6" s="574"/>
      <c r="F6" s="208"/>
      <c r="G6" s="208"/>
      <c r="I6" s="446" t="s">
        <v>1530</v>
      </c>
      <c r="J6" s="277" t="s">
        <v>9</v>
      </c>
      <c r="K6" s="600">
        <f>DATA!D20*1000</f>
        <v>11000</v>
      </c>
      <c r="L6" s="601"/>
    </row>
    <row r="7" spans="1:12" ht="30.75" customHeight="1">
      <c r="A7" s="204"/>
      <c r="B7" s="445" t="s">
        <v>1441</v>
      </c>
      <c r="C7" s="277" t="s">
        <v>9</v>
      </c>
      <c r="D7" s="571">
        <f>DATA!D18</f>
        <v>1</v>
      </c>
      <c r="E7" s="572"/>
      <c r="F7" s="444" t="s">
        <v>1453</v>
      </c>
      <c r="I7" s="446" t="s">
        <v>1441</v>
      </c>
      <c r="J7" s="277" t="s">
        <v>9</v>
      </c>
      <c r="K7" s="602">
        <f>DATA!D21</f>
        <v>1</v>
      </c>
      <c r="L7" s="603"/>
    </row>
    <row r="8" spans="1:12" ht="51" customHeight="1">
      <c r="A8" s="204"/>
      <c r="B8" s="445" t="s">
        <v>1442</v>
      </c>
      <c r="C8" s="277" t="s">
        <v>9</v>
      </c>
      <c r="D8" s="571">
        <f>DATA!D19</f>
        <v>220</v>
      </c>
      <c r="E8" s="572"/>
      <c r="F8" s="444" t="s">
        <v>1453</v>
      </c>
      <c r="G8" s="439">
        <v>220</v>
      </c>
      <c r="I8" s="446" t="s">
        <v>1442</v>
      </c>
      <c r="J8" s="277" t="s">
        <v>9</v>
      </c>
      <c r="K8" s="602">
        <f>DATA!D22</f>
        <v>220</v>
      </c>
      <c r="L8" s="603"/>
    </row>
    <row r="9" spans="1:12" ht="30" customHeight="1" thickBot="1">
      <c r="A9" s="204"/>
      <c r="B9" s="451" t="s">
        <v>1541</v>
      </c>
      <c r="C9" s="441" t="s">
        <v>9</v>
      </c>
      <c r="D9" s="566">
        <f>IF(D7=1,D6/(380/3^0.5),(D6/(380*3^0.5)))</f>
        <v>0</v>
      </c>
      <c r="E9" s="567"/>
      <c r="F9" s="207"/>
      <c r="G9" s="440">
        <v>380</v>
      </c>
      <c r="I9" s="452" t="s">
        <v>1541</v>
      </c>
      <c r="J9" s="441" t="s">
        <v>9</v>
      </c>
      <c r="K9" s="604">
        <f>IF(K7=1,K6/(380/3^0.5),(K6/(380*3^0.5)))</f>
        <v>50.138312850678027</v>
      </c>
      <c r="L9" s="605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75"/>
      <c r="E12" s="576"/>
      <c r="F12" s="208"/>
      <c r="G12" s="208"/>
      <c r="I12" s="468" t="s">
        <v>1534</v>
      </c>
      <c r="J12" s="469" t="s">
        <v>9</v>
      </c>
      <c r="K12" s="575"/>
      <c r="L12" s="576"/>
    </row>
    <row r="13" spans="1:12" ht="31.5" customHeight="1">
      <c r="A13" s="204"/>
      <c r="B13" s="476" t="s">
        <v>1380</v>
      </c>
      <c r="C13" s="456" t="s">
        <v>9</v>
      </c>
      <c r="D13" s="579"/>
      <c r="E13" s="580"/>
      <c r="F13" s="208"/>
      <c r="G13" s="208"/>
      <c r="I13" s="470" t="s">
        <v>1380</v>
      </c>
      <c r="J13" s="456" t="s">
        <v>9</v>
      </c>
      <c r="K13" s="579"/>
      <c r="L13" s="580"/>
    </row>
    <row r="14" spans="1:12" ht="30.75" customHeight="1">
      <c r="A14" s="204"/>
      <c r="B14" s="476" t="s">
        <v>1535</v>
      </c>
      <c r="C14" s="456" t="s">
        <v>9</v>
      </c>
      <c r="D14" s="587"/>
      <c r="E14" s="588"/>
      <c r="F14" s="444" t="s">
        <v>1453</v>
      </c>
      <c r="G14" s="448">
        <v>50</v>
      </c>
      <c r="I14" s="470" t="s">
        <v>1535</v>
      </c>
      <c r="J14" s="456" t="s">
        <v>9</v>
      </c>
      <c r="K14" s="589"/>
      <c r="L14" s="590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91">
        <v>0</v>
      </c>
      <c r="E16" s="592"/>
      <c r="F16" s="444"/>
      <c r="G16" s="448">
        <v>160</v>
      </c>
      <c r="I16" s="470" t="s">
        <v>1537</v>
      </c>
      <c r="J16" s="456" t="s">
        <v>9</v>
      </c>
      <c r="K16" s="593">
        <f>K9</f>
        <v>50.138312850678027</v>
      </c>
      <c r="L16" s="594"/>
    </row>
    <row r="17" spans="1:12" ht="34.5" customHeight="1">
      <c r="A17" s="204"/>
      <c r="B17" s="476" t="s">
        <v>1538</v>
      </c>
      <c r="C17" s="456" t="s">
        <v>9</v>
      </c>
      <c r="D17" s="581">
        <f>IF(D15=1,D14/(20/3^0.5),(D14/(20*3^0.5)))</f>
        <v>0</v>
      </c>
      <c r="E17" s="582"/>
      <c r="F17" s="444" t="s">
        <v>1453</v>
      </c>
      <c r="G17" s="449">
        <v>200</v>
      </c>
      <c r="I17" s="470" t="s">
        <v>1538</v>
      </c>
      <c r="J17" s="456" t="s">
        <v>9</v>
      </c>
      <c r="K17" s="585">
        <f>IF(K15=1,K14/(20/3^0.5),(K14/(20*3^0.5)))</f>
        <v>0</v>
      </c>
      <c r="L17" s="586"/>
    </row>
    <row r="18" spans="1:12" ht="34.5" customHeight="1">
      <c r="A18" s="204"/>
      <c r="B18" s="476" t="s">
        <v>1539</v>
      </c>
      <c r="C18" s="456" t="s">
        <v>9</v>
      </c>
      <c r="D18" s="581">
        <f>IF(D15=1,D14/(380/3^0.5),(D14/(380*3^0.5)))*1000</f>
        <v>0</v>
      </c>
      <c r="E18" s="582"/>
      <c r="F18" s="444" t="s">
        <v>1453</v>
      </c>
      <c r="G18" s="449">
        <v>250</v>
      </c>
      <c r="I18" s="470" t="s">
        <v>1539</v>
      </c>
      <c r="J18" s="456" t="s">
        <v>9</v>
      </c>
      <c r="K18" s="585">
        <f>IF(K15=1,K14/(380/3^0.5),(K14/(380*3^0.5)))*1000</f>
        <v>0</v>
      </c>
      <c r="L18" s="586"/>
    </row>
    <row r="19" spans="1:12" ht="30" customHeight="1">
      <c r="A19" s="204"/>
      <c r="B19" s="477" t="s">
        <v>1531</v>
      </c>
      <c r="C19" s="455" t="s">
        <v>9</v>
      </c>
      <c r="D19" s="581">
        <f>IF(D15=1,D14/(380/3^0.5),(D14/(380*3^0.5)))</f>
        <v>0</v>
      </c>
      <c r="E19" s="582"/>
      <c r="F19" s="207"/>
      <c r="G19" s="440"/>
      <c r="I19" s="472" t="s">
        <v>1531</v>
      </c>
      <c r="J19" s="455" t="s">
        <v>9</v>
      </c>
      <c r="K19" s="585">
        <f>IF(K15=1,K14/(380/3^0.5),(K14/(380*3^0.5)))</f>
        <v>0</v>
      </c>
      <c r="L19" s="586"/>
    </row>
    <row r="20" spans="1:12" ht="30" customHeight="1" thickBot="1">
      <c r="A20" s="204"/>
      <c r="B20" s="478" t="s">
        <v>1540</v>
      </c>
      <c r="C20" s="474" t="s">
        <v>9</v>
      </c>
      <c r="D20" s="577" t="e">
        <f>D16/D18</f>
        <v>#DIV/0!</v>
      </c>
      <c r="E20" s="578"/>
      <c r="F20" s="207"/>
      <c r="G20" s="440"/>
      <c r="I20" s="473" t="s">
        <v>1531</v>
      </c>
      <c r="J20" s="474" t="s">
        <v>9</v>
      </c>
      <c r="K20" s="583" t="e">
        <f>K16/K18</f>
        <v>#DIV/0!</v>
      </c>
      <c r="L20" s="584"/>
    </row>
    <row r="21" spans="1:12" ht="9.75" customHeight="1">
      <c r="A21" s="204"/>
      <c r="B21" s="463" t="s">
        <v>1540</v>
      </c>
      <c r="C21" s="464" t="s">
        <v>9</v>
      </c>
      <c r="D21" s="562">
        <v>1</v>
      </c>
      <c r="E21" s="562"/>
      <c r="F21" s="465"/>
      <c r="G21" s="466"/>
      <c r="H21" s="467"/>
      <c r="I21" s="463" t="s">
        <v>1531</v>
      </c>
      <c r="J21" s="464" t="s">
        <v>9</v>
      </c>
      <c r="K21" s="562">
        <v>1</v>
      </c>
      <c r="L21" s="562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59"/>
      <c r="C24" s="560"/>
      <c r="D24" s="560"/>
      <c r="E24" s="561"/>
      <c r="I24" s="559"/>
      <c r="J24" s="560"/>
      <c r="K24" s="560"/>
      <c r="L24" s="561"/>
    </row>
    <row r="26" spans="1:12">
      <c r="D26" s="458"/>
    </row>
    <row r="27" spans="1:12">
      <c r="D27" s="45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32" priority="5" stopIfTrue="1" operator="greaterThan">
      <formula>0.89</formula>
    </cfRule>
    <cfRule type="cellIs" dxfId="3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7" zoomScaleNormal="100" workbookViewId="0">
      <selection activeCell="N33" sqref="N33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6"/>
      <c r="C1" s="606"/>
      <c r="D1" s="606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RAB!K151</f>
        <v>119481925.11039999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2389638.502208</v>
      </c>
    </row>
    <row r="12" spans="2:11" ht="9" customHeight="1">
      <c r="B12" s="607"/>
      <c r="C12" s="607"/>
      <c r="D12" s="607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1643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1626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11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8" t="s">
        <v>1357</v>
      </c>
      <c r="C3" s="608"/>
      <c r="D3" s="608"/>
      <c r="E3" s="608"/>
      <c r="F3" s="305" t="str">
        <f>DATA!D14</f>
        <v>IOH GEMPOL DENOK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9" t="s">
        <v>1349</v>
      </c>
      <c r="C5" s="609" t="s">
        <v>1358</v>
      </c>
      <c r="D5" s="610" t="s">
        <v>1359</v>
      </c>
      <c r="E5" s="610" t="s">
        <v>1360</v>
      </c>
      <c r="F5" s="609" t="s">
        <v>1361</v>
      </c>
      <c r="G5" s="609"/>
      <c r="H5" s="609"/>
      <c r="I5" s="609"/>
      <c r="J5" s="609"/>
      <c r="K5" s="609" t="s">
        <v>1362</v>
      </c>
      <c r="L5" s="609"/>
      <c r="M5" s="307"/>
      <c r="N5" s="613" t="s">
        <v>1363</v>
      </c>
      <c r="O5" s="610" t="s">
        <v>1364</v>
      </c>
      <c r="P5" s="610" t="s">
        <v>1365</v>
      </c>
      <c r="Q5" s="610" t="s">
        <v>1366</v>
      </c>
      <c r="R5" s="308"/>
      <c r="S5" s="309"/>
      <c r="T5" s="611" t="s">
        <v>1367</v>
      </c>
      <c r="U5" s="310"/>
    </row>
    <row r="6" spans="1:21" ht="20.100000000000001" customHeight="1">
      <c r="B6" s="609"/>
      <c r="C6" s="609"/>
      <c r="D6" s="609"/>
      <c r="E6" s="609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4"/>
      <c r="O6" s="609"/>
      <c r="P6" s="609"/>
      <c r="Q6" s="609"/>
      <c r="R6" s="308"/>
      <c r="S6" s="309"/>
      <c r="T6" s="609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3520</v>
      </c>
      <c r="D7" s="316">
        <f>C7*4/24</f>
        <v>586.66666666666663</v>
      </c>
      <c r="E7" s="316">
        <f>C7-D7</f>
        <v>2933.3333333333335</v>
      </c>
      <c r="F7" s="317">
        <f ca="1">DATA!D10/1000000</f>
        <v>119.48192511039998</v>
      </c>
      <c r="G7" s="318">
        <f ca="1">DATA!$D$11/1000000</f>
        <v>2.3896385022080002</v>
      </c>
      <c r="H7" s="318">
        <f>C7*DATA!$D$5/1000000</f>
        <v>3.816120161520776</v>
      </c>
      <c r="I7" s="318">
        <f>(C7*DATA!$D$5*DATA!$D$7)/1000000</f>
        <v>8.5862703634217455E-2</v>
      </c>
      <c r="J7" s="316">
        <f ca="1">SUM(F7:I7)</f>
        <v>125.77354647776298</v>
      </c>
      <c r="K7" s="319">
        <f>DATA!D9/1000000</f>
        <v>10.659000000000001</v>
      </c>
      <c r="L7" s="316">
        <f>((D7*DATA!$D$23)/1000000)+((E7*DATA!$D$24)/1000000)</f>
        <v>5.0853440000000001</v>
      </c>
      <c r="M7" s="316">
        <f>K7+L7</f>
        <v>15.744344000000002</v>
      </c>
      <c r="N7" s="316">
        <f ca="1">M7-J7</f>
        <v>-110.02920247776298</v>
      </c>
      <c r="O7" s="314">
        <v>1</v>
      </c>
      <c r="P7" s="316">
        <f ca="1">O7*N7</f>
        <v>-110.02920247776298</v>
      </c>
      <c r="Q7" s="316">
        <f ca="1">P7</f>
        <v>-110.02920247776298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2.3896385022080002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8.2426127999404901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-0.61459679994049043</v>
      </c>
      <c r="O8" s="315">
        <f>1/(1+'[93]Asumsi I'!$C$3)^(KKF!A8)</f>
        <v>0.89285714285714279</v>
      </c>
      <c r="P8" s="316">
        <f ca="1">O8*N8</f>
        <v>-0.54874714280400927</v>
      </c>
      <c r="Q8" s="316">
        <f ca="1">Q7+P8</f>
        <v>-110.57794962056698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2.3896385022080002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8.2426127999404901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-0.61459679994049043</v>
      </c>
      <c r="O9" s="322">
        <f>1/(1+'[93]Asumsi I'!$C$3)^(KKF!A9)</f>
        <v>0.79719387755102034</v>
      </c>
      <c r="P9" s="316">
        <f t="shared" ref="P9:P32" ca="1" si="7">O9*N9</f>
        <v>-0.4899528060750083</v>
      </c>
      <c r="Q9" s="316">
        <f ca="1">Q8+P9</f>
        <v>-111.06790242664199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2.3896385022080002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8.2426127999404901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-0.61459679994049043</v>
      </c>
      <c r="O10" s="315">
        <f>1/(1+'[93]Asumsi I'!$C$3)^(KKF!A10)</f>
        <v>0.71178024781341087</v>
      </c>
      <c r="P10" s="316">
        <f t="shared" ca="1" si="7"/>
        <v>-0.43745786256697161</v>
      </c>
      <c r="Q10" s="316">
        <f t="shared" ref="Q10:Q30" ca="1" si="9">Q9+P10</f>
        <v>-111.50536028920897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2.3896385022080002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8.2426127999404901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-0.61459679994049043</v>
      </c>
      <c r="O11" s="315">
        <f>1/(1+'[93]Asumsi I'!$C$3)^(KKF!A11)</f>
        <v>0.63551807840483121</v>
      </c>
      <c r="P11" s="316">
        <f t="shared" ca="1" si="7"/>
        <v>-0.39058737729193899</v>
      </c>
      <c r="Q11" s="316">
        <f t="shared" ca="1" si="9"/>
        <v>-111.8959476665009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2.3896385022080002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8.2426127999404901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-0.61459679994049043</v>
      </c>
      <c r="O12" s="315">
        <f>1/(1+'[93]Asumsi I'!$C$3)^(KKF!A12)</f>
        <v>0.56742685571859919</v>
      </c>
      <c r="P12" s="316">
        <f t="shared" ca="1" si="7"/>
        <v>-0.34873872972494546</v>
      </c>
      <c r="Q12" s="316">
        <f t="shared" ca="1" si="9"/>
        <v>-112.24468639622584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2.3896385022080002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8.2426127999404901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-0.61459679994049043</v>
      </c>
      <c r="O13" s="315">
        <f>1/(1+'[93]Asumsi I'!$C$3)^(KKF!A13)</f>
        <v>0.50663112117732068</v>
      </c>
      <c r="P13" s="316">
        <f t="shared" ca="1" si="7"/>
        <v>-0.31137386582584414</v>
      </c>
      <c r="Q13" s="316">
        <f t="shared" ca="1" si="9"/>
        <v>-112.55606026205169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2.3896385022080002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8.2426127999404901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-0.61459679994049043</v>
      </c>
      <c r="O14" s="315">
        <f>1/(1+'[93]Asumsi I'!$C$3)^(KKF!A14)</f>
        <v>0.45234921533689343</v>
      </c>
      <c r="P14" s="316">
        <f t="shared" ca="1" si="7"/>
        <v>-0.27801238020164654</v>
      </c>
      <c r="Q14" s="316">
        <f t="shared" ca="1" si="9"/>
        <v>-112.83407264225333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2.3896385022080002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8.2426127999404901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-0.61459679994049043</v>
      </c>
      <c r="O15" s="315">
        <f>1/(1+'[93]Asumsi I'!$C$3)^(KKF!A15)</f>
        <v>0.4038832279793691</v>
      </c>
      <c r="P15" s="316">
        <f t="shared" ca="1" si="7"/>
        <v>-0.24822533946575578</v>
      </c>
      <c r="Q15" s="316">
        <f t="shared" ca="1" si="9"/>
        <v>-113.08229798171909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2.3896385022080002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8.2426127999404901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-0.61459679994049043</v>
      </c>
      <c r="O16" s="315">
        <f>1/(1+'[93]Asumsi I'!$C$3)^(KKF!A16)</f>
        <v>0.36061002498157957</v>
      </c>
      <c r="P16" s="316">
        <f t="shared" ca="1" si="7"/>
        <v>-0.22162976738013912</v>
      </c>
      <c r="Q16" s="316">
        <f t="shared" ca="1" si="9"/>
        <v>-113.30392774909923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2.3896385022080002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8.2426127999404901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-0.61459679994049043</v>
      </c>
      <c r="O17" s="315">
        <f>1/(1+'[93]Asumsi I'!$C$3)^(KKF!A17)</f>
        <v>0.32197323659069599</v>
      </c>
      <c r="P17" s="316">
        <f t="shared" ca="1" si="7"/>
        <v>-0.19788372087512418</v>
      </c>
      <c r="Q17" s="316">
        <f t="shared" ca="1" si="9"/>
        <v>-113.50181146997436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2.3896385022080002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8.2426127999404901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-0.61459679994049043</v>
      </c>
      <c r="O18" s="315">
        <f>1/(1+'[93]Asumsi I'!$C$3)^(KKF!A18)</f>
        <v>0.28747610409883567</v>
      </c>
      <c r="P18" s="316">
        <f t="shared" ca="1" si="7"/>
        <v>-0.1766818936385037</v>
      </c>
      <c r="Q18" s="316">
        <f t="shared" ca="1" si="9"/>
        <v>-113.67849336361286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2.3896385022080002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8.2426127999404901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-0.61459679994049043</v>
      </c>
      <c r="O19" s="315">
        <f>1/(1+'[93]Asumsi I'!$C$3)^(KKF!A19)</f>
        <v>0.25667509294538904</v>
      </c>
      <c r="P19" s="316">
        <f t="shared" ca="1" si="7"/>
        <v>-0.15775169074866405</v>
      </c>
      <c r="Q19" s="316">
        <f t="shared" ca="1" si="9"/>
        <v>-113.83624505436153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2.3896385022080002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8.2426127999404901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-0.61459679994049043</v>
      </c>
      <c r="O20" s="315">
        <f>1/(1+'[93]Asumsi I'!$C$3)^(KKF!A20)</f>
        <v>0.22917419012981158</v>
      </c>
      <c r="P20" s="316">
        <f t="shared" ca="1" si="7"/>
        <v>-0.14084972388273573</v>
      </c>
      <c r="Q20" s="316">
        <f t="shared" ca="1" si="9"/>
        <v>-113.97709477824426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2.3896385022080002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8.2426127999404901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-0.61459679994049043</v>
      </c>
      <c r="O21" s="315">
        <f>1/(1+'[93]Asumsi I'!$C$3)^(KKF!A21)</f>
        <v>0.20461981261590317</v>
      </c>
      <c r="P21" s="316">
        <f t="shared" ca="1" si="7"/>
        <v>-0.12575868203815688</v>
      </c>
      <c r="Q21" s="316">
        <f t="shared" ca="1" si="9"/>
        <v>-114.10285346028242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2.3896385022080002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8.2426127999404901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-0.61459679994049043</v>
      </c>
      <c r="O22" s="315">
        <f>1/(1+'[93]Asumsi I'!$C$3)^(KKF!A22)</f>
        <v>0.18269626126419927</v>
      </c>
      <c r="P22" s="316">
        <f t="shared" ca="1" si="7"/>
        <v>-0.11228453753406865</v>
      </c>
      <c r="Q22" s="316">
        <f t="shared" ca="1" si="9"/>
        <v>-114.21513799781648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2.3896385022080002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8.2426127999404901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-0.61459679994049043</v>
      </c>
      <c r="O23" s="315">
        <f>1/(1+'[93]Asumsi I'!$C$3)^(KKF!A23)</f>
        <v>0.16312166184303503</v>
      </c>
      <c r="P23" s="316">
        <f t="shared" ca="1" si="7"/>
        <v>-0.10025405136970414</v>
      </c>
      <c r="Q23" s="316">
        <f t="shared" ca="1" si="9"/>
        <v>-114.31539204918619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2.3896385022080002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8.2426127999404901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-0.61459679994049043</v>
      </c>
      <c r="O24" s="315">
        <f>1/(1+'[93]Asumsi I'!$C$3)^(KKF!A24)</f>
        <v>0.14564434093128129</v>
      </c>
      <c r="P24" s="316">
        <f t="shared" ca="1" si="7"/>
        <v>-8.9512545865807272E-2</v>
      </c>
      <c r="Q24" s="316">
        <f t="shared" ca="1" si="9"/>
        <v>-114.40490459505199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2.3896385022080002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8.2426127999404901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-0.61459679994049043</v>
      </c>
      <c r="O25" s="315">
        <f>1/(1+'[93]Asumsi I'!$C$3)^(KKF!A25)</f>
        <v>0.13003959011721541</v>
      </c>
      <c r="P25" s="316">
        <f t="shared" ca="1" si="7"/>
        <v>-7.9921915951613617E-2</v>
      </c>
      <c r="Q25" s="316">
        <f t="shared" ca="1" si="9"/>
        <v>-114.4848265110036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2.3896385022080002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8.2426127999404901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-0.61459679994049043</v>
      </c>
      <c r="O26" s="315">
        <f>1/(1+'[93]Asumsi I'!$C$3)^(KKF!A26)</f>
        <v>0.1161067768903709</v>
      </c>
      <c r="P26" s="316">
        <f t="shared" ca="1" si="7"/>
        <v>-7.1358853528226435E-2</v>
      </c>
      <c r="Q26" s="316">
        <f t="shared" ca="1" si="9"/>
        <v>-114.55618536453183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2.3896385022080002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8.2426127999404901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-0.61459679994049043</v>
      </c>
      <c r="O27" s="315">
        <f>1/(1+'[93]Asumsi I'!$C$3)^(KKF!A27)</f>
        <v>0.1036667650806883</v>
      </c>
      <c r="P27" s="316">
        <f t="shared" ca="1" si="7"/>
        <v>-6.3713262078773605E-2</v>
      </c>
      <c r="Q27" s="316">
        <f t="shared" ca="1" si="9"/>
        <v>-114.61989862661061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2.3896385022080002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8.2426127999404901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-0.61459679994049043</v>
      </c>
      <c r="O28" s="315">
        <f>1/(1+'[93]Asumsi I'!$C$3)^(KKF!A28)</f>
        <v>9.2559611679185971E-2</v>
      </c>
      <c r="P28" s="316">
        <f t="shared" ca="1" si="7"/>
        <v>-5.6886841141762144E-2</v>
      </c>
      <c r="Q28" s="316">
        <f t="shared" ca="1" si="9"/>
        <v>-114.67678546775237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2.3896385022080002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8.2426127999404901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-0.61459679994049043</v>
      </c>
      <c r="O29" s="315">
        <f>1/(1+'[93]Asumsi I'!$C$3)^(KKF!A29)</f>
        <v>8.2642510427844609E-2</v>
      </c>
      <c r="P29" s="316">
        <f t="shared" ca="1" si="7"/>
        <v>-5.0791822448001907E-2</v>
      </c>
      <c r="Q29" s="316">
        <f t="shared" ca="1" si="9"/>
        <v>-114.72757729020037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2.3896385022080002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8.2426127999404901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-0.61459679994049043</v>
      </c>
      <c r="O30" s="315">
        <f>1/(1+'[93]Asumsi I'!$C$3)^(KKF!A30)</f>
        <v>7.3787955739146982E-2</v>
      </c>
      <c r="P30" s="316">
        <f t="shared" ca="1" si="7"/>
        <v>-4.5349841471430279E-2</v>
      </c>
      <c r="Q30" s="316">
        <f t="shared" ca="1" si="9"/>
        <v>-114.77292713167181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2.3896385022080002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8.2426127999404901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-0.61459679994049043</v>
      </c>
      <c r="O31" s="315">
        <f>1/(1+'[93]Asumsi I'!$C$3)^(KKF!A31)</f>
        <v>6.5882103338524081E-2</v>
      </c>
      <c r="P31" s="316">
        <f t="shared" ca="1" si="7"/>
        <v>-4.0490929885205605E-2</v>
      </c>
      <c r="Q31" s="316">
        <f ca="1">Q30+P31</f>
        <v>-114.81341806155702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2.3896385022080002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8.2426127999404901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-0.61459679994049043</v>
      </c>
      <c r="O32" s="315">
        <f>1/(1+'[93]Asumsi I'!$C$3)^(KKF!A32)</f>
        <v>5.8823306552253637E-2</v>
      </c>
      <c r="P32" s="316">
        <f t="shared" ca="1" si="7"/>
        <v>-3.6152615968933571E-2</v>
      </c>
      <c r="Q32" s="316">
        <f ca="1">Q31+P32</f>
        <v>-114.84957067752595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2" t="s">
        <v>1374</v>
      </c>
      <c r="G33" s="612"/>
      <c r="H33" s="612"/>
      <c r="I33" s="324"/>
      <c r="J33" s="325">
        <f ca="1">SUM(J7:J32)</f>
        <v>331.83886647627554</v>
      </c>
      <c r="K33" s="612" t="s">
        <v>1375</v>
      </c>
      <c r="L33" s="612"/>
      <c r="M33" s="325">
        <f>SUM(M7:M32)</f>
        <v>206.44474400000004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-204.64399829276894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0.62212346067894853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-102.5442595335053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30" priority="1" stopIfTrue="1" operator="greaterThanOrEqual">
      <formula>$F$7</formula>
    </cfRule>
    <cfRule type="cellIs" dxfId="29" priority="2" stopIfTrue="1" operator="lessThan">
      <formula>$F$7</formula>
    </cfRule>
  </conditionalFormatting>
  <conditionalFormatting sqref="Q7:Q32">
    <cfRule type="cellIs" dxfId="28" priority="3" operator="lessThan">
      <formula>0</formula>
    </cfRule>
    <cfRule type="cellIs" dxfId="27" priority="4" operator="lessThan">
      <formula>0</formula>
    </cfRule>
    <cfRule type="cellIs" dxfId="26" priority="5" operator="lessThan">
      <formula>-6395.81</formula>
    </cfRule>
    <cfRule type="cellIs" dxfId="2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66"/>
  <sheetViews>
    <sheetView showGridLines="0" tabSelected="1" zoomScale="70" zoomScaleNormal="70" zoomScaleSheetLayoutView="70" workbookViewId="0">
      <pane ySplit="13" topLeftCell="A41" activePane="bottomLeft" state="frozen"/>
      <selection activeCell="H1093" sqref="H1093"/>
      <selection pane="bottomLeft" activeCell="H75" sqref="H75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5" t="s">
        <v>1036</v>
      </c>
      <c r="P3" s="615"/>
      <c r="Q3" s="346"/>
      <c r="T3" s="344"/>
      <c r="U3" s="345" t="s">
        <v>1041</v>
      </c>
      <c r="V3" s="344"/>
    </row>
    <row r="4" spans="1:22" ht="15.75" customHeight="1">
      <c r="B4" s="616" t="s">
        <v>1023</v>
      </c>
      <c r="C4" s="616"/>
      <c r="D4" s="616"/>
      <c r="E4" s="616"/>
      <c r="F4" s="616"/>
      <c r="G4" s="616"/>
      <c r="H4" s="616"/>
      <c r="I4" s="616"/>
      <c r="J4" s="616"/>
      <c r="K4" s="616"/>
      <c r="O4" s="615"/>
      <c r="P4" s="615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2" t="str">
        <f>DATA!D14</f>
        <v>IOH GEMPOL DENOK</v>
      </c>
      <c r="H6" s="632"/>
      <c r="I6" s="632"/>
      <c r="J6" s="632"/>
      <c r="K6" s="632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1644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18" t="s">
        <v>0</v>
      </c>
      <c r="C11" s="620" t="s">
        <v>1</v>
      </c>
      <c r="D11" s="623" t="s">
        <v>42</v>
      </c>
      <c r="E11" s="623" t="s">
        <v>43</v>
      </c>
      <c r="F11" s="623" t="s">
        <v>2</v>
      </c>
      <c r="G11" s="625" t="s">
        <v>41</v>
      </c>
      <c r="H11" s="623" t="s">
        <v>3</v>
      </c>
      <c r="I11" s="623"/>
      <c r="J11" s="623"/>
      <c r="K11" s="642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19"/>
      <c r="C12" s="621"/>
      <c r="D12" s="624"/>
      <c r="E12" s="624"/>
      <c r="F12" s="624"/>
      <c r="G12" s="626"/>
      <c r="H12" s="628" t="s">
        <v>46</v>
      </c>
      <c r="I12" s="628" t="s">
        <v>5</v>
      </c>
      <c r="J12" s="624" t="s">
        <v>47</v>
      </c>
      <c r="K12" s="643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19"/>
      <c r="C13" s="622"/>
      <c r="D13" s="624"/>
      <c r="E13" s="624"/>
      <c r="F13" s="624"/>
      <c r="G13" s="627"/>
      <c r="H13" s="629"/>
      <c r="I13" s="629"/>
      <c r="J13" s="624"/>
      <c r="K13" s="643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5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29000000</v>
      </c>
      <c r="J17" s="361">
        <f t="shared" ref="J17" ca="1" si="10">IF(D17="JASA",G17*F17,0)</f>
        <v>0</v>
      </c>
      <c r="K17" s="362">
        <f t="shared" ref="K17" ca="1" si="11">SUM(H17:J17)</f>
        <v>29000000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101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1</v>
      </c>
      <c r="G18" s="360">
        <f ca="1">IF(ISERROR(OFFSET('HARGA SATUAN'!$I$6,MATCH(RAB!C18,'HARGA SATUAN'!$C$7:$C$1492,0),0)),0,OFFSET('HARGA SATUAN'!$I$6,MATCH(RAB!C18,'HARGA SATUAN'!$C$7:$C$1492,0),0))</f>
        <v>3382600</v>
      </c>
      <c r="H18" s="361">
        <f t="shared" ref="H18" ca="1" si="12">IF(OR(D18="MDU",D18="MDU-KD"),(IF($O$3="RAB NON MDU","PLN KD",G18*F18)),0)</f>
        <v>0</v>
      </c>
      <c r="I18" s="361">
        <f t="shared" ref="I18" ca="1" si="13">IF(D18="HDW",G18*F18,0)</f>
        <v>3382600</v>
      </c>
      <c r="J18" s="361">
        <f t="shared" ref="J18" ca="1" si="14">IF(D18="JASA",G18*F18,0)</f>
        <v>0</v>
      </c>
      <c r="K18" s="362">
        <f t="shared" ref="K18" ca="1" si="15">SUM(H18:J18)</f>
        <v>3382600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3</v>
      </c>
      <c r="C19" s="109" t="s">
        <v>104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368">
        <v>2</v>
      </c>
      <c r="G19" s="360">
        <f ca="1">IF(ISERROR(OFFSET('HARGA SATUAN'!$I$6,MATCH(RAB!C19,'HARGA SATUAN'!$C$7:$C$1492,0),0)),0,OFFSET('HARGA SATUAN'!$I$6,MATCH(RAB!C19,'HARGA SATUAN'!$C$7:$C$1492,0),0))</f>
        <v>6074400</v>
      </c>
      <c r="H19" s="361">
        <f t="shared" ref="H19:H24" ca="1" si="16">IF(OR(D19="MDU",D19="MDU-KD"),(IF($O$3="RAB NON MDU","PLN KD",G19*F19)),0)</f>
        <v>0</v>
      </c>
      <c r="I19" s="361">
        <f t="shared" ref="I19:I24" ca="1" si="17">IF(D19="HDW",G19*F19,0)</f>
        <v>12148800</v>
      </c>
      <c r="J19" s="361">
        <f t="shared" ref="J19:J24" ca="1" si="18">IF(D19="JASA",G19*F19,0)</f>
        <v>0</v>
      </c>
      <c r="K19" s="362">
        <f t="shared" ref="K19:K24" ca="1" si="19">SUM(H19:J19)</f>
        <v>12148800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>
        <v>4</v>
      </c>
      <c r="C20" s="109" t="s">
        <v>6</v>
      </c>
      <c r="D20" s="358" t="str">
        <f ca="1">IF(ISERROR(OFFSET('HARGA SATUAN'!$D$6,MATCH(RAB!C20,'HARGA SATUAN'!$C$7:$C$1492,0),0)),"",OFFSET('HARGA SATUAN'!$D$6,MATCH(RAB!C20,'HARGA SATUAN'!$C$7:$C$1492,0),0))</f>
        <v>JASA</v>
      </c>
      <c r="E20" s="359" t="str">
        <f ca="1">IF(B20="+","Unit",IF(ISERROR(OFFSET('HARGA SATUAN'!$E$6,MATCH(RAB!C20,'HARGA SATUAN'!$C$7:$C$1492,0),0)),"",OFFSET('HARGA SATUAN'!$E$6,MATCH(RAB!C20,'HARGA SATUAN'!$C$7:$C$1492,0),0)))</f>
        <v>Btg</v>
      </c>
      <c r="F20" s="368">
        <v>9</v>
      </c>
      <c r="G20" s="360">
        <f ca="1">IF(ISERROR(OFFSET('HARGA SATUAN'!$I$6,MATCH(RAB!C20,'HARGA SATUAN'!$C$7:$C$1492,0),0)),0,OFFSET('HARGA SATUAN'!$I$6,MATCH(RAB!C20,'HARGA SATUAN'!$C$7:$C$1492,0),0))</f>
        <v>10066.666666666668</v>
      </c>
      <c r="H20" s="361">
        <f t="shared" ca="1" si="16"/>
        <v>0</v>
      </c>
      <c r="I20" s="361">
        <f t="shared" ca="1" si="17"/>
        <v>0</v>
      </c>
      <c r="J20" s="361">
        <f t="shared" ca="1" si="18"/>
        <v>90600.000000000015</v>
      </c>
      <c r="K20" s="362">
        <f t="shared" ca="1" si="19"/>
        <v>90600.000000000015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71">
        <v>5</v>
      </c>
      <c r="C21" s="109" t="s">
        <v>461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Set</v>
      </c>
      <c r="F21" s="368">
        <v>2</v>
      </c>
      <c r="G21" s="360">
        <f ca="1">IF(ISERROR(OFFSET('HARGA SATUAN'!$I$6,MATCH(RAB!C21,'HARGA SATUAN'!$C$7:$C$1492,0),0)),0,OFFSET('HARGA SATUAN'!$I$6,MATCH(RAB!C21,'HARGA SATUAN'!$C$7:$C$1492,0),0))</f>
        <v>200000</v>
      </c>
      <c r="H21" s="361">
        <f t="shared" ca="1" si="16"/>
        <v>0</v>
      </c>
      <c r="I21" s="361">
        <f t="shared" ca="1" si="17"/>
        <v>400000</v>
      </c>
      <c r="J21" s="361">
        <f t="shared" ca="1" si="18"/>
        <v>0</v>
      </c>
      <c r="K21" s="362">
        <f t="shared" ca="1" si="19"/>
        <v>400000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/>
      <c r="B22" s="371"/>
      <c r="C22" s="109"/>
      <c r="D22" s="358"/>
      <c r="E22" s="359"/>
      <c r="F22" s="368"/>
      <c r="G22" s="360"/>
      <c r="H22" s="361"/>
      <c r="I22" s="361"/>
      <c r="J22" s="361"/>
      <c r="K22" s="362"/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70" customFormat="1">
      <c r="A23" s="336"/>
      <c r="B23" s="366" t="s">
        <v>1613</v>
      </c>
      <c r="C23" s="367" t="s">
        <v>1638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8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6"/>
        <v>0</v>
      </c>
      <c r="I23" s="361">
        <f t="shared" ca="1" si="17"/>
        <v>0</v>
      </c>
      <c r="J23" s="361">
        <f t="shared" ca="1" si="18"/>
        <v>0</v>
      </c>
      <c r="K23" s="362">
        <f t="shared" ca="1" si="19"/>
        <v>0</v>
      </c>
      <c r="L23" s="369"/>
      <c r="M23" s="369"/>
      <c r="N23" s="369"/>
      <c r="O23" s="363"/>
      <c r="P23" s="363"/>
      <c r="Q23" s="344"/>
      <c r="R23" s="336"/>
      <c r="S23" s="364"/>
      <c r="T23" s="341"/>
      <c r="U23" s="341"/>
      <c r="V23" s="341"/>
    </row>
    <row r="24" spans="1:22" s="365" customFormat="1">
      <c r="A24" s="336"/>
      <c r="B24" s="510"/>
      <c r="C24" s="511"/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/>
      </c>
      <c r="F24" s="368"/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6"/>
        <v>0</v>
      </c>
      <c r="I24" s="361">
        <f t="shared" ca="1" si="17"/>
        <v>0</v>
      </c>
      <c r="J24" s="361">
        <f t="shared" ca="1" si="18"/>
        <v>0</v>
      </c>
      <c r="K24" s="362">
        <f t="shared" ca="1" si="19"/>
        <v>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714" t="s">
        <v>1035</v>
      </c>
      <c r="C25" s="715" t="s">
        <v>1627</v>
      </c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721">
        <v>5</v>
      </c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ref="H25:H55" ca="1" si="20">IF(OR(D25="MDU",D25="MDU-KD"),(IF($O$3="RAB NON MDU","PLN KD",G25*F25)),0)</f>
        <v>0</v>
      </c>
      <c r="I25" s="361">
        <f t="shared" ref="I25:I55" ca="1" si="21">IF(D25="HDW",G25*F25,0)</f>
        <v>0</v>
      </c>
      <c r="J25" s="361">
        <f t="shared" ref="J25:J55" ca="1" si="22">IF(D25="JASA",G25*F25,0)</f>
        <v>0</v>
      </c>
      <c r="K25" s="362">
        <f t="shared" ref="K25:K55" ca="1" si="23">SUM(H25:J25)</f>
        <v>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714">
        <v>1</v>
      </c>
      <c r="C26" s="109" t="s">
        <v>1564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721">
        <f>F25*1</f>
        <v>5</v>
      </c>
      <c r="G26" s="360">
        <f ca="1">IF(ISERROR(OFFSET('HARGA SATUAN'!$I$6,MATCH(RAB!C26,'HARGA SATUAN'!$C$7:$C$1492,0),0)),0,OFFSET('HARGA SATUAN'!$I$6,MATCH(RAB!C26,'HARGA SATUAN'!$C$7:$C$1492,0),0))</f>
        <v>235900</v>
      </c>
      <c r="H26" s="361">
        <f t="shared" ca="1" si="20"/>
        <v>1179500</v>
      </c>
      <c r="I26" s="361">
        <f t="shared" ca="1" si="21"/>
        <v>0</v>
      </c>
      <c r="J26" s="361">
        <f t="shared" ca="1" si="22"/>
        <v>0</v>
      </c>
      <c r="K26" s="362">
        <f t="shared" ca="1" si="23"/>
        <v>1179500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714">
        <v>2</v>
      </c>
      <c r="C27" s="715" t="s">
        <v>28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721">
        <f>F25*2</f>
        <v>10</v>
      </c>
      <c r="G27" s="360">
        <f ca="1">IF(ISERROR(OFFSET('HARGA SATUAN'!$I$6,MATCH(RAB!C27,'HARGA SATUAN'!$C$7:$C$1492,0),0)),0,OFFSET('HARGA SATUAN'!$I$6,MATCH(RAB!C27,'HARGA SATUAN'!$C$7:$C$1492,0),0))</f>
        <v>26500</v>
      </c>
      <c r="H27" s="361">
        <f t="shared" ca="1" si="20"/>
        <v>0</v>
      </c>
      <c r="I27" s="361">
        <f t="shared" ca="1" si="21"/>
        <v>265000</v>
      </c>
      <c r="J27" s="361">
        <f t="shared" ca="1" si="22"/>
        <v>0</v>
      </c>
      <c r="K27" s="362">
        <f t="shared" ca="1" si="23"/>
        <v>265000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714">
        <v>3</v>
      </c>
      <c r="C28" s="715" t="s">
        <v>178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501">
        <f>F25*1</f>
        <v>5</v>
      </c>
      <c r="G28" s="360">
        <f ca="1">IF(ISERROR(OFFSET('HARGA SATUAN'!$I$6,MATCH(RAB!C28,'HARGA SATUAN'!$C$7:$C$1492,0),0)),0,OFFSET('HARGA SATUAN'!$I$6,MATCH(RAB!C28,'HARGA SATUAN'!$C$7:$C$1492,0),0))</f>
        <v>95000</v>
      </c>
      <c r="H28" s="361">
        <f t="shared" ca="1" si="20"/>
        <v>0</v>
      </c>
      <c r="I28" s="361">
        <f t="shared" ca="1" si="21"/>
        <v>475000</v>
      </c>
      <c r="J28" s="361">
        <f t="shared" ca="1" si="22"/>
        <v>0</v>
      </c>
      <c r="K28" s="362">
        <f t="shared" ca="1" si="23"/>
        <v>475000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714">
        <v>4</v>
      </c>
      <c r="C29" s="715" t="s">
        <v>217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501">
        <f>F25*2</f>
        <v>10</v>
      </c>
      <c r="G29" s="360">
        <f ca="1">IF(ISERROR(OFFSET('HARGA SATUAN'!$I$6,MATCH(RAB!C29,'HARGA SATUAN'!$C$7:$C$1492,0),0)),0,OFFSET('HARGA SATUAN'!$I$6,MATCH(RAB!C29,'HARGA SATUAN'!$C$7:$C$1492,0),0))</f>
        <v>11400</v>
      </c>
      <c r="H29" s="361">
        <f t="shared" ca="1" si="20"/>
        <v>0</v>
      </c>
      <c r="I29" s="361">
        <f t="shared" ca="1" si="21"/>
        <v>114000</v>
      </c>
      <c r="J29" s="361">
        <f t="shared" ca="1" si="22"/>
        <v>0</v>
      </c>
      <c r="K29" s="362">
        <f t="shared" ca="1" si="23"/>
        <v>114000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714">
        <v>5</v>
      </c>
      <c r="C30" s="715" t="s">
        <v>254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1">
        <f>F25*1</f>
        <v>5</v>
      </c>
      <c r="G30" s="360">
        <f ca="1">IF(ISERROR(OFFSET('HARGA SATUAN'!$I$6,MATCH(RAB!C30,'HARGA SATUAN'!$C$7:$C$1492,0),0)),0,OFFSET('HARGA SATUAN'!$I$6,MATCH(RAB!C30,'HARGA SATUAN'!$C$7:$C$1492,0),0))</f>
        <v>51100</v>
      </c>
      <c r="H30" s="361">
        <f t="shared" ca="1" si="20"/>
        <v>0</v>
      </c>
      <c r="I30" s="361">
        <f t="shared" ca="1" si="21"/>
        <v>255500</v>
      </c>
      <c r="J30" s="361">
        <f t="shared" ca="1" si="22"/>
        <v>0</v>
      </c>
      <c r="K30" s="362">
        <f t="shared" ca="1" si="23"/>
        <v>255500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714">
        <v>6</v>
      </c>
      <c r="C31" s="715" t="s">
        <v>264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F25*1</f>
        <v>5</v>
      </c>
      <c r="G31" s="360">
        <f ca="1">IF(ISERROR(OFFSET('HARGA SATUAN'!$I$6,MATCH(RAB!C31,'HARGA SATUAN'!$C$7:$C$1492,0),0)),0,OFFSET('HARGA SATUAN'!$I$6,MATCH(RAB!C31,'HARGA SATUAN'!$C$7:$C$1492,0),0))</f>
        <v>28000</v>
      </c>
      <c r="H31" s="361">
        <f t="shared" ca="1" si="20"/>
        <v>0</v>
      </c>
      <c r="I31" s="361">
        <f t="shared" ca="1" si="21"/>
        <v>140000</v>
      </c>
      <c r="J31" s="361">
        <f t="shared" ca="1" si="22"/>
        <v>0</v>
      </c>
      <c r="K31" s="362">
        <f t="shared" ca="1" si="23"/>
        <v>140000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716">
        <v>7</v>
      </c>
      <c r="C32" s="717" t="s">
        <v>38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Mtr</v>
      </c>
      <c r="F32" s="501">
        <f>2.6*F25</f>
        <v>13</v>
      </c>
      <c r="G32" s="360">
        <f ca="1">IF(ISERROR(OFFSET('HARGA SATUAN'!$I$6,MATCH(RAB!C32,'HARGA SATUAN'!$C$7:$C$1492,0),0)),0,OFFSET('HARGA SATUAN'!$I$6,MATCH(RAB!C32,'HARGA SATUAN'!$C$7:$C$1492,0),0))</f>
        <v>8550</v>
      </c>
      <c r="H32" s="361">
        <f t="shared" ca="1" si="20"/>
        <v>0</v>
      </c>
      <c r="I32" s="361">
        <f t="shared" ca="1" si="21"/>
        <v>111150</v>
      </c>
      <c r="J32" s="361">
        <f t="shared" ca="1" si="22"/>
        <v>0</v>
      </c>
      <c r="K32" s="362">
        <f t="shared" ca="1" si="23"/>
        <v>111150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718">
        <v>8</v>
      </c>
      <c r="C33" s="719" t="s">
        <v>26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1">
        <f>F25*2</f>
        <v>10</v>
      </c>
      <c r="G33" s="360">
        <f ca="1">IF(ISERROR(OFFSET('HARGA SATUAN'!$I$6,MATCH(RAB!C33,'HARGA SATUAN'!$C$7:$C$1492,0),0)),0,OFFSET('HARGA SATUAN'!$I$6,MATCH(RAB!C33,'HARGA SATUAN'!$C$7:$C$1492,0),0))</f>
        <v>2500</v>
      </c>
      <c r="H33" s="361">
        <f t="shared" ca="1" si="20"/>
        <v>0</v>
      </c>
      <c r="I33" s="361">
        <f t="shared" ca="1" si="21"/>
        <v>25000</v>
      </c>
      <c r="J33" s="361">
        <f t="shared" ca="1" si="22"/>
        <v>0</v>
      </c>
      <c r="K33" s="362">
        <f t="shared" ca="1" si="23"/>
        <v>25000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718">
        <v>9</v>
      </c>
      <c r="C34" s="720" t="s">
        <v>641</v>
      </c>
      <c r="D34" s="358" t="str">
        <f ca="1">IF(ISERROR(OFFSET('HARGA SATUAN'!$D$6,MATCH(RAB!C34,'HARGA SATUAN'!$C$7:$C$1492,0),0)),"",OFFSET('HARGA SATUAN'!$D$6,MATCH(RAB!C34,'HARGA SATUAN'!$C$7:$C$1492,0),0))</f>
        <v>JASA</v>
      </c>
      <c r="E34" s="359" t="str">
        <f ca="1">IF(B34="+","Unit",IF(ISERROR(OFFSET('HARGA SATUAN'!$E$6,MATCH(RAB!C34,'HARGA SATUAN'!$C$7:$C$1492,0),0)),"",OFFSET('HARGA SATUAN'!$E$6,MATCH(RAB!C34,'HARGA SATUAN'!$C$7:$C$1492,0),0)))</f>
        <v>Unit</v>
      </c>
      <c r="F34" s="721">
        <f>F25*1</f>
        <v>5</v>
      </c>
      <c r="G34" s="360">
        <f ca="1">IF(ISERROR(OFFSET('HARGA SATUAN'!$I$6,MATCH(RAB!C34,'HARGA SATUAN'!$C$7:$C$1492,0),0)),0,OFFSET('HARGA SATUAN'!$I$6,MATCH(RAB!C34,'HARGA SATUAN'!$C$7:$C$1492,0),0))</f>
        <v>53200</v>
      </c>
      <c r="H34" s="361">
        <f t="shared" ca="1" si="20"/>
        <v>0</v>
      </c>
      <c r="I34" s="361">
        <f t="shared" ca="1" si="21"/>
        <v>0</v>
      </c>
      <c r="J34" s="361">
        <f t="shared" ca="1" si="22"/>
        <v>266000</v>
      </c>
      <c r="K34" s="362">
        <f t="shared" ca="1" si="23"/>
        <v>266000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10"/>
      <c r="C35" s="511"/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/>
      </c>
      <c r="F35" s="368"/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ca="1" si="20"/>
        <v>0</v>
      </c>
      <c r="I35" s="361">
        <f t="shared" ca="1" si="21"/>
        <v>0</v>
      </c>
      <c r="J35" s="361">
        <f t="shared" ca="1" si="22"/>
        <v>0</v>
      </c>
      <c r="K35" s="362">
        <f t="shared" ca="1" si="23"/>
        <v>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714" t="s">
        <v>1035</v>
      </c>
      <c r="C36" s="720" t="s">
        <v>1634</v>
      </c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721">
        <v>2</v>
      </c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ca="1" si="20"/>
        <v>0</v>
      </c>
      <c r="I36" s="361">
        <f t="shared" ca="1" si="21"/>
        <v>0</v>
      </c>
      <c r="J36" s="361">
        <f t="shared" ca="1" si="22"/>
        <v>0</v>
      </c>
      <c r="K36" s="362">
        <f t="shared" ca="1" si="23"/>
        <v>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714">
        <v>1</v>
      </c>
      <c r="C37" s="109" t="s">
        <v>1565</v>
      </c>
      <c r="D37" s="358" t="str">
        <f ca="1">IF(ISERROR(OFFSET('HARGA SATUAN'!$D$6,MATCH(RAB!C37,'HARGA SATUAN'!$C$7:$C$1492,0),0)),"",OFFSET('HARGA SATUAN'!$D$6,MATCH(RAB!C37,'HARGA SATUAN'!$C$7:$C$1492,0),0))</f>
        <v>MDU-KD</v>
      </c>
      <c r="E37" s="359" t="str">
        <f ca="1">IF(B37="+","Unit",IF(ISERROR(OFFSET('HARGA SATUAN'!$E$6,MATCH(RAB!C37,'HARGA SATUAN'!$C$7:$C$1492,0),0)),"",OFFSET('HARGA SATUAN'!$E$6,MATCH(RAB!C37,'HARGA SATUAN'!$C$7:$C$1492,0),0)))</f>
        <v>Set</v>
      </c>
      <c r="F37" s="721">
        <f>F36*1</f>
        <v>2</v>
      </c>
      <c r="G37" s="360">
        <f ca="1">IF(ISERROR(OFFSET('HARGA SATUAN'!$I$6,MATCH(RAB!C37,'HARGA SATUAN'!$C$7:$C$1492,0),0)),0,OFFSET('HARGA SATUAN'!$I$6,MATCH(RAB!C37,'HARGA SATUAN'!$C$7:$C$1492,0),0))</f>
        <v>430000</v>
      </c>
      <c r="H37" s="361">
        <f t="shared" ca="1" si="20"/>
        <v>860000</v>
      </c>
      <c r="I37" s="361">
        <f t="shared" ca="1" si="21"/>
        <v>0</v>
      </c>
      <c r="J37" s="361">
        <f t="shared" ca="1" si="22"/>
        <v>0</v>
      </c>
      <c r="K37" s="362">
        <f t="shared" ca="1" si="23"/>
        <v>860000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714">
        <v>2</v>
      </c>
      <c r="C38" s="720" t="s">
        <v>152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Mtr</v>
      </c>
      <c r="F38" s="721">
        <f>F36*1</f>
        <v>2</v>
      </c>
      <c r="G38" s="360">
        <f ca="1">IF(ISERROR(OFFSET('HARGA SATUAN'!$I$6,MATCH(RAB!C38,'HARGA SATUAN'!$C$7:$C$1492,0),0)),0,OFFSET('HARGA SATUAN'!$I$6,MATCH(RAB!C38,'HARGA SATUAN'!$C$7:$C$1492,0),0))</f>
        <v>7789</v>
      </c>
      <c r="H38" s="361">
        <f t="shared" ca="1" si="20"/>
        <v>0</v>
      </c>
      <c r="I38" s="361">
        <f t="shared" ca="1" si="21"/>
        <v>15578</v>
      </c>
      <c r="J38" s="361">
        <f t="shared" ca="1" si="22"/>
        <v>0</v>
      </c>
      <c r="K38" s="362">
        <f t="shared" ca="1" si="23"/>
        <v>15578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714">
        <v>3</v>
      </c>
      <c r="C39" s="720" t="s">
        <v>179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721">
        <f>F36*1</f>
        <v>2</v>
      </c>
      <c r="G39" s="360">
        <f ca="1">IF(ISERROR(OFFSET('HARGA SATUAN'!$I$6,MATCH(RAB!C39,'HARGA SATUAN'!$C$7:$C$1492,0),0)),0,OFFSET('HARGA SATUAN'!$I$6,MATCH(RAB!C39,'HARGA SATUAN'!$C$7:$C$1492,0),0))</f>
        <v>15500</v>
      </c>
      <c r="H39" s="361">
        <f t="shared" ca="1" si="20"/>
        <v>0</v>
      </c>
      <c r="I39" s="361">
        <f t="shared" ca="1" si="21"/>
        <v>31000</v>
      </c>
      <c r="J39" s="361">
        <f t="shared" ca="1" si="22"/>
        <v>0</v>
      </c>
      <c r="K39" s="362">
        <f t="shared" ca="1" si="23"/>
        <v>31000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714">
        <v>4</v>
      </c>
      <c r="C40" s="720" t="s">
        <v>217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721">
        <f>F36*2</f>
        <v>4</v>
      </c>
      <c r="G40" s="360">
        <f ca="1">IF(ISERROR(OFFSET('HARGA SATUAN'!$I$6,MATCH(RAB!C40,'HARGA SATUAN'!$C$7:$C$1492,0),0)),0,OFFSET('HARGA SATUAN'!$I$6,MATCH(RAB!C40,'HARGA SATUAN'!$C$7:$C$1492,0),0))</f>
        <v>11400</v>
      </c>
      <c r="H40" s="361">
        <f t="shared" ca="1" si="20"/>
        <v>0</v>
      </c>
      <c r="I40" s="361">
        <f t="shared" ca="1" si="21"/>
        <v>45600</v>
      </c>
      <c r="J40" s="361">
        <f t="shared" ca="1" si="22"/>
        <v>0</v>
      </c>
      <c r="K40" s="362">
        <f t="shared" ca="1" si="23"/>
        <v>45600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714">
        <v>5</v>
      </c>
      <c r="C41" s="720" t="s">
        <v>218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721">
        <f>F36*2</f>
        <v>4</v>
      </c>
      <c r="G41" s="360">
        <f ca="1">IF(ISERROR(OFFSET('HARGA SATUAN'!$I$6,MATCH(RAB!C41,'HARGA SATUAN'!$C$7:$C$1492,0),0)),0,OFFSET('HARGA SATUAN'!$I$6,MATCH(RAB!C41,'HARGA SATUAN'!$C$7:$C$1492,0),0))</f>
        <v>29600</v>
      </c>
      <c r="H41" s="361">
        <f t="shared" ca="1" si="20"/>
        <v>0</v>
      </c>
      <c r="I41" s="361">
        <f t="shared" ca="1" si="21"/>
        <v>118400</v>
      </c>
      <c r="J41" s="361">
        <f t="shared" ca="1" si="22"/>
        <v>0</v>
      </c>
      <c r="K41" s="362">
        <f t="shared" ca="1" si="23"/>
        <v>118400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714">
        <v>6</v>
      </c>
      <c r="C42" s="720" t="s">
        <v>223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721">
        <f>F36*2</f>
        <v>4</v>
      </c>
      <c r="G42" s="360">
        <f ca="1">IF(ISERROR(OFFSET('HARGA SATUAN'!$I$6,MATCH(RAB!C42,'HARGA SATUAN'!$C$7:$C$1492,0),0)),0,OFFSET('HARGA SATUAN'!$I$6,MATCH(RAB!C42,'HARGA SATUAN'!$C$7:$C$1492,0),0))</f>
        <v>27815</v>
      </c>
      <c r="H42" s="361">
        <f t="shared" ca="1" si="20"/>
        <v>0</v>
      </c>
      <c r="I42" s="361">
        <f t="shared" ca="1" si="21"/>
        <v>111260</v>
      </c>
      <c r="J42" s="361">
        <f t="shared" ca="1" si="22"/>
        <v>0</v>
      </c>
      <c r="K42" s="362">
        <f t="shared" ca="1" si="23"/>
        <v>111260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714">
        <v>7</v>
      </c>
      <c r="C43" s="720" t="s">
        <v>27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721">
        <f>F36*1</f>
        <v>2</v>
      </c>
      <c r="G43" s="360">
        <f ca="1">IF(ISERROR(OFFSET('HARGA SATUAN'!$I$6,MATCH(RAB!C43,'HARGA SATUAN'!$C$7:$C$1492,0),0)),0,OFFSET('HARGA SATUAN'!$I$6,MATCH(RAB!C43,'HARGA SATUAN'!$C$7:$C$1492,0),0))</f>
        <v>16000</v>
      </c>
      <c r="H43" s="361">
        <f t="shared" ca="1" si="20"/>
        <v>0</v>
      </c>
      <c r="I43" s="361">
        <f t="shared" ca="1" si="21"/>
        <v>32000</v>
      </c>
      <c r="J43" s="361">
        <f t="shared" ca="1" si="22"/>
        <v>0</v>
      </c>
      <c r="K43" s="362">
        <f t="shared" ca="1" si="23"/>
        <v>32000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714">
        <v>8</v>
      </c>
      <c r="C44" s="720" t="s">
        <v>265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721">
        <f>F36*1</f>
        <v>2</v>
      </c>
      <c r="G44" s="360">
        <f ca="1">IF(ISERROR(OFFSET('HARGA SATUAN'!$I$6,MATCH(RAB!C44,'HARGA SATUAN'!$C$7:$C$1492,0),0)),0,OFFSET('HARGA SATUAN'!$I$6,MATCH(RAB!C44,'HARGA SATUAN'!$C$7:$C$1492,0),0))</f>
        <v>33501.866666666669</v>
      </c>
      <c r="H44" s="361">
        <f t="shared" ca="1" si="20"/>
        <v>0</v>
      </c>
      <c r="I44" s="361">
        <f t="shared" ca="1" si="21"/>
        <v>67003.733333333337</v>
      </c>
      <c r="J44" s="361">
        <f t="shared" ca="1" si="22"/>
        <v>0</v>
      </c>
      <c r="K44" s="362">
        <f t="shared" ca="1" si="23"/>
        <v>67003.733333333337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714">
        <v>9</v>
      </c>
      <c r="C45" s="720" t="s">
        <v>26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721">
        <f>F36*2</f>
        <v>4</v>
      </c>
      <c r="G45" s="360">
        <f ca="1">IF(ISERROR(OFFSET('HARGA SATUAN'!$I$6,MATCH(RAB!C45,'HARGA SATUAN'!$C$7:$C$1492,0),0)),0,OFFSET('HARGA SATUAN'!$I$6,MATCH(RAB!C45,'HARGA SATUAN'!$C$7:$C$1492,0),0))</f>
        <v>2500</v>
      </c>
      <c r="H45" s="361">
        <f t="shared" ca="1" si="20"/>
        <v>0</v>
      </c>
      <c r="I45" s="361">
        <f t="shared" ca="1" si="21"/>
        <v>10000</v>
      </c>
      <c r="J45" s="361">
        <f t="shared" ca="1" si="22"/>
        <v>0</v>
      </c>
      <c r="K45" s="362">
        <f t="shared" ca="1" si="23"/>
        <v>10000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714">
        <v>10</v>
      </c>
      <c r="C46" s="720" t="s">
        <v>655</v>
      </c>
      <c r="D46" s="358" t="str">
        <f ca="1">IF(ISERROR(OFFSET('HARGA SATUAN'!$D$6,MATCH(RAB!C46,'HARGA SATUAN'!$C$7:$C$1492,0),0)),"",OFFSET('HARGA SATUAN'!$D$6,MATCH(RAB!C46,'HARGA SATUAN'!$C$7:$C$1492,0),0))</f>
        <v>JASA</v>
      </c>
      <c r="E46" s="359" t="str">
        <f ca="1">IF(B46="+","Unit",IF(ISERROR(OFFSET('HARGA SATUAN'!$E$6,MATCH(RAB!C46,'HARGA SATUAN'!$C$7:$C$1492,0),0)),"",OFFSET('HARGA SATUAN'!$E$6,MATCH(RAB!C46,'HARGA SATUAN'!$C$7:$C$1492,0),0)))</f>
        <v>Unit</v>
      </c>
      <c r="F46" s="721">
        <f>F36*1</f>
        <v>2</v>
      </c>
      <c r="G46" s="360">
        <f ca="1">IF(ISERROR(OFFSET('HARGA SATUAN'!$I$6,MATCH(RAB!C46,'HARGA SATUAN'!$C$7:$C$1492,0),0)),0,OFFSET('HARGA SATUAN'!$I$6,MATCH(RAB!C46,'HARGA SATUAN'!$C$7:$C$1492,0),0))</f>
        <v>50100</v>
      </c>
      <c r="H46" s="361">
        <f t="shared" ca="1" si="20"/>
        <v>0</v>
      </c>
      <c r="I46" s="361">
        <f t="shared" ca="1" si="21"/>
        <v>0</v>
      </c>
      <c r="J46" s="361">
        <f t="shared" ca="1" si="22"/>
        <v>100200</v>
      </c>
      <c r="K46" s="362">
        <f t="shared" ca="1" si="23"/>
        <v>100200</v>
      </c>
      <c r="L46" s="342"/>
      <c r="M46" s="342"/>
      <c r="N46" s="369"/>
      <c r="O46" s="344"/>
      <c r="P46" s="397"/>
      <c r="Q46" s="344"/>
    </row>
    <row r="47" spans="1:17" s="365" customFormat="1">
      <c r="A47" s="336"/>
      <c r="B47" s="510"/>
      <c r="C47" s="511"/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368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20"/>
        <v>0</v>
      </c>
      <c r="I47" s="361">
        <f t="shared" ca="1" si="21"/>
        <v>0</v>
      </c>
      <c r="J47" s="361">
        <f t="shared" ca="1" si="22"/>
        <v>0</v>
      </c>
      <c r="K47" s="362">
        <f t="shared" ca="1" si="23"/>
        <v>0</v>
      </c>
      <c r="L47" s="342"/>
      <c r="M47" s="342"/>
      <c r="N47" s="369"/>
      <c r="O47" s="344"/>
      <c r="P47" s="397"/>
      <c r="Q47" s="344"/>
    </row>
    <row r="48" spans="1:17" s="365" customFormat="1">
      <c r="A48" s="336"/>
      <c r="B48" s="714" t="s">
        <v>1035</v>
      </c>
      <c r="C48" s="715" t="s">
        <v>1637</v>
      </c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501">
        <v>8</v>
      </c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20"/>
        <v>0</v>
      </c>
      <c r="I48" s="361">
        <f t="shared" ca="1" si="21"/>
        <v>0</v>
      </c>
      <c r="J48" s="361">
        <f t="shared" ca="1" si="22"/>
        <v>0</v>
      </c>
      <c r="K48" s="362">
        <f t="shared" ca="1" si="23"/>
        <v>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714">
        <v>1</v>
      </c>
      <c r="C49" s="715" t="s">
        <v>30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1">
        <f>F48*1</f>
        <v>8</v>
      </c>
      <c r="G49" s="360">
        <f ca="1">IF(ISERROR(OFFSET('HARGA SATUAN'!$I$6,MATCH(RAB!C49,'HARGA SATUAN'!$C$7:$C$1492,0),0)),0,OFFSET('HARGA SATUAN'!$I$6,MATCH(RAB!C49,'HARGA SATUAN'!$C$7:$C$1492,0),0))</f>
        <v>47459</v>
      </c>
      <c r="H49" s="361">
        <f t="shared" ca="1" si="20"/>
        <v>0</v>
      </c>
      <c r="I49" s="361">
        <f t="shared" ca="1" si="21"/>
        <v>379672</v>
      </c>
      <c r="J49" s="361">
        <f t="shared" ca="1" si="22"/>
        <v>0</v>
      </c>
      <c r="K49" s="362">
        <f t="shared" ca="1" si="23"/>
        <v>379672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714">
        <v>2</v>
      </c>
      <c r="C50" s="715" t="s">
        <v>32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Mtr</v>
      </c>
      <c r="F50" s="501">
        <f>F48*0.8</f>
        <v>6.4</v>
      </c>
      <c r="G50" s="360">
        <f ca="1">IF(ISERROR(OFFSET('HARGA SATUAN'!$I$6,MATCH(RAB!C50,'HARGA SATUAN'!$C$7:$C$1492,0),0)),0,OFFSET('HARGA SATUAN'!$I$6,MATCH(RAB!C50,'HARGA SATUAN'!$C$7:$C$1492,0),0))</f>
        <v>30000</v>
      </c>
      <c r="H50" s="361">
        <f t="shared" ca="1" si="20"/>
        <v>0</v>
      </c>
      <c r="I50" s="361">
        <f t="shared" ca="1" si="21"/>
        <v>192000</v>
      </c>
      <c r="J50" s="361">
        <f t="shared" ca="1" si="22"/>
        <v>0</v>
      </c>
      <c r="K50" s="362">
        <f t="shared" ca="1" si="23"/>
        <v>192000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714">
        <v>3</v>
      </c>
      <c r="C51" s="715" t="s">
        <v>33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1">
        <f>F48*1</f>
        <v>8</v>
      </c>
      <c r="G51" s="360">
        <f ca="1">IF(ISERROR(OFFSET('HARGA SATUAN'!$I$6,MATCH(RAB!C51,'HARGA SATUAN'!$C$7:$C$1492,0),0)),0,OFFSET('HARGA SATUAN'!$I$6,MATCH(RAB!C51,'HARGA SATUAN'!$C$7:$C$1492,0),0))</f>
        <v>9500</v>
      </c>
      <c r="H51" s="361">
        <f t="shared" ca="1" si="20"/>
        <v>0</v>
      </c>
      <c r="I51" s="361">
        <f t="shared" ca="1" si="21"/>
        <v>76000</v>
      </c>
      <c r="J51" s="361">
        <f t="shared" ca="1" si="22"/>
        <v>0</v>
      </c>
      <c r="K51" s="362">
        <f t="shared" ca="1" si="23"/>
        <v>76000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714">
        <v>4</v>
      </c>
      <c r="C52" s="715" t="s">
        <v>737</v>
      </c>
      <c r="D52" s="358" t="str">
        <f ca="1">IF(ISERROR(OFFSET('HARGA SATUAN'!$D$6,MATCH(RAB!C52,'HARGA SATUAN'!$C$7:$C$1492,0),0)),"",OFFSET('HARGA SATUAN'!$D$6,MATCH(RAB!C52,'HARGA SATUAN'!$C$7:$C$1492,0),0))</f>
        <v>JASA</v>
      </c>
      <c r="E52" s="359" t="str">
        <f ca="1">IF(B52="+","Unit",IF(ISERROR(OFFSET('HARGA SATUAN'!$E$6,MATCH(RAB!C52,'HARGA SATUAN'!$C$7:$C$1492,0),0)),"",OFFSET('HARGA SATUAN'!$E$6,MATCH(RAB!C52,'HARGA SATUAN'!$C$7:$C$1492,0),0)))</f>
        <v>Unit</v>
      </c>
      <c r="F52" s="501">
        <f>F48*1</f>
        <v>8</v>
      </c>
      <c r="G52" s="360">
        <f ca="1">IF(ISERROR(OFFSET('HARGA SATUAN'!$I$6,MATCH(RAB!C52,'HARGA SATUAN'!$C$7:$C$1492,0),0)),0,OFFSET('HARGA SATUAN'!$I$6,MATCH(RAB!C52,'HARGA SATUAN'!$C$7:$C$1492,0),0))</f>
        <v>16200</v>
      </c>
      <c r="H52" s="361">
        <f t="shared" ca="1" si="20"/>
        <v>0</v>
      </c>
      <c r="I52" s="361">
        <f t="shared" ca="1" si="21"/>
        <v>0</v>
      </c>
      <c r="J52" s="361">
        <f t="shared" ca="1" si="22"/>
        <v>129600</v>
      </c>
      <c r="K52" s="362">
        <f t="shared" ca="1" si="23"/>
        <v>129600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510"/>
      <c r="C53" s="511"/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/>
      </c>
      <c r="F53" s="368"/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ca="1" si="20"/>
        <v>0</v>
      </c>
      <c r="I53" s="361">
        <f t="shared" ca="1" si="21"/>
        <v>0</v>
      </c>
      <c r="J53" s="361">
        <f t="shared" ca="1" si="22"/>
        <v>0</v>
      </c>
      <c r="K53" s="362">
        <f t="shared" ca="1" si="23"/>
        <v>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516"/>
      <c r="C54" s="506" t="s">
        <v>1639</v>
      </c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/>
      </c>
      <c r="F54" s="368"/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ca="1" si="20"/>
        <v>0</v>
      </c>
      <c r="I54" s="361">
        <f t="shared" ca="1" si="21"/>
        <v>0</v>
      </c>
      <c r="J54" s="361">
        <f t="shared" ca="1" si="22"/>
        <v>0</v>
      </c>
      <c r="K54" s="362">
        <f t="shared" ca="1" si="23"/>
        <v>0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510"/>
      <c r="C55" s="511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368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20"/>
        <v>0</v>
      </c>
      <c r="I55" s="361">
        <f t="shared" ca="1" si="21"/>
        <v>0</v>
      </c>
      <c r="J55" s="361">
        <f t="shared" ca="1" si="22"/>
        <v>0</v>
      </c>
      <c r="K55" s="362">
        <f t="shared" ca="1" si="23"/>
        <v>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510" t="s">
        <v>1035</v>
      </c>
      <c r="C56" s="511" t="s">
        <v>1620</v>
      </c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501">
        <v>2</v>
      </c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ref="H56:H62" ca="1" si="24">IF(OR(D56="MDU",D56="MDU-KD"),(IF($O$3="RAB NON MDU","PLN KD",G56*F56)),0)</f>
        <v>0</v>
      </c>
      <c r="I56" s="361">
        <f t="shared" ref="I56:I62" ca="1" si="25">IF(D56="HDW",G56*F56,0)</f>
        <v>0</v>
      </c>
      <c r="J56" s="361">
        <f t="shared" ref="J56:J62" ca="1" si="26">IF(D56="JASA",G56*F56,0)</f>
        <v>0</v>
      </c>
      <c r="K56" s="362">
        <f t="shared" ref="K56:K62" ca="1" si="27">SUM(H56:J56)</f>
        <v>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510">
        <v>1</v>
      </c>
      <c r="C57" s="511" t="s">
        <v>595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1">
        <f>F56*1</f>
        <v>2</v>
      </c>
      <c r="G57" s="360">
        <f ca="1">IF(ISERROR(OFFSET('HARGA SATUAN'!$I$6,MATCH(RAB!C57,'HARGA SATUAN'!$C$7:$C$1492,0),0)),0,OFFSET('HARGA SATUAN'!$I$6,MATCH(RAB!C57,'HARGA SATUAN'!$C$7:$C$1492,0),0))</f>
        <v>78500</v>
      </c>
      <c r="H57" s="361">
        <f t="shared" ca="1" si="24"/>
        <v>0</v>
      </c>
      <c r="I57" s="361">
        <f t="shared" ca="1" si="25"/>
        <v>157000</v>
      </c>
      <c r="J57" s="361">
        <f t="shared" ca="1" si="26"/>
        <v>0</v>
      </c>
      <c r="K57" s="362">
        <f t="shared" ca="1" si="27"/>
        <v>157000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510">
        <v>2</v>
      </c>
      <c r="C58" s="511" t="s">
        <v>229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1">
        <f>F56*1</f>
        <v>2</v>
      </c>
      <c r="G58" s="360">
        <f ca="1">IF(ISERROR(OFFSET('HARGA SATUAN'!$I$6,MATCH(RAB!C58,'HARGA SATUAN'!$C$7:$C$1492,0),0)),0,OFFSET('HARGA SATUAN'!$I$6,MATCH(RAB!C58,'HARGA SATUAN'!$C$7:$C$1492,0),0))</f>
        <v>4212</v>
      </c>
      <c r="H58" s="361">
        <f t="shared" ca="1" si="24"/>
        <v>0</v>
      </c>
      <c r="I58" s="361">
        <f t="shared" ca="1" si="25"/>
        <v>8424</v>
      </c>
      <c r="J58" s="361">
        <f t="shared" ca="1" si="26"/>
        <v>0</v>
      </c>
      <c r="K58" s="362">
        <f t="shared" ca="1" si="27"/>
        <v>8424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510">
        <v>3</v>
      </c>
      <c r="C59" s="511" t="s">
        <v>266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Mtr</v>
      </c>
      <c r="F59" s="501">
        <f>F56*1</f>
        <v>2</v>
      </c>
      <c r="G59" s="360">
        <f ca="1">IF(ISERROR(OFFSET('HARGA SATUAN'!$I$6,MATCH(RAB!C59,'HARGA SATUAN'!$C$7:$C$1492,0),0)),0,OFFSET('HARGA SATUAN'!$I$6,MATCH(RAB!C59,'HARGA SATUAN'!$C$7:$C$1492,0),0))</f>
        <v>23310</v>
      </c>
      <c r="H59" s="361">
        <f t="shared" ca="1" si="24"/>
        <v>0</v>
      </c>
      <c r="I59" s="361">
        <f t="shared" ca="1" si="25"/>
        <v>46620</v>
      </c>
      <c r="J59" s="361">
        <f t="shared" ca="1" si="26"/>
        <v>0</v>
      </c>
      <c r="K59" s="362">
        <f t="shared" ca="1" si="27"/>
        <v>46620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510">
        <v>4</v>
      </c>
      <c r="C60" s="511" t="s">
        <v>35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01">
        <f>F56*1</f>
        <v>2</v>
      </c>
      <c r="G60" s="360">
        <f ca="1">IF(ISERROR(OFFSET('HARGA SATUAN'!$I$6,MATCH(RAB!C60,'HARGA SATUAN'!$C$7:$C$1492,0),0)),0,OFFSET('HARGA SATUAN'!$I$6,MATCH(RAB!C60,'HARGA SATUAN'!$C$7:$C$1492,0),0))</f>
        <v>2300</v>
      </c>
      <c r="H60" s="361">
        <f t="shared" ca="1" si="24"/>
        <v>0</v>
      </c>
      <c r="I60" s="361">
        <f t="shared" ca="1" si="25"/>
        <v>4600</v>
      </c>
      <c r="J60" s="361">
        <f t="shared" ca="1" si="26"/>
        <v>0</v>
      </c>
      <c r="K60" s="362">
        <f t="shared" ca="1" si="27"/>
        <v>4600</v>
      </c>
      <c r="L60" s="342"/>
      <c r="M60" s="342"/>
      <c r="N60" s="369"/>
      <c r="O60" s="344"/>
      <c r="P60" s="397"/>
      <c r="Q60" s="344"/>
    </row>
    <row r="61" spans="1:17" s="365" customFormat="1">
      <c r="A61" s="336"/>
      <c r="B61" s="510">
        <v>5</v>
      </c>
      <c r="C61" s="511" t="s">
        <v>630</v>
      </c>
      <c r="D61" s="358" t="str">
        <f ca="1">IF(ISERROR(OFFSET('HARGA SATUAN'!$D$6,MATCH(RAB!C61,'HARGA SATUAN'!$C$7:$C$1492,0),0)),"",OFFSET('HARGA SATUAN'!$D$6,MATCH(RAB!C61,'HARGA SATUAN'!$C$7:$C$1492,0),0))</f>
        <v>JASA</v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501">
        <f>F56*1</f>
        <v>2</v>
      </c>
      <c r="G61" s="360">
        <f ca="1">IF(ISERROR(OFFSET('HARGA SATUAN'!$I$6,MATCH(RAB!C61,'HARGA SATUAN'!$C$7:$C$1492,0),0)),0,OFFSET('HARGA SATUAN'!$I$6,MATCH(RAB!C61,'HARGA SATUAN'!$C$7:$C$1492,0),0))</f>
        <v>35700</v>
      </c>
      <c r="H61" s="361">
        <f t="shared" ca="1" si="24"/>
        <v>0</v>
      </c>
      <c r="I61" s="361">
        <f t="shared" ca="1" si="25"/>
        <v>0</v>
      </c>
      <c r="J61" s="361">
        <f t="shared" ca="1" si="26"/>
        <v>71400</v>
      </c>
      <c r="K61" s="362">
        <f t="shared" ca="1" si="27"/>
        <v>71400</v>
      </c>
      <c r="L61" s="342"/>
      <c r="M61" s="342"/>
      <c r="N61" s="369"/>
      <c r="O61" s="344"/>
      <c r="P61" s="397"/>
      <c r="Q61" s="344"/>
    </row>
    <row r="62" spans="1:17" s="365" customFormat="1">
      <c r="A62" s="336"/>
      <c r="B62" s="510"/>
      <c r="C62" s="511"/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/>
      </c>
      <c r="F62" s="501"/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ca="1" si="24"/>
        <v>0</v>
      </c>
      <c r="I62" s="361">
        <f t="shared" ca="1" si="25"/>
        <v>0</v>
      </c>
      <c r="J62" s="361">
        <f t="shared" ca="1" si="26"/>
        <v>0</v>
      </c>
      <c r="K62" s="362">
        <f t="shared" ca="1" si="27"/>
        <v>0</v>
      </c>
      <c r="L62" s="342"/>
      <c r="M62" s="342"/>
      <c r="N62" s="369"/>
      <c r="O62" s="344"/>
      <c r="P62" s="397"/>
      <c r="Q62" s="344"/>
    </row>
    <row r="63" spans="1:17" s="365" customFormat="1">
      <c r="A63" s="336"/>
      <c r="B63" s="714" t="s">
        <v>1035</v>
      </c>
      <c r="C63" s="715" t="s">
        <v>1645</v>
      </c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501">
        <v>1</v>
      </c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ref="H63:H70" ca="1" si="28">IF(OR(D63="MDU",D63="MDU-KD"),(IF($O$3="RAB NON MDU","PLN KD",G63*F63)),0)</f>
        <v>0</v>
      </c>
      <c r="I63" s="361">
        <f t="shared" ref="I63:I70" ca="1" si="29">IF(D63="HDW",G63*F63,0)</f>
        <v>0</v>
      </c>
      <c r="J63" s="361">
        <f t="shared" ref="J63:J70" ca="1" si="30">IF(D63="JASA",G63*F63,0)</f>
        <v>0</v>
      </c>
      <c r="K63" s="362">
        <f t="shared" ref="K63:K70" ca="1" si="31">SUM(H63:J63)</f>
        <v>0</v>
      </c>
      <c r="L63" s="342"/>
      <c r="M63" s="342"/>
      <c r="N63" s="369"/>
      <c r="O63" s="344"/>
      <c r="P63" s="397"/>
      <c r="Q63" s="344"/>
    </row>
    <row r="64" spans="1:17" s="365" customFormat="1">
      <c r="A64" s="336"/>
      <c r="B64" s="714">
        <v>1</v>
      </c>
      <c r="C64" s="715" t="s">
        <v>598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501">
        <f>F63*1</f>
        <v>1</v>
      </c>
      <c r="G64" s="360">
        <f ca="1">IF(ISERROR(OFFSET('HARGA SATUAN'!$I$6,MATCH(RAB!C64,'HARGA SATUAN'!$C$7:$C$1492,0),0)),0,OFFSET('HARGA SATUAN'!$I$6,MATCH(RAB!C64,'HARGA SATUAN'!$C$7:$C$1492,0),0))</f>
        <v>3965</v>
      </c>
      <c r="H64" s="361">
        <f t="shared" ca="1" si="28"/>
        <v>0</v>
      </c>
      <c r="I64" s="361">
        <f t="shared" ca="1" si="29"/>
        <v>3965</v>
      </c>
      <c r="J64" s="361">
        <f t="shared" ca="1" si="30"/>
        <v>0</v>
      </c>
      <c r="K64" s="362">
        <f t="shared" ca="1" si="31"/>
        <v>3965</v>
      </c>
      <c r="L64" s="342"/>
      <c r="M64" s="342"/>
      <c r="N64" s="369"/>
      <c r="O64" s="344"/>
      <c r="P64" s="397"/>
      <c r="Q64" s="344"/>
    </row>
    <row r="65" spans="1:17" s="365" customFormat="1">
      <c r="A65" s="336"/>
      <c r="B65" s="714">
        <v>2</v>
      </c>
      <c r="C65" s="715" t="s">
        <v>474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01">
        <f>F63*1</f>
        <v>1</v>
      </c>
      <c r="G65" s="360">
        <f ca="1">IF(ISERROR(OFFSET('HARGA SATUAN'!$I$6,MATCH(RAB!C65,'HARGA SATUAN'!$C$7:$C$1492,0),0)),0,OFFSET('HARGA SATUAN'!$I$6,MATCH(RAB!C65,'HARGA SATUAN'!$C$7:$C$1492,0),0))</f>
        <v>3711.24</v>
      </c>
      <c r="H65" s="361">
        <f t="shared" ca="1" si="28"/>
        <v>0</v>
      </c>
      <c r="I65" s="361">
        <f t="shared" ca="1" si="29"/>
        <v>3711.24</v>
      </c>
      <c r="J65" s="361">
        <f t="shared" ca="1" si="30"/>
        <v>0</v>
      </c>
      <c r="K65" s="362">
        <f t="shared" ca="1" si="31"/>
        <v>3711.24</v>
      </c>
      <c r="L65" s="342"/>
      <c r="M65" s="342"/>
      <c r="N65" s="369"/>
      <c r="O65" s="344"/>
      <c r="P65" s="397"/>
      <c r="Q65" s="344"/>
    </row>
    <row r="66" spans="1:17" s="365" customFormat="1">
      <c r="A66" s="336"/>
      <c r="B66" s="714">
        <v>3</v>
      </c>
      <c r="C66" s="715" t="s">
        <v>266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Mtr</v>
      </c>
      <c r="F66" s="501">
        <f>F63*1</f>
        <v>1</v>
      </c>
      <c r="G66" s="360">
        <f ca="1">IF(ISERROR(OFFSET('HARGA SATUAN'!$I$6,MATCH(RAB!C66,'HARGA SATUAN'!$C$7:$C$1492,0),0)),0,OFFSET('HARGA SATUAN'!$I$6,MATCH(RAB!C66,'HARGA SATUAN'!$C$7:$C$1492,0),0))</f>
        <v>23310</v>
      </c>
      <c r="H66" s="361">
        <f t="shared" ca="1" si="28"/>
        <v>0</v>
      </c>
      <c r="I66" s="361">
        <f t="shared" ca="1" si="29"/>
        <v>23310</v>
      </c>
      <c r="J66" s="361">
        <f t="shared" ca="1" si="30"/>
        <v>0</v>
      </c>
      <c r="K66" s="362">
        <f t="shared" ca="1" si="31"/>
        <v>23310</v>
      </c>
      <c r="L66" s="342"/>
      <c r="M66" s="342"/>
      <c r="N66" s="369"/>
      <c r="O66" s="344"/>
      <c r="P66" s="397"/>
      <c r="Q66" s="344"/>
    </row>
    <row r="67" spans="1:17" s="365" customFormat="1">
      <c r="A67" s="336"/>
      <c r="B67" s="714">
        <v>4</v>
      </c>
      <c r="C67" s="715" t="s">
        <v>35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501">
        <f>F63*1</f>
        <v>1</v>
      </c>
      <c r="G67" s="360">
        <f ca="1">IF(ISERROR(OFFSET('HARGA SATUAN'!$I$6,MATCH(RAB!C67,'HARGA SATUAN'!$C$7:$C$1492,0),0)),0,OFFSET('HARGA SATUAN'!$I$6,MATCH(RAB!C67,'HARGA SATUAN'!$C$7:$C$1492,0),0))</f>
        <v>2300</v>
      </c>
      <c r="H67" s="361">
        <f t="shared" ca="1" si="28"/>
        <v>0</v>
      </c>
      <c r="I67" s="361">
        <f t="shared" ca="1" si="29"/>
        <v>2300</v>
      </c>
      <c r="J67" s="361">
        <f t="shared" ca="1" si="30"/>
        <v>0</v>
      </c>
      <c r="K67" s="362">
        <f t="shared" ca="1" si="31"/>
        <v>2300</v>
      </c>
      <c r="L67" s="342"/>
      <c r="M67" s="342"/>
      <c r="N67" s="369"/>
      <c r="O67" s="344"/>
      <c r="P67" s="397"/>
      <c r="Q67" s="344"/>
    </row>
    <row r="68" spans="1:17" s="365" customFormat="1">
      <c r="A68" s="336"/>
      <c r="B68" s="714">
        <v>5</v>
      </c>
      <c r="C68" s="715" t="s">
        <v>632</v>
      </c>
      <c r="D68" s="358" t="str">
        <f ca="1">IF(ISERROR(OFFSET('HARGA SATUAN'!$D$6,MATCH(RAB!C68,'HARGA SATUAN'!$C$7:$C$1492,0),0)),"",OFFSET('HARGA SATUAN'!$D$6,MATCH(RAB!C68,'HARGA SATUAN'!$C$7:$C$1492,0),0))</f>
        <v>JASA</v>
      </c>
      <c r="E68" s="359" t="str">
        <f ca="1">IF(B68="+","Unit",IF(ISERROR(OFFSET('HARGA SATUAN'!$E$6,MATCH(RAB!C68,'HARGA SATUAN'!$C$7:$C$1492,0),0)),"",OFFSET('HARGA SATUAN'!$E$6,MATCH(RAB!C68,'HARGA SATUAN'!$C$7:$C$1492,0),0)))</f>
        <v>Unit</v>
      </c>
      <c r="F68" s="501">
        <f>F63*1</f>
        <v>1</v>
      </c>
      <c r="G68" s="360">
        <f ca="1">IF(ISERROR(OFFSET('HARGA SATUAN'!$I$6,MATCH(RAB!C68,'HARGA SATUAN'!$C$7:$C$1492,0),0)),0,OFFSET('HARGA SATUAN'!$I$6,MATCH(RAB!C68,'HARGA SATUAN'!$C$7:$C$1492,0),0))</f>
        <v>22700</v>
      </c>
      <c r="H68" s="361">
        <f t="shared" ca="1" si="28"/>
        <v>0</v>
      </c>
      <c r="I68" s="361">
        <f t="shared" ca="1" si="29"/>
        <v>0</v>
      </c>
      <c r="J68" s="361">
        <f t="shared" ca="1" si="30"/>
        <v>22700</v>
      </c>
      <c r="K68" s="362">
        <f t="shared" ca="1" si="31"/>
        <v>22700</v>
      </c>
      <c r="L68" s="342"/>
      <c r="M68" s="342"/>
      <c r="N68" s="369"/>
      <c r="O68" s="344"/>
      <c r="P68" s="397"/>
      <c r="Q68" s="344"/>
    </row>
    <row r="69" spans="1:17" s="365" customFormat="1">
      <c r="A69" s="336"/>
      <c r="B69" s="510"/>
      <c r="C69" s="511"/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501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ca="1" si="28"/>
        <v>0</v>
      </c>
      <c r="I69" s="361">
        <f t="shared" ca="1" si="29"/>
        <v>0</v>
      </c>
      <c r="J69" s="361">
        <f t="shared" ca="1" si="30"/>
        <v>0</v>
      </c>
      <c r="K69" s="362">
        <f t="shared" ca="1" si="31"/>
        <v>0</v>
      </c>
      <c r="L69" s="342"/>
      <c r="M69" s="342"/>
      <c r="N69" s="369"/>
      <c r="O69" s="344"/>
      <c r="P69" s="397"/>
      <c r="Q69" s="344"/>
    </row>
    <row r="70" spans="1:17" s="365" customFormat="1">
      <c r="A70" s="336"/>
      <c r="B70" s="516"/>
      <c r="C70" s="506" t="s">
        <v>1632</v>
      </c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501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ca="1" si="28"/>
        <v>0</v>
      </c>
      <c r="I70" s="361">
        <f t="shared" ca="1" si="29"/>
        <v>0</v>
      </c>
      <c r="J70" s="361">
        <f t="shared" ca="1" si="30"/>
        <v>0</v>
      </c>
      <c r="K70" s="362">
        <f t="shared" ca="1" si="31"/>
        <v>0</v>
      </c>
      <c r="L70" s="342"/>
      <c r="M70" s="342"/>
      <c r="N70" s="369"/>
      <c r="O70" s="344"/>
      <c r="P70" s="397"/>
      <c r="Q70" s="344"/>
    </row>
    <row r="71" spans="1:17" s="365" customFormat="1">
      <c r="A71" s="336"/>
      <c r="B71" s="513" t="s">
        <v>1035</v>
      </c>
      <c r="C71" s="514" t="s">
        <v>1629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>Unit</v>
      </c>
      <c r="F71" s="501">
        <v>2</v>
      </c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ref="H71:H90" ca="1" si="32">IF(OR(D71="MDU",D71="MDU-KD"),(IF($O$3="RAB NON MDU","PLN KD",G71*F71)),0)</f>
        <v>0</v>
      </c>
      <c r="I71" s="361">
        <f t="shared" ref="I71:I90" ca="1" si="33">IF(D71="HDW",G71*F71,0)</f>
        <v>0</v>
      </c>
      <c r="J71" s="361">
        <f t="shared" ref="J71:J90" ca="1" si="34">IF(D71="JASA",G71*F71,0)</f>
        <v>0</v>
      </c>
      <c r="K71" s="362">
        <f t="shared" ref="K71:K90" ca="1" si="35">SUM(H71:J71)</f>
        <v>0</v>
      </c>
      <c r="L71" s="342"/>
      <c r="M71" s="342"/>
      <c r="N71" s="369"/>
      <c r="O71" s="344"/>
      <c r="P71" s="397"/>
      <c r="Q71" s="344"/>
    </row>
    <row r="72" spans="1:17" s="365" customFormat="1">
      <c r="A72" s="336"/>
      <c r="B72" s="513">
        <v>1</v>
      </c>
      <c r="C72" s="514" t="s">
        <v>28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501">
        <f>F71*1</f>
        <v>2</v>
      </c>
      <c r="G72" s="360">
        <f ca="1">IF(ISERROR(OFFSET('HARGA SATUAN'!$I$6,MATCH(RAB!C72,'HARGA SATUAN'!$C$7:$C$1492,0),0)),0,OFFSET('HARGA SATUAN'!$I$6,MATCH(RAB!C72,'HARGA SATUAN'!$C$7:$C$1492,0),0))</f>
        <v>26500</v>
      </c>
      <c r="H72" s="361">
        <f t="shared" ca="1" si="32"/>
        <v>0</v>
      </c>
      <c r="I72" s="361">
        <f t="shared" ca="1" si="33"/>
        <v>53000</v>
      </c>
      <c r="J72" s="361">
        <f t="shared" ca="1" si="34"/>
        <v>0</v>
      </c>
      <c r="K72" s="362">
        <f t="shared" ca="1" si="35"/>
        <v>53000</v>
      </c>
      <c r="L72" s="342"/>
      <c r="M72" s="342"/>
      <c r="N72" s="369"/>
      <c r="O72" s="344"/>
      <c r="P72" s="397"/>
      <c r="Q72" s="344"/>
    </row>
    <row r="73" spans="1:17" s="365" customFormat="1">
      <c r="A73" s="336"/>
      <c r="B73" s="513">
        <v>2</v>
      </c>
      <c r="C73" s="514" t="s">
        <v>203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01">
        <f>F71*1</f>
        <v>2</v>
      </c>
      <c r="G73" s="360">
        <f ca="1">IF(ISERROR(OFFSET('HARGA SATUAN'!$I$6,MATCH(RAB!C73,'HARGA SATUAN'!$C$7:$C$1492,0),0)),0,OFFSET('HARGA SATUAN'!$I$6,MATCH(RAB!C73,'HARGA SATUAN'!$C$7:$C$1492,0),0))</f>
        <v>12500</v>
      </c>
      <c r="H73" s="361">
        <f t="shared" ca="1" si="32"/>
        <v>0</v>
      </c>
      <c r="I73" s="361">
        <f t="shared" ca="1" si="33"/>
        <v>25000</v>
      </c>
      <c r="J73" s="361">
        <f t="shared" ca="1" si="34"/>
        <v>0</v>
      </c>
      <c r="K73" s="362">
        <f t="shared" ca="1" si="35"/>
        <v>25000</v>
      </c>
      <c r="L73" s="342"/>
      <c r="M73" s="342"/>
      <c r="N73" s="369"/>
      <c r="O73" s="344"/>
      <c r="P73" s="397"/>
      <c r="Q73" s="344"/>
    </row>
    <row r="74" spans="1:17" s="365" customFormat="1">
      <c r="A74" s="336"/>
      <c r="B74" s="513">
        <v>3</v>
      </c>
      <c r="C74" s="514" t="s">
        <v>206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Mtr</v>
      </c>
      <c r="F74" s="501">
        <f>F71*12</f>
        <v>24</v>
      </c>
      <c r="G74" s="360">
        <f ca="1">IF(ISERROR(OFFSET('HARGA SATUAN'!$I$6,MATCH(RAB!C74,'HARGA SATUAN'!$C$7:$C$1492,0),0)),0,OFFSET('HARGA SATUAN'!$I$6,MATCH(RAB!C74,'HARGA SATUAN'!$C$7:$C$1492,0),0))</f>
        <v>39204</v>
      </c>
      <c r="H74" s="361">
        <f t="shared" ca="1" si="32"/>
        <v>0</v>
      </c>
      <c r="I74" s="361">
        <f t="shared" ca="1" si="33"/>
        <v>940896</v>
      </c>
      <c r="J74" s="361">
        <f t="shared" ca="1" si="34"/>
        <v>0</v>
      </c>
      <c r="K74" s="362">
        <f t="shared" ca="1" si="35"/>
        <v>940896</v>
      </c>
      <c r="L74" s="342"/>
      <c r="M74" s="342"/>
      <c r="N74" s="369"/>
      <c r="O74" s="344"/>
      <c r="P74" s="397"/>
      <c r="Q74" s="344"/>
    </row>
    <row r="75" spans="1:17" s="365" customFormat="1">
      <c r="A75" s="336"/>
      <c r="B75" s="513">
        <v>4</v>
      </c>
      <c r="C75" s="514" t="s">
        <v>287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501">
        <f>F71*2</f>
        <v>4</v>
      </c>
      <c r="G75" s="360">
        <f ca="1">IF(ISERROR(OFFSET('HARGA SATUAN'!$I$6,MATCH(RAB!C75,'HARGA SATUAN'!$C$7:$C$1492,0),0)),0,OFFSET('HARGA SATUAN'!$I$6,MATCH(RAB!C75,'HARGA SATUAN'!$C$7:$C$1492,0),0))</f>
        <v>40000</v>
      </c>
      <c r="H75" s="361">
        <f t="shared" ca="1" si="32"/>
        <v>0</v>
      </c>
      <c r="I75" s="361">
        <f t="shared" ca="1" si="33"/>
        <v>160000</v>
      </c>
      <c r="J75" s="361">
        <f t="shared" ca="1" si="34"/>
        <v>0</v>
      </c>
      <c r="K75" s="362">
        <f t="shared" ca="1" si="35"/>
        <v>160000</v>
      </c>
      <c r="L75" s="342"/>
      <c r="M75" s="342"/>
      <c r="N75" s="369"/>
      <c r="O75" s="344"/>
      <c r="P75" s="397"/>
      <c r="Q75" s="344"/>
    </row>
    <row r="76" spans="1:17" s="365" customFormat="1">
      <c r="A76" s="336"/>
      <c r="B76" s="513">
        <v>5</v>
      </c>
      <c r="C76" s="514" t="s">
        <v>26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501">
        <f>F71*1</f>
        <v>2</v>
      </c>
      <c r="G76" s="360">
        <f ca="1">IF(ISERROR(OFFSET('HARGA SATUAN'!$I$6,MATCH(RAB!C76,'HARGA SATUAN'!$C$7:$C$1492,0),0)),0,OFFSET('HARGA SATUAN'!$I$6,MATCH(RAB!C76,'HARGA SATUAN'!$C$7:$C$1492,0),0))</f>
        <v>2500</v>
      </c>
      <c r="H76" s="361">
        <f t="shared" ca="1" si="32"/>
        <v>0</v>
      </c>
      <c r="I76" s="361">
        <f t="shared" ca="1" si="33"/>
        <v>5000</v>
      </c>
      <c r="J76" s="361">
        <f t="shared" ca="1" si="34"/>
        <v>0</v>
      </c>
      <c r="K76" s="362">
        <f t="shared" ca="1" si="35"/>
        <v>5000</v>
      </c>
      <c r="L76" s="342"/>
      <c r="M76" s="342"/>
      <c r="N76" s="369"/>
      <c r="O76" s="344"/>
      <c r="P76" s="397"/>
      <c r="Q76" s="344"/>
    </row>
    <row r="77" spans="1:17" s="365" customFormat="1">
      <c r="A77" s="336"/>
      <c r="B77" s="513">
        <v>6</v>
      </c>
      <c r="C77" s="514" t="s">
        <v>760</v>
      </c>
      <c r="D77" s="358" t="str">
        <f ca="1">IF(ISERROR(OFFSET('HARGA SATUAN'!$D$6,MATCH(RAB!C77,'HARGA SATUAN'!$C$7:$C$1492,0),0)),"",OFFSET('HARGA SATUAN'!$D$6,MATCH(RAB!C77,'HARGA SATUAN'!$C$7:$C$1492,0),0))</f>
        <v>JASA</v>
      </c>
      <c r="E77" s="359" t="str">
        <f ca="1">IF(B77="+","Unit",IF(ISERROR(OFFSET('HARGA SATUAN'!$E$6,MATCH(RAB!C77,'HARGA SATUAN'!$C$7:$C$1492,0),0)),"",OFFSET('HARGA SATUAN'!$E$6,MATCH(RAB!C77,'HARGA SATUAN'!$C$7:$C$1492,0),0)))</f>
        <v>Unit</v>
      </c>
      <c r="F77" s="501">
        <f>F71*1</f>
        <v>2</v>
      </c>
      <c r="G77" s="360">
        <f ca="1">IF(ISERROR(OFFSET('HARGA SATUAN'!$I$6,MATCH(RAB!C77,'HARGA SATUAN'!$C$7:$C$1492,0),0)),0,OFFSET('HARGA SATUAN'!$I$6,MATCH(RAB!C77,'HARGA SATUAN'!$C$7:$C$1492,0),0))</f>
        <v>36600</v>
      </c>
      <c r="H77" s="361">
        <f t="shared" ca="1" si="32"/>
        <v>0</v>
      </c>
      <c r="I77" s="361">
        <f t="shared" ca="1" si="33"/>
        <v>0</v>
      </c>
      <c r="J77" s="361">
        <f t="shared" ca="1" si="34"/>
        <v>73200</v>
      </c>
      <c r="K77" s="362">
        <f t="shared" ca="1" si="35"/>
        <v>73200</v>
      </c>
      <c r="L77" s="342"/>
      <c r="M77" s="342"/>
      <c r="N77" s="369"/>
      <c r="O77" s="344"/>
      <c r="P77" s="397"/>
      <c r="Q77" s="344"/>
    </row>
    <row r="78" spans="1:17" s="365" customFormat="1">
      <c r="A78" s="336"/>
      <c r="B78" s="513"/>
      <c r="C78" s="514"/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/>
      </c>
      <c r="F78" s="515"/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ca="1" si="32"/>
        <v>0</v>
      </c>
      <c r="I78" s="361">
        <f t="shared" ca="1" si="33"/>
        <v>0</v>
      </c>
      <c r="J78" s="361">
        <f t="shared" ca="1" si="34"/>
        <v>0</v>
      </c>
      <c r="K78" s="362">
        <f t="shared" ca="1" si="35"/>
        <v>0</v>
      </c>
      <c r="L78" s="342"/>
      <c r="M78" s="342"/>
      <c r="N78" s="369"/>
      <c r="O78" s="344"/>
      <c r="P78" s="397"/>
      <c r="Q78" s="344"/>
    </row>
    <row r="79" spans="1:17" s="365" customFormat="1">
      <c r="A79" s="336"/>
      <c r="B79" s="513" t="s">
        <v>1035</v>
      </c>
      <c r="C79" s="514" t="s">
        <v>1630</v>
      </c>
      <c r="D79" s="358" t="str">
        <f ca="1">IF(ISERROR(OFFSET('HARGA SATUAN'!$D$6,MATCH(RAB!C79,'HARGA SATUAN'!$C$7:$C$1492,0),0)),"",OFFSET('HARGA SATUAN'!$D$6,MATCH(RAB!C79,'HARGA SATUAN'!$C$7:$C$1492,0),0))</f>
        <v/>
      </c>
      <c r="E79" s="359" t="str">
        <f ca="1">IF(B79="+","Unit",IF(ISERROR(OFFSET('HARGA SATUAN'!$E$6,MATCH(RAB!C79,'HARGA SATUAN'!$C$7:$C$1492,0),0)),"",OFFSET('HARGA SATUAN'!$E$6,MATCH(RAB!C79,'HARGA SATUAN'!$C$7:$C$1492,0),0)))</f>
        <v>Unit</v>
      </c>
      <c r="F79" s="501">
        <f>F71</f>
        <v>2</v>
      </c>
      <c r="G79" s="360">
        <f ca="1">IF(ISERROR(OFFSET('HARGA SATUAN'!$I$6,MATCH(RAB!C79,'HARGA SATUAN'!$C$7:$C$1492,0),0)),0,OFFSET('HARGA SATUAN'!$I$6,MATCH(RAB!C79,'HARGA SATUAN'!$C$7:$C$1492,0),0))</f>
        <v>0</v>
      </c>
      <c r="H79" s="361">
        <f t="shared" ca="1" si="32"/>
        <v>0</v>
      </c>
      <c r="I79" s="361">
        <f t="shared" ca="1" si="33"/>
        <v>0</v>
      </c>
      <c r="J79" s="361">
        <f t="shared" ca="1" si="34"/>
        <v>0</v>
      </c>
      <c r="K79" s="362">
        <f t="shared" ca="1" si="35"/>
        <v>0</v>
      </c>
      <c r="L79" s="342"/>
      <c r="M79" s="342"/>
      <c r="N79" s="369"/>
      <c r="O79" s="344"/>
      <c r="P79" s="397"/>
      <c r="Q79" s="344"/>
    </row>
    <row r="80" spans="1:17" s="365" customFormat="1">
      <c r="A80" s="336"/>
      <c r="B80" s="513">
        <v>1</v>
      </c>
      <c r="C80" s="514" t="s">
        <v>597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Bh</v>
      </c>
      <c r="F80" s="501">
        <f>F79*1</f>
        <v>2</v>
      </c>
      <c r="G80" s="360">
        <f ca="1">IF(ISERROR(OFFSET('HARGA SATUAN'!$I$6,MATCH(RAB!C80,'HARGA SATUAN'!$C$7:$C$1492,0),0)),0,OFFSET('HARGA SATUAN'!$I$6,MATCH(RAB!C80,'HARGA SATUAN'!$C$7:$C$1492,0),0))</f>
        <v>120900</v>
      </c>
      <c r="H80" s="361">
        <f t="shared" ca="1" si="32"/>
        <v>0</v>
      </c>
      <c r="I80" s="361">
        <f t="shared" ca="1" si="33"/>
        <v>241800</v>
      </c>
      <c r="J80" s="361">
        <f t="shared" ca="1" si="34"/>
        <v>0</v>
      </c>
      <c r="K80" s="362">
        <f t="shared" ca="1" si="35"/>
        <v>241800</v>
      </c>
      <c r="L80" s="342"/>
      <c r="M80" s="342"/>
      <c r="N80" s="369"/>
      <c r="O80" s="344"/>
      <c r="P80" s="397"/>
      <c r="Q80" s="344"/>
    </row>
    <row r="81" spans="1:17" s="365" customFormat="1">
      <c r="A81" s="336"/>
      <c r="B81" s="513">
        <v>2</v>
      </c>
      <c r="C81" s="514" t="s">
        <v>261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Bh</v>
      </c>
      <c r="F81" s="501">
        <f>F79*1</f>
        <v>2</v>
      </c>
      <c r="G81" s="360">
        <f ca="1">IF(ISERROR(OFFSET('HARGA SATUAN'!$I$6,MATCH(RAB!C81,'HARGA SATUAN'!$C$7:$C$1492,0),0)),0,OFFSET('HARGA SATUAN'!$I$6,MATCH(RAB!C81,'HARGA SATUAN'!$C$7:$C$1492,0),0))</f>
        <v>135800</v>
      </c>
      <c r="H81" s="361">
        <f t="shared" ca="1" si="32"/>
        <v>0</v>
      </c>
      <c r="I81" s="361">
        <f t="shared" ca="1" si="33"/>
        <v>271600</v>
      </c>
      <c r="J81" s="361">
        <f t="shared" ca="1" si="34"/>
        <v>0</v>
      </c>
      <c r="K81" s="362">
        <f t="shared" ca="1" si="35"/>
        <v>271600</v>
      </c>
      <c r="L81" s="342"/>
      <c r="M81" s="342"/>
      <c r="N81" s="369"/>
      <c r="O81" s="344"/>
      <c r="P81" s="397"/>
      <c r="Q81" s="344"/>
    </row>
    <row r="82" spans="1:17" s="365" customFormat="1">
      <c r="A82" s="336"/>
      <c r="B82" s="513">
        <v>3</v>
      </c>
      <c r="C82" s="514" t="s">
        <v>214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Bh</v>
      </c>
      <c r="F82" s="515">
        <f>F79*1</f>
        <v>2</v>
      </c>
      <c r="G82" s="360">
        <f ca="1">IF(ISERROR(OFFSET('HARGA SATUAN'!$I$6,MATCH(RAB!C82,'HARGA SATUAN'!$C$7:$C$1492,0),0)),0,OFFSET('HARGA SATUAN'!$I$6,MATCH(RAB!C82,'HARGA SATUAN'!$C$7:$C$1492,0),0))</f>
        <v>4500</v>
      </c>
      <c r="H82" s="361">
        <f t="shared" ca="1" si="32"/>
        <v>0</v>
      </c>
      <c r="I82" s="361">
        <f t="shared" ca="1" si="33"/>
        <v>9000</v>
      </c>
      <c r="J82" s="361">
        <f t="shared" ca="1" si="34"/>
        <v>0</v>
      </c>
      <c r="K82" s="362">
        <f t="shared" ca="1" si="35"/>
        <v>9000</v>
      </c>
      <c r="L82" s="342"/>
      <c r="M82" s="342"/>
      <c r="N82" s="369"/>
      <c r="O82" s="344"/>
      <c r="P82" s="397"/>
      <c r="Q82" s="344"/>
    </row>
    <row r="83" spans="1:17" s="365" customFormat="1">
      <c r="A83" s="336"/>
      <c r="B83" s="513">
        <v>4</v>
      </c>
      <c r="C83" s="514" t="s">
        <v>768</v>
      </c>
      <c r="D83" s="358" t="str">
        <f ca="1">IF(ISERROR(OFFSET('HARGA SATUAN'!$D$6,MATCH(RAB!C83,'HARGA SATUAN'!$C$7:$C$1492,0),0)),"",OFFSET('HARGA SATUAN'!$D$6,MATCH(RAB!C83,'HARGA SATUAN'!$C$7:$C$1492,0),0))</f>
        <v>JASA</v>
      </c>
      <c r="E83" s="359" t="str">
        <f ca="1">IF(B83="+","Unit",IF(ISERROR(OFFSET('HARGA SATUAN'!$E$6,MATCH(RAB!C83,'HARGA SATUAN'!$C$7:$C$1492,0),0)),"",OFFSET('HARGA SATUAN'!$E$6,MATCH(RAB!C83,'HARGA SATUAN'!$C$7:$C$1492,0),0)))</f>
        <v>Unit</v>
      </c>
      <c r="F83" s="501">
        <f>F79*1</f>
        <v>2</v>
      </c>
      <c r="G83" s="360">
        <f ca="1">IF(ISERROR(OFFSET('HARGA SATUAN'!$I$6,MATCH(RAB!C83,'HARGA SATUAN'!$C$7:$C$1492,0),0)),0,OFFSET('HARGA SATUAN'!$I$6,MATCH(RAB!C83,'HARGA SATUAN'!$C$7:$C$1492,0),0))</f>
        <v>55500</v>
      </c>
      <c r="H83" s="361">
        <f t="shared" ca="1" si="32"/>
        <v>0</v>
      </c>
      <c r="I83" s="361">
        <f t="shared" ca="1" si="33"/>
        <v>0</v>
      </c>
      <c r="J83" s="361">
        <f t="shared" ca="1" si="34"/>
        <v>111000</v>
      </c>
      <c r="K83" s="362">
        <f t="shared" ca="1" si="35"/>
        <v>111000</v>
      </c>
      <c r="L83" s="342"/>
      <c r="M83" s="342"/>
      <c r="N83" s="369"/>
      <c r="O83" s="344"/>
      <c r="P83" s="397"/>
      <c r="Q83" s="344"/>
    </row>
    <row r="84" spans="1:17" s="365" customFormat="1">
      <c r="A84" s="336"/>
      <c r="B84" s="513"/>
      <c r="C84" s="514"/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IF(B84="+","Unit",IF(ISERROR(OFFSET('HARGA SATUAN'!$E$6,MATCH(RAB!C84,'HARGA SATUAN'!$C$7:$C$1492,0),0)),"",OFFSET('HARGA SATUAN'!$E$6,MATCH(RAB!C84,'HARGA SATUAN'!$C$7:$C$1492,0),0)))</f>
        <v/>
      </c>
      <c r="F84" s="515"/>
      <c r="G84" s="360">
        <f ca="1">IF(ISERROR(OFFSET('HARGA SATUAN'!$I$6,MATCH(RAB!C84,'HARGA SATUAN'!$C$7:$C$1492,0),0)),0,OFFSET('HARGA SATUAN'!$I$6,MATCH(RAB!C84,'HARGA SATUAN'!$C$7:$C$1492,0),0))</f>
        <v>0</v>
      </c>
      <c r="H84" s="361">
        <f t="shared" ca="1" si="32"/>
        <v>0</v>
      </c>
      <c r="I84" s="361">
        <f t="shared" ca="1" si="33"/>
        <v>0</v>
      </c>
      <c r="J84" s="361">
        <f t="shared" ca="1" si="34"/>
        <v>0</v>
      </c>
      <c r="K84" s="362">
        <f t="shared" ca="1" si="35"/>
        <v>0</v>
      </c>
      <c r="L84" s="342"/>
      <c r="M84" s="342"/>
      <c r="N84" s="369"/>
      <c r="O84" s="344"/>
      <c r="P84" s="397"/>
      <c r="Q84" s="344"/>
    </row>
    <row r="85" spans="1:17" s="365" customFormat="1">
      <c r="A85" s="336"/>
      <c r="B85" s="513" t="s">
        <v>1035</v>
      </c>
      <c r="C85" s="514" t="s">
        <v>1631</v>
      </c>
      <c r="D85" s="358" t="str">
        <f ca="1">IF(ISERROR(OFFSET('HARGA SATUAN'!$D$6,MATCH(RAB!C85,'HARGA SATUAN'!$C$7:$C$1492,0),0)),"",OFFSET('HARGA SATUAN'!$D$6,MATCH(RAB!C85,'HARGA SATUAN'!$C$7:$C$1492,0),0))</f>
        <v/>
      </c>
      <c r="E85" s="359" t="str">
        <f ca="1">IF(B85="+","Unit",IF(ISERROR(OFFSET('HARGA SATUAN'!$E$6,MATCH(RAB!C85,'HARGA SATUAN'!$C$7:$C$1492,0),0)),"",OFFSET('HARGA SATUAN'!$E$6,MATCH(RAB!C85,'HARGA SATUAN'!$C$7:$C$1492,0),0)))</f>
        <v>Unit</v>
      </c>
      <c r="F85" s="501">
        <f>F71</f>
        <v>2</v>
      </c>
      <c r="G85" s="360">
        <f ca="1">IF(ISERROR(OFFSET('HARGA SATUAN'!$I$6,MATCH(RAB!C85,'HARGA SATUAN'!$C$7:$C$1492,0),0)),0,OFFSET('HARGA SATUAN'!$I$6,MATCH(RAB!C85,'HARGA SATUAN'!$C$7:$C$1492,0),0))</f>
        <v>0</v>
      </c>
      <c r="H85" s="361">
        <f t="shared" ca="1" si="32"/>
        <v>0</v>
      </c>
      <c r="I85" s="361">
        <f t="shared" ca="1" si="33"/>
        <v>0</v>
      </c>
      <c r="J85" s="361">
        <f t="shared" ca="1" si="34"/>
        <v>0</v>
      </c>
      <c r="K85" s="362">
        <f t="shared" ca="1" si="35"/>
        <v>0</v>
      </c>
      <c r="L85" s="342"/>
      <c r="M85" s="342"/>
      <c r="N85" s="369"/>
      <c r="O85" s="344"/>
      <c r="P85" s="397"/>
      <c r="Q85" s="344"/>
    </row>
    <row r="86" spans="1:17" s="365" customFormat="1">
      <c r="A86" s="336"/>
      <c r="B86" s="513">
        <v>1</v>
      </c>
      <c r="C86" s="514" t="s">
        <v>30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501">
        <f>F85*1</f>
        <v>2</v>
      </c>
      <c r="G86" s="360">
        <f ca="1">IF(ISERROR(OFFSET('HARGA SATUAN'!$I$6,MATCH(RAB!C86,'HARGA SATUAN'!$C$7:$C$1492,0),0)),0,OFFSET('HARGA SATUAN'!$I$6,MATCH(RAB!C86,'HARGA SATUAN'!$C$7:$C$1492,0),0))</f>
        <v>47459</v>
      </c>
      <c r="H86" s="361">
        <f t="shared" ca="1" si="32"/>
        <v>0</v>
      </c>
      <c r="I86" s="361">
        <f t="shared" ca="1" si="33"/>
        <v>94918</v>
      </c>
      <c r="J86" s="361">
        <f t="shared" ca="1" si="34"/>
        <v>0</v>
      </c>
      <c r="K86" s="362">
        <f t="shared" ca="1" si="35"/>
        <v>94918</v>
      </c>
      <c r="L86" s="342"/>
      <c r="M86" s="342"/>
      <c r="N86" s="369"/>
      <c r="O86" s="344"/>
      <c r="P86" s="397"/>
      <c r="Q86" s="344"/>
    </row>
    <row r="87" spans="1:17" s="365" customFormat="1">
      <c r="A87" s="336"/>
      <c r="B87" s="513">
        <v>2</v>
      </c>
      <c r="C87" s="514" t="s">
        <v>32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Mtr</v>
      </c>
      <c r="F87" s="501">
        <f>F85*0.8</f>
        <v>1.6</v>
      </c>
      <c r="G87" s="360">
        <f ca="1">IF(ISERROR(OFFSET('HARGA SATUAN'!$I$6,MATCH(RAB!C87,'HARGA SATUAN'!$C$7:$C$1492,0),0)),0,OFFSET('HARGA SATUAN'!$I$6,MATCH(RAB!C87,'HARGA SATUAN'!$C$7:$C$1492,0),0))</f>
        <v>30000</v>
      </c>
      <c r="H87" s="361">
        <f t="shared" ca="1" si="32"/>
        <v>0</v>
      </c>
      <c r="I87" s="361">
        <f t="shared" ca="1" si="33"/>
        <v>48000</v>
      </c>
      <c r="J87" s="361">
        <f t="shared" ca="1" si="34"/>
        <v>0</v>
      </c>
      <c r="K87" s="362">
        <f t="shared" ca="1" si="35"/>
        <v>48000</v>
      </c>
      <c r="L87" s="342"/>
      <c r="M87" s="342"/>
      <c r="N87" s="369"/>
      <c r="O87" s="344"/>
      <c r="P87" s="397"/>
      <c r="Q87" s="344"/>
    </row>
    <row r="88" spans="1:17" s="365" customFormat="1">
      <c r="A88" s="336"/>
      <c r="B88" s="513">
        <v>3</v>
      </c>
      <c r="C88" s="514" t="s">
        <v>33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Bh</v>
      </c>
      <c r="F88" s="501">
        <f>F85*1</f>
        <v>2</v>
      </c>
      <c r="G88" s="360">
        <f ca="1">IF(ISERROR(OFFSET('HARGA SATUAN'!$I$6,MATCH(RAB!C88,'HARGA SATUAN'!$C$7:$C$1492,0),0)),0,OFFSET('HARGA SATUAN'!$I$6,MATCH(RAB!C88,'HARGA SATUAN'!$C$7:$C$1492,0),0))</f>
        <v>9500</v>
      </c>
      <c r="H88" s="361">
        <f t="shared" ca="1" si="32"/>
        <v>0</v>
      </c>
      <c r="I88" s="361">
        <f t="shared" ca="1" si="33"/>
        <v>19000</v>
      </c>
      <c r="J88" s="361">
        <f t="shared" ca="1" si="34"/>
        <v>0</v>
      </c>
      <c r="K88" s="362">
        <f t="shared" ca="1" si="35"/>
        <v>19000</v>
      </c>
      <c r="L88" s="342"/>
      <c r="M88" s="342"/>
      <c r="N88" s="369"/>
      <c r="O88" s="344"/>
      <c r="P88" s="397"/>
      <c r="Q88" s="344"/>
    </row>
    <row r="89" spans="1:17" s="365" customFormat="1">
      <c r="A89" s="336"/>
      <c r="B89" s="513">
        <v>4</v>
      </c>
      <c r="C89" s="514" t="s">
        <v>738</v>
      </c>
      <c r="D89" s="358" t="str">
        <f ca="1">IF(ISERROR(OFFSET('HARGA SATUAN'!$D$6,MATCH(RAB!C89,'HARGA SATUAN'!$C$7:$C$1492,0),0)),"",OFFSET('HARGA SATUAN'!$D$6,MATCH(RAB!C89,'HARGA SATUAN'!$C$7:$C$1492,0),0))</f>
        <v>JASA</v>
      </c>
      <c r="E89" s="359" t="str">
        <f ca="1">IF(B89="+","Unit",IF(ISERROR(OFFSET('HARGA SATUAN'!$E$6,MATCH(RAB!C89,'HARGA SATUAN'!$C$7:$C$1492,0),0)),"",OFFSET('HARGA SATUAN'!$E$6,MATCH(RAB!C89,'HARGA SATUAN'!$C$7:$C$1492,0),0)))</f>
        <v>Unit</v>
      </c>
      <c r="F89" s="501">
        <f>F85*1</f>
        <v>2</v>
      </c>
      <c r="G89" s="360">
        <f ca="1">IF(ISERROR(OFFSET('HARGA SATUAN'!$I$6,MATCH(RAB!C89,'HARGA SATUAN'!$C$7:$C$1492,0),0)),0,OFFSET('HARGA SATUAN'!$I$6,MATCH(RAB!C89,'HARGA SATUAN'!$C$7:$C$1492,0),0))</f>
        <v>21200</v>
      </c>
      <c r="H89" s="361">
        <f t="shared" ca="1" si="32"/>
        <v>0</v>
      </c>
      <c r="I89" s="361">
        <f t="shared" ca="1" si="33"/>
        <v>0</v>
      </c>
      <c r="J89" s="361">
        <f t="shared" ca="1" si="34"/>
        <v>42400</v>
      </c>
      <c r="K89" s="362">
        <f t="shared" ca="1" si="35"/>
        <v>42400</v>
      </c>
      <c r="L89" s="342"/>
      <c r="M89" s="342"/>
      <c r="N89" s="369"/>
      <c r="O89" s="344"/>
      <c r="P89" s="397"/>
      <c r="Q89" s="344"/>
    </row>
    <row r="90" spans="1:17" s="365" customFormat="1">
      <c r="A90" s="336"/>
      <c r="B90" s="510"/>
      <c r="C90" s="511"/>
      <c r="D90" s="358" t="str">
        <f ca="1">IF(ISERROR(OFFSET('HARGA SATUAN'!$D$6,MATCH(RAB!C90,'HARGA SATUAN'!$C$7:$C$1492,0),0)),"",OFFSET('HARGA SATUAN'!$D$6,MATCH(RAB!C90,'HARGA SATUAN'!$C$7:$C$1492,0),0))</f>
        <v/>
      </c>
      <c r="E90" s="359" t="str">
        <f ca="1">IF(B90="+","Unit",IF(ISERROR(OFFSET('HARGA SATUAN'!$E$6,MATCH(RAB!C90,'HARGA SATUAN'!$C$7:$C$1492,0),0)),"",OFFSET('HARGA SATUAN'!$E$6,MATCH(RAB!C90,'HARGA SATUAN'!$C$7:$C$1492,0),0)))</f>
        <v/>
      </c>
      <c r="F90" s="501"/>
      <c r="G90" s="360">
        <f ca="1">IF(ISERROR(OFFSET('HARGA SATUAN'!$I$6,MATCH(RAB!C90,'HARGA SATUAN'!$C$7:$C$1492,0),0)),0,OFFSET('HARGA SATUAN'!$I$6,MATCH(RAB!C90,'HARGA SATUAN'!$C$7:$C$1492,0),0))</f>
        <v>0</v>
      </c>
      <c r="H90" s="361">
        <f t="shared" ca="1" si="32"/>
        <v>0</v>
      </c>
      <c r="I90" s="361">
        <f t="shared" ca="1" si="33"/>
        <v>0</v>
      </c>
      <c r="J90" s="361">
        <f t="shared" ca="1" si="34"/>
        <v>0</v>
      </c>
      <c r="K90" s="362">
        <f t="shared" ca="1" si="35"/>
        <v>0</v>
      </c>
      <c r="L90" s="342"/>
      <c r="M90" s="342"/>
      <c r="N90" s="369"/>
      <c r="O90" s="344"/>
      <c r="P90" s="397"/>
      <c r="Q90" s="344"/>
    </row>
    <row r="91" spans="1:17" s="365" customFormat="1">
      <c r="A91" s="336"/>
      <c r="B91" s="498"/>
      <c r="C91" s="506" t="s">
        <v>1621</v>
      </c>
      <c r="D91" s="358" t="str">
        <f ca="1">IF(ISERROR(OFFSET('HARGA SATUAN'!$D$6,MATCH(RAB!C91,'HARGA SATUAN'!$C$7:$C$1492,0),0)),"",OFFSET('HARGA SATUAN'!$D$6,MATCH(RAB!C91,'HARGA SATUAN'!$C$7:$C$1492,0),0))</f>
        <v/>
      </c>
      <c r="E91" s="359" t="str">
        <f ca="1">IF(B91="+","Unit",IF(ISERROR(OFFSET('HARGA SATUAN'!$E$6,MATCH(RAB!C91,'HARGA SATUAN'!$C$7:$C$1492,0),0)),"",OFFSET('HARGA SATUAN'!$E$6,MATCH(RAB!C91,'HARGA SATUAN'!$C$7:$C$1492,0),0)))</f>
        <v/>
      </c>
      <c r="F91" s="501"/>
      <c r="G91" s="360">
        <f ca="1">IF(ISERROR(OFFSET('HARGA SATUAN'!$I$6,MATCH(RAB!C91,'HARGA SATUAN'!$C$7:$C$1492,0),0)),0,OFFSET('HARGA SATUAN'!$I$6,MATCH(RAB!C91,'HARGA SATUAN'!$C$7:$C$1492,0),0))</f>
        <v>0</v>
      </c>
      <c r="H91" s="361">
        <f t="shared" ref="H91:H94" ca="1" si="36">IF(OR(D91="MDU",D91="MDU-KD"),(IF($O$3="RAB NON MDU","PLN KD",G91*F91)),0)</f>
        <v>0</v>
      </c>
      <c r="I91" s="361">
        <f t="shared" ref="I91:I94" ca="1" si="37">IF(D91="HDW",G91*F91,0)</f>
        <v>0</v>
      </c>
      <c r="J91" s="361">
        <f t="shared" ref="J91:J94" ca="1" si="38">IF(D91="JASA",G91*F91,0)</f>
        <v>0</v>
      </c>
      <c r="K91" s="362">
        <f t="shared" ref="K91:K94" ca="1" si="39">SUM(H91:J91)</f>
        <v>0</v>
      </c>
      <c r="L91" s="342"/>
      <c r="M91" s="342"/>
      <c r="N91" s="369"/>
      <c r="O91" s="344"/>
      <c r="P91" s="397"/>
      <c r="Q91" s="344"/>
    </row>
    <row r="92" spans="1:17" s="729" customFormat="1">
      <c r="A92" s="722"/>
      <c r="B92" s="723"/>
      <c r="C92" s="724"/>
      <c r="D92" s="358" t="str">
        <f ca="1">IF(ISERROR(OFFSET('HARGA SATUAN'!$D$6,MATCH(RAB!C92,'HARGA SATUAN'!$C$7:$C$1492,0),0)),"",OFFSET('HARGA SATUAN'!$D$6,MATCH(RAB!C92,'HARGA SATUAN'!$C$7:$C$1492,0),0))</f>
        <v/>
      </c>
      <c r="E92" s="359" t="str">
        <f ca="1">IF(B92="+","Unit",IF(ISERROR(OFFSET('HARGA SATUAN'!$E$6,MATCH(RAB!C92,'HARGA SATUAN'!$C$7:$C$1492,0),0)),"",OFFSET('HARGA SATUAN'!$E$6,MATCH(RAB!C92,'HARGA SATUAN'!$C$7:$C$1492,0),0)))</f>
        <v/>
      </c>
      <c r="F92" s="501"/>
      <c r="G92" s="360">
        <f ca="1">IF(ISERROR(OFFSET('HARGA SATUAN'!$I$6,MATCH(RAB!C92,'HARGA SATUAN'!$C$7:$C$1492,0),0)),0,OFFSET('HARGA SATUAN'!$I$6,MATCH(RAB!C92,'HARGA SATUAN'!$C$7:$C$1492,0),0))</f>
        <v>0</v>
      </c>
      <c r="H92" s="361">
        <f t="shared" ca="1" si="36"/>
        <v>0</v>
      </c>
      <c r="I92" s="361">
        <f t="shared" ca="1" si="37"/>
        <v>0</v>
      </c>
      <c r="J92" s="361">
        <f t="shared" ca="1" si="38"/>
        <v>0</v>
      </c>
      <c r="K92" s="362">
        <f t="shared" ca="1" si="39"/>
        <v>0</v>
      </c>
      <c r="L92" s="725"/>
      <c r="M92" s="725"/>
      <c r="N92" s="726"/>
      <c r="O92" s="727"/>
      <c r="P92" s="728"/>
      <c r="Q92" s="727"/>
    </row>
    <row r="93" spans="1:17" s="729" customFormat="1">
      <c r="A93" s="722"/>
      <c r="B93" s="723">
        <v>1</v>
      </c>
      <c r="C93" s="109" t="s">
        <v>66</v>
      </c>
      <c r="D93" s="358" t="str">
        <f ca="1">IF(ISERROR(OFFSET('HARGA SATUAN'!$D$6,MATCH(RAB!C93,'HARGA SATUAN'!$C$7:$C$1492,0),0)),"",OFFSET('HARGA SATUAN'!$D$6,MATCH(RAB!C93,'HARGA SATUAN'!$C$7:$C$1492,0),0))</f>
        <v>MDU-KD</v>
      </c>
      <c r="E93" s="359" t="str">
        <f ca="1">IF(B93="+","Unit",IF(ISERROR(OFFSET('HARGA SATUAN'!$E$6,MATCH(RAB!C93,'HARGA SATUAN'!$C$7:$C$1492,0),0)),"",OFFSET('HARGA SATUAN'!$E$6,MATCH(RAB!C93,'HARGA SATUAN'!$C$7:$C$1492,0),0)))</f>
        <v>Mtr</v>
      </c>
      <c r="F93" s="501">
        <v>620</v>
      </c>
      <c r="G93" s="360">
        <f ca="1">IF(ISERROR(OFFSET('HARGA SATUAN'!$I$6,MATCH(RAB!C93,'HARGA SATUAN'!$C$7:$C$1492,0),0)),0,OFFSET('HARGA SATUAN'!$I$6,MATCH(RAB!C93,'HARGA SATUAN'!$C$7:$C$1492,0),0))</f>
        <v>25300</v>
      </c>
      <c r="H93" s="361">
        <f t="shared" ca="1" si="36"/>
        <v>15686000</v>
      </c>
      <c r="I93" s="361">
        <f t="shared" ca="1" si="37"/>
        <v>0</v>
      </c>
      <c r="J93" s="361">
        <f t="shared" ca="1" si="38"/>
        <v>0</v>
      </c>
      <c r="K93" s="362">
        <f t="shared" ca="1" si="39"/>
        <v>15686000</v>
      </c>
      <c r="L93" s="725"/>
      <c r="M93" s="725"/>
      <c r="N93" s="726"/>
      <c r="O93" s="727"/>
      <c r="P93" s="728"/>
      <c r="Q93" s="727"/>
    </row>
    <row r="94" spans="1:17" s="729" customFormat="1">
      <c r="A94" s="722"/>
      <c r="B94" s="723">
        <v>2</v>
      </c>
      <c r="C94" s="109" t="s">
        <v>336</v>
      </c>
      <c r="D94" s="358" t="str">
        <f ca="1">IF(ISERROR(OFFSET('HARGA SATUAN'!$D$6,MATCH(RAB!C94,'HARGA SATUAN'!$C$7:$C$1492,0),0)),"",OFFSET('HARGA SATUAN'!$D$6,MATCH(RAB!C94,'HARGA SATUAN'!$C$7:$C$1492,0),0))</f>
        <v>JASA</v>
      </c>
      <c r="E94" s="359" t="str">
        <f ca="1">IF(B94="+","Unit",IF(ISERROR(OFFSET('HARGA SATUAN'!$E$6,MATCH(RAB!C94,'HARGA SATUAN'!$C$7:$C$1492,0),0)),"",OFFSET('HARGA SATUAN'!$E$6,MATCH(RAB!C94,'HARGA SATUAN'!$C$7:$C$1492,0),0)))</f>
        <v>Per 50 m</v>
      </c>
      <c r="F94" s="501">
        <f>F93/100</f>
        <v>6.2</v>
      </c>
      <c r="G94" s="360">
        <f ca="1">IF(ISERROR(OFFSET('HARGA SATUAN'!$I$6,MATCH(RAB!C94,'HARGA SATUAN'!$C$7:$C$1492,0),0)),0,OFFSET('HARGA SATUAN'!$I$6,MATCH(RAB!C94,'HARGA SATUAN'!$C$7:$C$1492,0),0))</f>
        <v>267740</v>
      </c>
      <c r="H94" s="361">
        <f t="shared" ca="1" si="36"/>
        <v>0</v>
      </c>
      <c r="I94" s="361">
        <f t="shared" ca="1" si="37"/>
        <v>0</v>
      </c>
      <c r="J94" s="361">
        <f t="shared" ca="1" si="38"/>
        <v>1659988</v>
      </c>
      <c r="K94" s="362">
        <f t="shared" ca="1" si="39"/>
        <v>1659988</v>
      </c>
      <c r="L94" s="725"/>
      <c r="M94" s="725"/>
      <c r="N94" s="726"/>
      <c r="O94" s="727"/>
      <c r="P94" s="728"/>
      <c r="Q94" s="727"/>
    </row>
    <row r="95" spans="1:17" s="365" customFormat="1">
      <c r="A95" s="336"/>
      <c r="B95" s="498">
        <v>1</v>
      </c>
      <c r="C95" s="109" t="s">
        <v>1402</v>
      </c>
      <c r="D95" s="358" t="str">
        <f ca="1">IF(ISERROR(OFFSET('HARGA SATUAN'!$D$6,MATCH(RAB!C95,'HARGA SATUAN'!$C$7:$C$1492,0),0)),"",OFFSET('HARGA SATUAN'!$D$6,MATCH(RAB!C95,'HARGA SATUAN'!$C$7:$C$1492,0),0))</f>
        <v>MDU-KD</v>
      </c>
      <c r="E95" s="359" t="str">
        <f ca="1">IF(B95="+","Unit",IF(ISERROR(OFFSET('HARGA SATUAN'!$E$6,MATCH(RAB!C95,'HARGA SATUAN'!$C$7:$C$1492,0),0)),"",OFFSET('HARGA SATUAN'!$E$6,MATCH(RAB!C95,'HARGA SATUAN'!$C$7:$C$1492,0),0)))</f>
        <v>Mtr</v>
      </c>
      <c r="F95" s="501">
        <v>50</v>
      </c>
      <c r="G95" s="360">
        <f ca="1">IF(ISERROR(OFFSET('HARGA SATUAN'!$I$6,MATCH(RAB!C95,'HARGA SATUAN'!$C$7:$C$1492,0),0)),0,OFFSET('HARGA SATUAN'!$I$6,MATCH(RAB!C95,'HARGA SATUAN'!$C$7:$C$1492,0),0))</f>
        <v>53300</v>
      </c>
      <c r="H95" s="361">
        <f t="shared" ref="H95:H96" ca="1" si="40">IF(OR(D95="MDU",D95="MDU-KD"),(IF($O$3="RAB NON MDU","PLN KD",G95*F95)),0)</f>
        <v>2665000</v>
      </c>
      <c r="I95" s="361">
        <f t="shared" ref="I95:I96" ca="1" si="41">IF(D95="HDW",G95*F95,0)</f>
        <v>0</v>
      </c>
      <c r="J95" s="361">
        <f t="shared" ref="J95:J96" ca="1" si="42">IF(D95="JASA",G95*F95,0)</f>
        <v>0</v>
      </c>
      <c r="K95" s="362">
        <f t="shared" ref="K95:K96" ca="1" si="43">SUM(H95:J95)</f>
        <v>2665000</v>
      </c>
      <c r="L95" s="342"/>
      <c r="M95" s="342"/>
      <c r="N95" s="369"/>
      <c r="O95" s="344"/>
      <c r="P95" s="397"/>
      <c r="Q95" s="344"/>
    </row>
    <row r="96" spans="1:17" s="365" customFormat="1">
      <c r="A96" s="336"/>
      <c r="B96" s="498">
        <v>2</v>
      </c>
      <c r="C96" s="109" t="s">
        <v>347</v>
      </c>
      <c r="D96" s="503" t="s">
        <v>47</v>
      </c>
      <c r="E96" s="504" t="s">
        <v>297</v>
      </c>
      <c r="F96" s="504">
        <f>F95/50</f>
        <v>1</v>
      </c>
      <c r="G96" s="505">
        <v>85000</v>
      </c>
      <c r="H96" s="361">
        <f t="shared" si="40"/>
        <v>0</v>
      </c>
      <c r="I96" s="361">
        <f t="shared" si="41"/>
        <v>0</v>
      </c>
      <c r="J96" s="361">
        <f t="shared" si="42"/>
        <v>85000</v>
      </c>
      <c r="K96" s="362">
        <f t="shared" si="43"/>
        <v>85000</v>
      </c>
      <c r="L96" s="342"/>
      <c r="M96" s="342"/>
      <c r="N96" s="369"/>
      <c r="O96" s="344"/>
      <c r="P96" s="397"/>
      <c r="Q96" s="344"/>
    </row>
    <row r="97" spans="1:17" s="365" customFormat="1">
      <c r="A97" s="336"/>
      <c r="B97" s="498"/>
      <c r="C97" s="499"/>
      <c r="D97" s="358" t="str">
        <f ca="1">IF(ISERROR(OFFSET('HARGA SATUAN'!$D$6,MATCH(RAB!C97,'HARGA SATUAN'!$C$7:$C$1492,0),0)),"",OFFSET('HARGA SATUAN'!$D$6,MATCH(RAB!C97,'HARGA SATUAN'!$C$7:$C$1492,0),0))</f>
        <v/>
      </c>
      <c r="E97" s="359" t="str">
        <f ca="1">IF(B97="+","Unit",IF(ISERROR(OFFSET('HARGA SATUAN'!$E$6,MATCH(RAB!C97,'HARGA SATUAN'!$C$7:$C$1492,0),0)),"",OFFSET('HARGA SATUAN'!$E$6,MATCH(RAB!C97,'HARGA SATUAN'!$C$7:$C$1492,0),0)))</f>
        <v/>
      </c>
      <c r="F97" s="501"/>
      <c r="G97" s="360">
        <f ca="1">IF(ISERROR(OFFSET('HARGA SATUAN'!$I$6,MATCH(RAB!C97,'HARGA SATUAN'!$C$7:$C$1492,0),0)),0,OFFSET('HARGA SATUAN'!$I$6,MATCH(RAB!C97,'HARGA SATUAN'!$C$7:$C$1492,0),0))</f>
        <v>0</v>
      </c>
      <c r="H97" s="361">
        <f t="shared" ref="H97:H98" ca="1" si="44">IF(OR(D97="MDU",D97="MDU-KD"),(IF($O$3="RAB NON MDU","PLN KD",G97*F97)),0)</f>
        <v>0</v>
      </c>
      <c r="I97" s="361">
        <f t="shared" ref="I97:I98" ca="1" si="45">IF(D97="HDW",G97*F97,0)</f>
        <v>0</v>
      </c>
      <c r="J97" s="361">
        <f t="shared" ref="J97:J98" ca="1" si="46">IF(D97="JASA",G97*F97,0)</f>
        <v>0</v>
      </c>
      <c r="K97" s="362">
        <f t="shared" ref="K97:K98" ca="1" si="47">SUM(H97:J97)</f>
        <v>0</v>
      </c>
      <c r="L97" s="342"/>
      <c r="M97" s="342"/>
      <c r="N97" s="369"/>
      <c r="O97" s="344"/>
      <c r="P97" s="397"/>
      <c r="Q97" s="344"/>
    </row>
    <row r="98" spans="1:17">
      <c r="B98" s="366" t="s">
        <v>1614</v>
      </c>
      <c r="C98" s="367" t="s">
        <v>1616</v>
      </c>
      <c r="D98" s="358" t="str">
        <f ca="1">IF(ISERROR(OFFSET('HARGA SATUAN'!$D$6,MATCH(RAB!C98,'HARGA SATUAN'!$C$7:$C$1492,0),0)),"",OFFSET('HARGA SATUAN'!$D$6,MATCH(RAB!C98,'HARGA SATUAN'!$C$7:$C$1492,0),0))</f>
        <v/>
      </c>
      <c r="E98" s="359" t="str">
        <f ca="1">IF(B98="+","Unit",IF(ISERROR(OFFSET('HARGA SATUAN'!$E$6,MATCH(RAB!C98,'HARGA SATUAN'!$C$7:$C$1492,0),0)),"",OFFSET('HARGA SATUAN'!$E$6,MATCH(RAB!C98,'HARGA SATUAN'!$C$7:$C$1492,0),0)))</f>
        <v/>
      </c>
      <c r="F98" s="501"/>
      <c r="G98" s="360">
        <f ca="1">IF(ISERROR(OFFSET('HARGA SATUAN'!$I$6,MATCH(RAB!C98,'HARGA SATUAN'!$C$7:$C$1492,0),0)),0,OFFSET('HARGA SATUAN'!$I$6,MATCH(RAB!C98,'HARGA SATUAN'!$C$7:$C$1492,0),0))</f>
        <v>0</v>
      </c>
      <c r="H98" s="361">
        <f t="shared" ca="1" si="44"/>
        <v>0</v>
      </c>
      <c r="I98" s="361">
        <f t="shared" ca="1" si="45"/>
        <v>0</v>
      </c>
      <c r="J98" s="361">
        <f t="shared" ca="1" si="46"/>
        <v>0</v>
      </c>
      <c r="K98" s="362">
        <f t="shared" ca="1" si="47"/>
        <v>0</v>
      </c>
    </row>
    <row r="99" spans="1:17">
      <c r="B99" s="494"/>
      <c r="C99" s="497"/>
      <c r="D99" s="358" t="str">
        <f ca="1">IF(ISERROR(OFFSET('HARGA SATUAN'!$D$6,MATCH(RAB!C99,'HARGA SATUAN'!$C$7:$C$1492,0),0)),"",OFFSET('HARGA SATUAN'!$D$6,MATCH(RAB!C99,'HARGA SATUAN'!$C$7:$C$1492,0),0))</f>
        <v/>
      </c>
      <c r="E99" s="359" t="str">
        <f ca="1">IF(B99="+","Unit",IF(ISERROR(OFFSET('HARGA SATUAN'!$E$6,MATCH(RAB!C99,'HARGA SATUAN'!$C$7:$C$1492,0),0)),"",OFFSET('HARGA SATUAN'!$E$6,MATCH(RAB!C99,'HARGA SATUAN'!$C$7:$C$1492,0),0)))</f>
        <v/>
      </c>
      <c r="F99" s="501"/>
      <c r="G99" s="360">
        <f ca="1">IF(ISERROR(OFFSET('HARGA SATUAN'!$I$6,MATCH(RAB!C99,'HARGA SATUAN'!$C$7:$C$1492,0),0)),0,OFFSET('HARGA SATUAN'!$I$6,MATCH(RAB!C99,'HARGA SATUAN'!$C$7:$C$1492,0),0))</f>
        <v>0</v>
      </c>
      <c r="H99" s="361">
        <f t="shared" ref="H99:H127" ca="1" si="48">IF(OR(D99="MDU",D99="MDU-KD"),(IF($O$3="RAB NON MDU","PLN KD",G99*F99)),0)</f>
        <v>0</v>
      </c>
      <c r="I99" s="361">
        <f t="shared" ref="I99:I127" ca="1" si="49">IF(D99="HDW",G99*F99,0)</f>
        <v>0</v>
      </c>
      <c r="J99" s="361">
        <f t="shared" ref="J99:J127" ca="1" si="50">IF(D99="JASA",G99*F99,0)</f>
        <v>0</v>
      </c>
      <c r="K99" s="362">
        <f t="shared" ref="K99:K127" ca="1" si="51">SUM(H99:J99)</f>
        <v>0</v>
      </c>
    </row>
    <row r="100" spans="1:17">
      <c r="B100" s="714" t="s">
        <v>1035</v>
      </c>
      <c r="C100" s="715" t="s">
        <v>1640</v>
      </c>
      <c r="D100" s="358" t="str">
        <f ca="1">IF(ISERROR(OFFSET('HARGA SATUAN'!$D$6,MATCH(RAB!C100,'HARGA SATUAN'!$C$7:$C$1492,0),0)),"",OFFSET('HARGA SATUAN'!$D$6,MATCH(RAB!C100,'HARGA SATUAN'!$C$7:$C$1492,0),0))</f>
        <v/>
      </c>
      <c r="E100" s="359" t="str">
        <f ca="1">IF(B100="+","Unit",IF(ISERROR(OFFSET('HARGA SATUAN'!$E$6,MATCH(RAB!C100,'HARGA SATUAN'!$C$7:$C$1492,0),0)),"",OFFSET('HARGA SATUAN'!$E$6,MATCH(RAB!C100,'HARGA SATUAN'!$C$7:$C$1492,0),0)))</f>
        <v>Unit</v>
      </c>
      <c r="F100" s="23">
        <v>1</v>
      </c>
      <c r="G100" s="360">
        <f ca="1">IF(ISERROR(OFFSET('HARGA SATUAN'!$I$6,MATCH(RAB!C100,'HARGA SATUAN'!$C$7:$C$1492,0),0)),0,OFFSET('HARGA SATUAN'!$I$6,MATCH(RAB!C100,'HARGA SATUAN'!$C$7:$C$1492,0),0))</f>
        <v>0</v>
      </c>
      <c r="H100" s="361">
        <f t="shared" ca="1" si="48"/>
        <v>0</v>
      </c>
      <c r="I100" s="361">
        <f t="shared" ca="1" si="49"/>
        <v>0</v>
      </c>
      <c r="J100" s="361">
        <f t="shared" ca="1" si="50"/>
        <v>0</v>
      </c>
      <c r="K100" s="362">
        <f t="shared" ca="1" si="51"/>
        <v>0</v>
      </c>
    </row>
    <row r="101" spans="1:17">
      <c r="B101" s="714">
        <v>1</v>
      </c>
      <c r="C101" s="730" t="s">
        <v>532</v>
      </c>
      <c r="D101" s="358" t="str">
        <f ca="1">IF(ISERROR(OFFSET('HARGA SATUAN'!$D$6,MATCH(RAB!C101,'HARGA SATUAN'!$C$7:$C$1492,0),0)),"",OFFSET('HARGA SATUAN'!$D$6,MATCH(RAB!C101,'HARGA SATUAN'!$C$7:$C$1492,0),0))</f>
        <v>MDU-KD</v>
      </c>
      <c r="E101" s="359" t="str">
        <f ca="1">IF(B101="+","Unit",IF(ISERROR(OFFSET('HARGA SATUAN'!$E$6,MATCH(RAB!C101,'HARGA SATUAN'!$C$7:$C$1492,0),0)),"",OFFSET('HARGA SATUAN'!$E$6,MATCH(RAB!C101,'HARGA SATUAN'!$C$7:$C$1492,0),0)))</f>
        <v>Bh</v>
      </c>
      <c r="F101" s="731">
        <f>F100*1</f>
        <v>1</v>
      </c>
      <c r="G101" s="360">
        <f ca="1">IF(ISERROR(OFFSET('HARGA SATUAN'!$I$6,MATCH(RAB!C101,'HARGA SATUAN'!$C$7:$C$1492,0),0)),0,OFFSET('HARGA SATUAN'!$I$6,MATCH(RAB!C101,'HARGA SATUAN'!$C$7:$C$1492,0),0))</f>
        <v>27845400</v>
      </c>
      <c r="H101" s="361">
        <f t="shared" ca="1" si="48"/>
        <v>27845400</v>
      </c>
      <c r="I101" s="361">
        <f t="shared" ca="1" si="49"/>
        <v>0</v>
      </c>
      <c r="J101" s="361">
        <f t="shared" ca="1" si="50"/>
        <v>0</v>
      </c>
      <c r="K101" s="362">
        <f t="shared" ca="1" si="51"/>
        <v>27845400</v>
      </c>
    </row>
    <row r="102" spans="1:17">
      <c r="B102" s="718">
        <v>2</v>
      </c>
      <c r="C102" s="730" t="s">
        <v>1641</v>
      </c>
      <c r="D102" s="358" t="str">
        <f ca="1">IF(ISERROR(OFFSET('HARGA SATUAN'!$D$6,MATCH(RAB!C102,'HARGA SATUAN'!$C$7:$C$1492,0),0)),"",OFFSET('HARGA SATUAN'!$D$6,MATCH(RAB!C102,'HARGA SATUAN'!$C$7:$C$1492,0),0))</f>
        <v/>
      </c>
      <c r="E102" s="359" t="str">
        <f ca="1">IF(B102="+","Unit",IF(ISERROR(OFFSET('HARGA SATUAN'!$E$6,MATCH(RAB!C102,'HARGA SATUAN'!$C$7:$C$1492,0),0)),"",OFFSET('HARGA SATUAN'!$E$6,MATCH(RAB!C102,'HARGA SATUAN'!$C$7:$C$1492,0),0)))</f>
        <v/>
      </c>
      <c r="F102" s="731"/>
      <c r="G102" s="360">
        <f ca="1">IF(ISERROR(OFFSET('HARGA SATUAN'!$I$6,MATCH(RAB!C102,'HARGA SATUAN'!$C$7:$C$1492,0),0)),0,OFFSET('HARGA SATUAN'!$I$6,MATCH(RAB!C102,'HARGA SATUAN'!$C$7:$C$1492,0),0))</f>
        <v>0</v>
      </c>
      <c r="H102" s="361">
        <f t="shared" ca="1" si="48"/>
        <v>0</v>
      </c>
      <c r="I102" s="361">
        <f t="shared" ca="1" si="49"/>
        <v>0</v>
      </c>
      <c r="J102" s="361">
        <f t="shared" ca="1" si="50"/>
        <v>0</v>
      </c>
      <c r="K102" s="362">
        <f t="shared" ca="1" si="51"/>
        <v>0</v>
      </c>
    </row>
    <row r="103" spans="1:17">
      <c r="B103" s="718"/>
      <c r="C103" s="730" t="s">
        <v>65</v>
      </c>
      <c r="D103" s="358" t="str">
        <f ca="1">IF(ISERROR(OFFSET('HARGA SATUAN'!$D$6,MATCH(RAB!C103,'HARGA SATUAN'!$C$7:$C$1492,0),0)),"",OFFSET('HARGA SATUAN'!$D$6,MATCH(RAB!C103,'HARGA SATUAN'!$C$7:$C$1492,0),0))</f>
        <v>MDU-KD</v>
      </c>
      <c r="E103" s="359" t="str">
        <f ca="1">IF(B103="+","Unit",IF(ISERROR(OFFSET('HARGA SATUAN'!$E$6,MATCH(RAB!C103,'HARGA SATUAN'!$C$7:$C$1492,0),0)),"",OFFSET('HARGA SATUAN'!$E$6,MATCH(RAB!C103,'HARGA SATUAN'!$C$7:$C$1492,0),0)))</f>
        <v>Mtr</v>
      </c>
      <c r="F103" s="731">
        <f>F100*2</f>
        <v>2</v>
      </c>
      <c r="G103" s="360">
        <f ca="1">IF(ISERROR(OFFSET('HARGA SATUAN'!$I$6,MATCH(RAB!C103,'HARGA SATUAN'!$C$7:$C$1492,0),0)),0,OFFSET('HARGA SATUAN'!$I$6,MATCH(RAB!C103,'HARGA SATUAN'!$C$7:$C$1492,0),0))</f>
        <v>14200</v>
      </c>
      <c r="H103" s="361">
        <f t="shared" ca="1" si="48"/>
        <v>28400</v>
      </c>
      <c r="I103" s="361">
        <f t="shared" ca="1" si="49"/>
        <v>0</v>
      </c>
      <c r="J103" s="361">
        <f t="shared" ca="1" si="50"/>
        <v>0</v>
      </c>
      <c r="K103" s="362">
        <f t="shared" ca="1" si="51"/>
        <v>28400</v>
      </c>
    </row>
    <row r="104" spans="1:17">
      <c r="B104" s="714"/>
      <c r="C104" s="109" t="s">
        <v>1402</v>
      </c>
      <c r="D104" s="358" t="str">
        <f ca="1">IF(ISERROR(OFFSET('HARGA SATUAN'!$D$6,MATCH(RAB!C104,'HARGA SATUAN'!$C$7:$C$1492,0),0)),"",OFFSET('HARGA SATUAN'!$D$6,MATCH(RAB!C104,'HARGA SATUAN'!$C$7:$C$1492,0),0))</f>
        <v>MDU-KD</v>
      </c>
      <c r="E104" s="359" t="str">
        <f ca="1">IF(B104="+","Unit",IF(ISERROR(OFFSET('HARGA SATUAN'!$E$6,MATCH(RAB!C104,'HARGA SATUAN'!$C$7:$C$1492,0),0)),"",OFFSET('HARGA SATUAN'!$E$6,MATCH(RAB!C104,'HARGA SATUAN'!$C$7:$C$1492,0),0)))</f>
        <v>Mtr</v>
      </c>
      <c r="F104" s="731">
        <f>F100*2</f>
        <v>2</v>
      </c>
      <c r="G104" s="360">
        <f ca="1">IF(ISERROR(OFFSET('HARGA SATUAN'!$I$6,MATCH(RAB!C104,'HARGA SATUAN'!$C$7:$C$1492,0),0)),0,OFFSET('HARGA SATUAN'!$I$6,MATCH(RAB!C104,'HARGA SATUAN'!$C$7:$C$1492,0),0))</f>
        <v>53300</v>
      </c>
      <c r="H104" s="361">
        <f t="shared" ca="1" si="48"/>
        <v>106600</v>
      </c>
      <c r="I104" s="361">
        <f t="shared" ca="1" si="49"/>
        <v>0</v>
      </c>
      <c r="J104" s="361">
        <f t="shared" ca="1" si="50"/>
        <v>0</v>
      </c>
      <c r="K104" s="362">
        <f t="shared" ca="1" si="51"/>
        <v>106600</v>
      </c>
    </row>
    <row r="105" spans="1:17">
      <c r="B105" s="714">
        <v>3</v>
      </c>
      <c r="C105" s="730" t="s">
        <v>207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Bh</v>
      </c>
      <c r="F105" s="731">
        <f>F100*1</f>
        <v>1</v>
      </c>
      <c r="G105" s="360">
        <f ca="1">IF(ISERROR(OFFSET('HARGA SATUAN'!$I$6,MATCH(RAB!C105,'HARGA SATUAN'!$C$7:$C$1492,0),0)),0,OFFSET('HARGA SATUAN'!$I$6,MATCH(RAB!C105,'HARGA SATUAN'!$C$7:$C$1492,0),0))</f>
        <v>87000</v>
      </c>
      <c r="H105" s="361">
        <f t="shared" ca="1" si="48"/>
        <v>0</v>
      </c>
      <c r="I105" s="361">
        <f t="shared" ca="1" si="49"/>
        <v>87000</v>
      </c>
      <c r="J105" s="361">
        <f t="shared" ca="1" si="50"/>
        <v>0</v>
      </c>
      <c r="K105" s="362">
        <f t="shared" ca="1" si="51"/>
        <v>87000</v>
      </c>
    </row>
    <row r="106" spans="1:17">
      <c r="B106" s="714">
        <v>4</v>
      </c>
      <c r="C106" s="730" t="s">
        <v>176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731">
        <f>F100*2</f>
        <v>2</v>
      </c>
      <c r="G106" s="360">
        <f ca="1">IF(ISERROR(OFFSET('HARGA SATUAN'!$I$6,MATCH(RAB!C106,'HARGA SATUAN'!$C$7:$C$1492,0),0)),0,OFFSET('HARGA SATUAN'!$I$6,MATCH(RAB!C106,'HARGA SATUAN'!$C$7:$C$1492,0),0))</f>
        <v>404600</v>
      </c>
      <c r="H106" s="361">
        <f t="shared" ca="1" si="48"/>
        <v>0</v>
      </c>
      <c r="I106" s="361">
        <f t="shared" ca="1" si="49"/>
        <v>809200</v>
      </c>
      <c r="J106" s="361">
        <f t="shared" ca="1" si="50"/>
        <v>0</v>
      </c>
      <c r="K106" s="362">
        <f t="shared" ca="1" si="51"/>
        <v>809200</v>
      </c>
    </row>
    <row r="107" spans="1:17">
      <c r="B107" s="714">
        <v>5</v>
      </c>
      <c r="C107" s="730" t="s">
        <v>184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731">
        <f>F100*3</f>
        <v>3</v>
      </c>
      <c r="G107" s="360">
        <f ca="1">IF(ISERROR(OFFSET('HARGA SATUAN'!$I$6,MATCH(RAB!C107,'HARGA SATUAN'!$C$7:$C$1492,0),0)),0,OFFSET('HARGA SATUAN'!$I$6,MATCH(RAB!C107,'HARGA SATUAN'!$C$7:$C$1492,0),0))</f>
        <v>15900</v>
      </c>
      <c r="H107" s="361">
        <f t="shared" ca="1" si="48"/>
        <v>0</v>
      </c>
      <c r="I107" s="361">
        <f t="shared" ca="1" si="49"/>
        <v>47700</v>
      </c>
      <c r="J107" s="361">
        <f t="shared" ca="1" si="50"/>
        <v>0</v>
      </c>
      <c r="K107" s="362">
        <f t="shared" ca="1" si="51"/>
        <v>47700</v>
      </c>
    </row>
    <row r="108" spans="1:17">
      <c r="B108" s="714">
        <v>6</v>
      </c>
      <c r="C108" s="730" t="s">
        <v>187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Bh</v>
      </c>
      <c r="F108" s="731">
        <f>F100*2</f>
        <v>2</v>
      </c>
      <c r="G108" s="360">
        <f ca="1">IF(ISERROR(OFFSET('HARGA SATUAN'!$I$6,MATCH(RAB!C108,'HARGA SATUAN'!$C$7:$C$1492,0),0)),0,OFFSET('HARGA SATUAN'!$I$6,MATCH(RAB!C108,'HARGA SATUAN'!$C$7:$C$1492,0),0))</f>
        <v>17100</v>
      </c>
      <c r="H108" s="361">
        <f t="shared" ca="1" si="48"/>
        <v>0</v>
      </c>
      <c r="I108" s="361">
        <f t="shared" ca="1" si="49"/>
        <v>34200</v>
      </c>
      <c r="J108" s="361">
        <f t="shared" ca="1" si="50"/>
        <v>0</v>
      </c>
      <c r="K108" s="362">
        <f t="shared" ca="1" si="51"/>
        <v>34200</v>
      </c>
    </row>
    <row r="109" spans="1:17">
      <c r="B109" s="714">
        <v>7</v>
      </c>
      <c r="C109" s="109" t="s">
        <v>1569</v>
      </c>
      <c r="D109" s="358" t="str">
        <f ca="1">IF(ISERROR(OFFSET('HARGA SATUAN'!$D$6,MATCH(RAB!C109,'HARGA SATUAN'!$C$7:$C$1492,0),0)),"",OFFSET('HARGA SATUAN'!$D$6,MATCH(RAB!C109,'HARGA SATUAN'!$C$7:$C$1492,0),0))</f>
        <v>HDW</v>
      </c>
      <c r="E109" s="359" t="str">
        <f ca="1">IF(B109="+","Unit",IF(ISERROR(OFFSET('HARGA SATUAN'!$E$6,MATCH(RAB!C109,'HARGA SATUAN'!$C$7:$C$1492,0),0)),"",OFFSET('HARGA SATUAN'!$E$6,MATCH(RAB!C109,'HARGA SATUAN'!$C$7:$C$1492,0),0)))</f>
        <v>Bh</v>
      </c>
      <c r="F109" s="731">
        <f>F100*4</f>
        <v>4</v>
      </c>
      <c r="G109" s="360">
        <f ca="1">IF(ISERROR(OFFSET('HARGA SATUAN'!$I$6,MATCH(RAB!C109,'HARGA SATUAN'!$C$7:$C$1492,0),0)),0,OFFSET('HARGA SATUAN'!$I$6,MATCH(RAB!C109,'HARGA SATUAN'!$C$7:$C$1492,0),0))</f>
        <v>49000</v>
      </c>
      <c r="H109" s="361">
        <f t="shared" ca="1" si="48"/>
        <v>0</v>
      </c>
      <c r="I109" s="361">
        <f t="shared" ca="1" si="49"/>
        <v>196000</v>
      </c>
      <c r="J109" s="361">
        <f t="shared" ca="1" si="50"/>
        <v>0</v>
      </c>
      <c r="K109" s="362">
        <f t="shared" ca="1" si="51"/>
        <v>196000</v>
      </c>
    </row>
    <row r="110" spans="1:17">
      <c r="B110" s="714">
        <v>8</v>
      </c>
      <c r="C110" s="730" t="s">
        <v>149</v>
      </c>
      <c r="D110" s="358" t="str">
        <f ca="1">IF(ISERROR(OFFSET('HARGA SATUAN'!$D$6,MATCH(RAB!C110,'HARGA SATUAN'!$C$7:$C$1492,0),0)),"",OFFSET('HARGA SATUAN'!$D$6,MATCH(RAB!C110,'HARGA SATUAN'!$C$7:$C$1492,0),0))</f>
        <v>HDW</v>
      </c>
      <c r="E110" s="359" t="str">
        <f ca="1">IF(B110="+","Unit",IF(ISERROR(OFFSET('HARGA SATUAN'!$E$6,MATCH(RAB!C110,'HARGA SATUAN'!$C$7:$C$1492,0),0)),"",OFFSET('HARGA SATUAN'!$E$6,MATCH(RAB!C110,'HARGA SATUAN'!$C$7:$C$1492,0),0)))</f>
        <v>Set</v>
      </c>
      <c r="F110" s="731">
        <f>F100*1</f>
        <v>1</v>
      </c>
      <c r="G110" s="360">
        <f ca="1">IF(ISERROR(OFFSET('HARGA SATUAN'!$I$6,MATCH(RAB!C110,'HARGA SATUAN'!$C$7:$C$1492,0),0)),0,OFFSET('HARGA SATUAN'!$I$6,MATCH(RAB!C110,'HARGA SATUAN'!$C$7:$C$1492,0),0))</f>
        <v>67800</v>
      </c>
      <c r="H110" s="361">
        <f t="shared" ca="1" si="48"/>
        <v>0</v>
      </c>
      <c r="I110" s="361">
        <f t="shared" ca="1" si="49"/>
        <v>67800</v>
      </c>
      <c r="J110" s="361">
        <f t="shared" ca="1" si="50"/>
        <v>0</v>
      </c>
      <c r="K110" s="362">
        <f t="shared" ca="1" si="51"/>
        <v>67800</v>
      </c>
    </row>
    <row r="111" spans="1:17">
      <c r="B111" s="714">
        <v>9</v>
      </c>
      <c r="C111" s="730" t="s">
        <v>32</v>
      </c>
      <c r="D111" s="358" t="str">
        <f ca="1">IF(ISERROR(OFFSET('HARGA SATUAN'!$D$6,MATCH(RAB!C111,'HARGA SATUAN'!$C$7:$C$1492,0),0)),"",OFFSET('HARGA SATUAN'!$D$6,MATCH(RAB!C111,'HARGA SATUAN'!$C$7:$C$1492,0),0))</f>
        <v>HDW</v>
      </c>
      <c r="E111" s="359" t="str">
        <f ca="1">IF(B111="+","Unit",IF(ISERROR(OFFSET('HARGA SATUAN'!$E$6,MATCH(RAB!C111,'HARGA SATUAN'!$C$7:$C$1492,0),0)),"",OFFSET('HARGA SATUAN'!$E$6,MATCH(RAB!C111,'HARGA SATUAN'!$C$7:$C$1492,0),0)))</f>
        <v>Mtr</v>
      </c>
      <c r="F111" s="731">
        <f>F100*2</f>
        <v>2</v>
      </c>
      <c r="G111" s="360">
        <f ca="1">IF(ISERROR(OFFSET('HARGA SATUAN'!$I$6,MATCH(RAB!C111,'HARGA SATUAN'!$C$7:$C$1492,0),0)),0,OFFSET('HARGA SATUAN'!$I$6,MATCH(RAB!C111,'HARGA SATUAN'!$C$7:$C$1492,0),0))</f>
        <v>30000</v>
      </c>
      <c r="H111" s="361">
        <f t="shared" ca="1" si="48"/>
        <v>0</v>
      </c>
      <c r="I111" s="361">
        <f t="shared" ca="1" si="49"/>
        <v>60000</v>
      </c>
      <c r="J111" s="361">
        <f t="shared" ca="1" si="50"/>
        <v>0</v>
      </c>
      <c r="K111" s="362">
        <f t="shared" ca="1" si="51"/>
        <v>60000</v>
      </c>
    </row>
    <row r="112" spans="1:17">
      <c r="B112" s="714">
        <v>10</v>
      </c>
      <c r="C112" s="730" t="s">
        <v>781</v>
      </c>
      <c r="D112" s="358" t="str">
        <f ca="1">IF(ISERROR(OFFSET('HARGA SATUAN'!$D$6,MATCH(RAB!C112,'HARGA SATUAN'!$C$7:$C$1492,0),0)),"",OFFSET('HARGA SATUAN'!$D$6,MATCH(RAB!C112,'HARGA SATUAN'!$C$7:$C$1492,0),0))</f>
        <v>JASA</v>
      </c>
      <c r="E112" s="359" t="str">
        <f ca="1">IF(B112="+","Unit",IF(ISERROR(OFFSET('HARGA SATUAN'!$E$6,MATCH(RAB!C112,'HARGA SATUAN'!$C$7:$C$1492,0),0)),"",OFFSET('HARGA SATUAN'!$E$6,MATCH(RAB!C112,'HARGA SATUAN'!$C$7:$C$1492,0),0)))</f>
        <v>Unit</v>
      </c>
      <c r="F112" s="731">
        <v>2</v>
      </c>
      <c r="G112" s="360">
        <f ca="1">IF(ISERROR(OFFSET('HARGA SATUAN'!$I$6,MATCH(RAB!C112,'HARGA SATUAN'!$C$7:$C$1492,0),0)),0,OFFSET('HARGA SATUAN'!$I$6,MATCH(RAB!C112,'HARGA SATUAN'!$C$7:$C$1492,0),0))</f>
        <v>346400</v>
      </c>
      <c r="H112" s="361">
        <f t="shared" ca="1" si="48"/>
        <v>0</v>
      </c>
      <c r="I112" s="361">
        <f t="shared" ca="1" si="49"/>
        <v>0</v>
      </c>
      <c r="J112" s="361">
        <f t="shared" ca="1" si="50"/>
        <v>692800</v>
      </c>
      <c r="K112" s="362">
        <f t="shared" ca="1" si="51"/>
        <v>692800</v>
      </c>
    </row>
    <row r="113" spans="2:11">
      <c r="B113" s="494">
        <v>11</v>
      </c>
      <c r="C113" s="730" t="s">
        <v>962</v>
      </c>
      <c r="D113" s="358" t="str">
        <f ca="1">IF(ISERROR(OFFSET('HARGA SATUAN'!$D$6,MATCH(RAB!C113,'HARGA SATUAN'!$C$7:$C$1492,0),0)),"",OFFSET('HARGA SATUAN'!$D$6,MATCH(RAB!C113,'HARGA SATUAN'!$C$7:$C$1492,0),0))</f>
        <v>JASA</v>
      </c>
      <c r="E113" s="359" t="str">
        <f ca="1">IF(B113="+","Unit",IF(ISERROR(OFFSET('HARGA SATUAN'!$E$6,MATCH(RAB!C113,'HARGA SATUAN'!$C$7:$C$1492,0),0)),"",OFFSET('HARGA SATUAN'!$E$6,MATCH(RAB!C113,'HARGA SATUAN'!$C$7:$C$1492,0),0)))</f>
        <v>Unit</v>
      </c>
      <c r="F113" s="501">
        <v>1</v>
      </c>
      <c r="G113" s="360">
        <f ca="1">IF(ISERROR(OFFSET('HARGA SATUAN'!$I$6,MATCH(RAB!C113,'HARGA SATUAN'!$C$7:$C$1492,0),0)),0,OFFSET('HARGA SATUAN'!$I$6,MATCH(RAB!C113,'HARGA SATUAN'!$C$7:$C$1492,0),0))</f>
        <v>207840</v>
      </c>
      <c r="H113" s="361">
        <f t="shared" ca="1" si="48"/>
        <v>0</v>
      </c>
      <c r="I113" s="361">
        <f t="shared" ca="1" si="49"/>
        <v>0</v>
      </c>
      <c r="J113" s="361">
        <f t="shared" ca="1" si="50"/>
        <v>207840</v>
      </c>
      <c r="K113" s="362">
        <f t="shared" ca="1" si="51"/>
        <v>207840</v>
      </c>
    </row>
    <row r="114" spans="2:11">
      <c r="B114" s="494"/>
      <c r="C114" s="497"/>
      <c r="D114" s="358" t="str">
        <f ca="1">IF(ISERROR(OFFSET('HARGA SATUAN'!$D$6,MATCH(RAB!C114,'HARGA SATUAN'!$C$7:$C$1492,0),0)),"",OFFSET('HARGA SATUAN'!$D$6,MATCH(RAB!C114,'HARGA SATUAN'!$C$7:$C$1492,0),0))</f>
        <v/>
      </c>
      <c r="E114" s="359" t="str">
        <f ca="1">IF(B114="+","Unit",IF(ISERROR(OFFSET('HARGA SATUAN'!$E$6,MATCH(RAB!C114,'HARGA SATUAN'!$C$7:$C$1492,0),0)),"",OFFSET('HARGA SATUAN'!$E$6,MATCH(RAB!C114,'HARGA SATUAN'!$C$7:$C$1492,0),0)))</f>
        <v/>
      </c>
      <c r="F114" s="501"/>
      <c r="G114" s="360">
        <f ca="1">IF(ISERROR(OFFSET('HARGA SATUAN'!$I$6,MATCH(RAB!C114,'HARGA SATUAN'!$C$7:$C$1492,0),0)),0,OFFSET('HARGA SATUAN'!$I$6,MATCH(RAB!C114,'HARGA SATUAN'!$C$7:$C$1492,0),0))</f>
        <v>0</v>
      </c>
      <c r="H114" s="361">
        <f t="shared" ca="1" si="48"/>
        <v>0</v>
      </c>
      <c r="I114" s="361">
        <f t="shared" ca="1" si="49"/>
        <v>0</v>
      </c>
      <c r="J114" s="361">
        <f t="shared" ca="1" si="50"/>
        <v>0</v>
      </c>
      <c r="K114" s="362">
        <f t="shared" ca="1" si="51"/>
        <v>0</v>
      </c>
    </row>
    <row r="115" spans="2:11">
      <c r="B115" s="718" t="s">
        <v>1035</v>
      </c>
      <c r="C115" s="732" t="s">
        <v>1618</v>
      </c>
      <c r="D115" s="358" t="str">
        <f ca="1">IF(ISERROR(OFFSET('HARGA SATUAN'!$D$6,MATCH(RAB!C115,'HARGA SATUAN'!$C$7:$C$1492,0),0)),"",OFFSET('HARGA SATUAN'!$D$6,MATCH(RAB!C115,'HARGA SATUAN'!$C$7:$C$1492,0),0))</f>
        <v/>
      </c>
      <c r="E115" s="359" t="str">
        <f ca="1">IF(B115="+","Unit",IF(ISERROR(OFFSET('HARGA SATUAN'!$E$6,MATCH(RAB!C115,'HARGA SATUAN'!$C$7:$C$1492,0),0)),"",OFFSET('HARGA SATUAN'!$E$6,MATCH(RAB!C115,'HARGA SATUAN'!$C$7:$C$1492,0),0)))</f>
        <v>Unit</v>
      </c>
      <c r="F115" s="501">
        <v>2</v>
      </c>
      <c r="G115" s="360">
        <f ca="1">IF(ISERROR(OFFSET('HARGA SATUAN'!$I$6,MATCH(RAB!C115,'HARGA SATUAN'!$C$7:$C$1492,0),0)),0,OFFSET('HARGA SATUAN'!$I$6,MATCH(RAB!C115,'HARGA SATUAN'!$C$7:$C$1492,0),0))</f>
        <v>0</v>
      </c>
      <c r="H115" s="361">
        <f t="shared" ca="1" si="48"/>
        <v>0</v>
      </c>
      <c r="I115" s="361">
        <f t="shared" ca="1" si="49"/>
        <v>0</v>
      </c>
      <c r="J115" s="361">
        <f t="shared" ca="1" si="50"/>
        <v>0</v>
      </c>
      <c r="K115" s="362">
        <f t="shared" ca="1" si="51"/>
        <v>0</v>
      </c>
    </row>
    <row r="116" spans="2:11">
      <c r="B116" s="718">
        <v>1</v>
      </c>
      <c r="C116" s="720" t="s">
        <v>29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Bh</v>
      </c>
      <c r="F116" s="501">
        <f>F115*1</f>
        <v>2</v>
      </c>
      <c r="G116" s="360">
        <f ca="1">IF(ISERROR(OFFSET('HARGA SATUAN'!$I$6,MATCH(RAB!C116,'HARGA SATUAN'!$C$7:$C$1492,0),0)),0,OFFSET('HARGA SATUAN'!$I$6,MATCH(RAB!C116,'HARGA SATUAN'!$C$7:$C$1492,0),0))</f>
        <v>185200</v>
      </c>
      <c r="H116" s="361">
        <f t="shared" ca="1" si="48"/>
        <v>0</v>
      </c>
      <c r="I116" s="361">
        <f t="shared" ca="1" si="49"/>
        <v>370400</v>
      </c>
      <c r="J116" s="361">
        <f t="shared" ca="1" si="50"/>
        <v>0</v>
      </c>
      <c r="K116" s="362">
        <f t="shared" ca="1" si="51"/>
        <v>370400</v>
      </c>
    </row>
    <row r="117" spans="2:11">
      <c r="B117" s="714">
        <v>2</v>
      </c>
      <c r="C117" s="715" t="s">
        <v>30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Bh</v>
      </c>
      <c r="F117" s="501">
        <f>F115*1</f>
        <v>2</v>
      </c>
      <c r="G117" s="360">
        <f ca="1">IF(ISERROR(OFFSET('HARGA SATUAN'!$I$6,MATCH(RAB!C117,'HARGA SATUAN'!$C$7:$C$1492,0),0)),0,OFFSET('HARGA SATUAN'!$I$6,MATCH(RAB!C117,'HARGA SATUAN'!$C$7:$C$1492,0),0))</f>
        <v>47459</v>
      </c>
      <c r="H117" s="361">
        <f t="shared" ca="1" si="48"/>
        <v>0</v>
      </c>
      <c r="I117" s="361">
        <f t="shared" ca="1" si="49"/>
        <v>94918</v>
      </c>
      <c r="J117" s="361">
        <f t="shared" ca="1" si="50"/>
        <v>0</v>
      </c>
      <c r="K117" s="362">
        <f t="shared" ca="1" si="51"/>
        <v>94918</v>
      </c>
    </row>
    <row r="118" spans="2:11">
      <c r="B118" s="714">
        <v>3</v>
      </c>
      <c r="C118" s="715" t="s">
        <v>31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Bh</v>
      </c>
      <c r="F118" s="501">
        <f>F115*1</f>
        <v>2</v>
      </c>
      <c r="G118" s="360">
        <f ca="1">IF(ISERROR(OFFSET('HARGA SATUAN'!$I$6,MATCH(RAB!C118,'HARGA SATUAN'!$C$7:$C$1492,0),0)),0,OFFSET('HARGA SATUAN'!$I$6,MATCH(RAB!C118,'HARGA SATUAN'!$C$7:$C$1492,0),0))</f>
        <v>4880</v>
      </c>
      <c r="H118" s="361">
        <f t="shared" ca="1" si="48"/>
        <v>0</v>
      </c>
      <c r="I118" s="361">
        <f t="shared" ca="1" si="49"/>
        <v>9760</v>
      </c>
      <c r="J118" s="361">
        <f t="shared" ca="1" si="50"/>
        <v>0</v>
      </c>
      <c r="K118" s="362">
        <f t="shared" ca="1" si="51"/>
        <v>9760</v>
      </c>
    </row>
    <row r="119" spans="2:11">
      <c r="B119" s="714">
        <v>4</v>
      </c>
      <c r="C119" s="715" t="s">
        <v>32</v>
      </c>
      <c r="D119" s="358" t="str">
        <f ca="1">IF(ISERROR(OFFSET('HARGA SATUAN'!$D$6,MATCH(RAB!C119,'HARGA SATUAN'!$C$7:$C$1492,0),0)),"",OFFSET('HARGA SATUAN'!$D$6,MATCH(RAB!C119,'HARGA SATUAN'!$C$7:$C$1492,0),0))</f>
        <v>HDW</v>
      </c>
      <c r="E119" s="359" t="str">
        <f ca="1">IF(B119="+","Unit",IF(ISERROR(OFFSET('HARGA SATUAN'!$E$6,MATCH(RAB!C119,'HARGA SATUAN'!$C$7:$C$1492,0),0)),"",OFFSET('HARGA SATUAN'!$E$6,MATCH(RAB!C119,'HARGA SATUAN'!$C$7:$C$1492,0),0)))</f>
        <v>Mtr</v>
      </c>
      <c r="F119" s="501">
        <f>F115*10</f>
        <v>20</v>
      </c>
      <c r="G119" s="360">
        <f ca="1">IF(ISERROR(OFFSET('HARGA SATUAN'!$I$6,MATCH(RAB!C119,'HARGA SATUAN'!$C$7:$C$1492,0),0)),0,OFFSET('HARGA SATUAN'!$I$6,MATCH(RAB!C119,'HARGA SATUAN'!$C$7:$C$1492,0),0))</f>
        <v>30000</v>
      </c>
      <c r="H119" s="361">
        <f t="shared" ca="1" si="48"/>
        <v>0</v>
      </c>
      <c r="I119" s="361">
        <f t="shared" ca="1" si="49"/>
        <v>600000</v>
      </c>
      <c r="J119" s="361">
        <f t="shared" ca="1" si="50"/>
        <v>0</v>
      </c>
      <c r="K119" s="362">
        <f t="shared" ca="1" si="51"/>
        <v>600000</v>
      </c>
    </row>
    <row r="120" spans="2:11">
      <c r="B120" s="714">
        <v>5</v>
      </c>
      <c r="C120" s="715" t="s">
        <v>33</v>
      </c>
      <c r="D120" s="358" t="str">
        <f ca="1">IF(ISERROR(OFFSET('HARGA SATUAN'!$D$6,MATCH(RAB!C120,'HARGA SATUAN'!$C$7:$C$1492,0),0)),"",OFFSET('HARGA SATUAN'!$D$6,MATCH(RAB!C120,'HARGA SATUAN'!$C$7:$C$1492,0),0))</f>
        <v>HDW</v>
      </c>
      <c r="E120" s="359" t="str">
        <f ca="1">IF(B120="+","Unit",IF(ISERROR(OFFSET('HARGA SATUAN'!$E$6,MATCH(RAB!C120,'HARGA SATUAN'!$C$7:$C$1492,0),0)),"",OFFSET('HARGA SATUAN'!$E$6,MATCH(RAB!C120,'HARGA SATUAN'!$C$7:$C$1492,0),0)))</f>
        <v>Bh</v>
      </c>
      <c r="F120" s="501">
        <f>F115*2</f>
        <v>4</v>
      </c>
      <c r="G120" s="360">
        <f ca="1">IF(ISERROR(OFFSET('HARGA SATUAN'!$I$6,MATCH(RAB!C120,'HARGA SATUAN'!$C$7:$C$1492,0),0)),0,OFFSET('HARGA SATUAN'!$I$6,MATCH(RAB!C120,'HARGA SATUAN'!$C$7:$C$1492,0),0))</f>
        <v>9500</v>
      </c>
      <c r="H120" s="361">
        <f t="shared" ca="1" si="48"/>
        <v>0</v>
      </c>
      <c r="I120" s="361">
        <f t="shared" ca="1" si="49"/>
        <v>38000</v>
      </c>
      <c r="J120" s="361">
        <f t="shared" ca="1" si="50"/>
        <v>0</v>
      </c>
      <c r="K120" s="362">
        <f t="shared" ca="1" si="51"/>
        <v>38000</v>
      </c>
    </row>
    <row r="121" spans="2:11">
      <c r="B121" s="714">
        <v>6</v>
      </c>
      <c r="C121" s="715" t="s">
        <v>34</v>
      </c>
      <c r="D121" s="358" t="str">
        <f ca="1">IF(ISERROR(OFFSET('HARGA SATUAN'!$D$6,MATCH(RAB!C121,'HARGA SATUAN'!$C$7:$C$1492,0),0)),"",OFFSET('HARGA SATUAN'!$D$6,MATCH(RAB!C121,'HARGA SATUAN'!$C$7:$C$1492,0),0))</f>
        <v>HDW</v>
      </c>
      <c r="E121" s="359" t="str">
        <f ca="1">IF(B121="+","Unit",IF(ISERROR(OFFSET('HARGA SATUAN'!$E$6,MATCH(RAB!C121,'HARGA SATUAN'!$C$7:$C$1492,0),0)),"",OFFSET('HARGA SATUAN'!$E$6,MATCH(RAB!C121,'HARGA SATUAN'!$C$7:$C$1492,0),0)))</f>
        <v>Bh</v>
      </c>
      <c r="F121" s="501">
        <f>F115*5.5</f>
        <v>11</v>
      </c>
      <c r="G121" s="360">
        <f ca="1">IF(ISERROR(OFFSET('HARGA SATUAN'!$I$6,MATCH(RAB!C121,'HARGA SATUAN'!$C$7:$C$1492,0),0)),0,OFFSET('HARGA SATUAN'!$I$6,MATCH(RAB!C121,'HARGA SATUAN'!$C$7:$C$1492,0),0))</f>
        <v>6100</v>
      </c>
      <c r="H121" s="361">
        <f t="shared" ca="1" si="48"/>
        <v>0</v>
      </c>
      <c r="I121" s="361">
        <f t="shared" ca="1" si="49"/>
        <v>67100</v>
      </c>
      <c r="J121" s="361">
        <f t="shared" ca="1" si="50"/>
        <v>0</v>
      </c>
      <c r="K121" s="362">
        <f t="shared" ca="1" si="51"/>
        <v>67100</v>
      </c>
    </row>
    <row r="122" spans="2:11">
      <c r="B122" s="714">
        <v>7</v>
      </c>
      <c r="C122" s="715" t="s">
        <v>35</v>
      </c>
      <c r="D122" s="358" t="str">
        <f ca="1">IF(ISERROR(OFFSET('HARGA SATUAN'!$D$6,MATCH(RAB!C122,'HARGA SATUAN'!$C$7:$C$1492,0),0)),"",OFFSET('HARGA SATUAN'!$D$6,MATCH(RAB!C122,'HARGA SATUAN'!$C$7:$C$1492,0),0))</f>
        <v>HDW</v>
      </c>
      <c r="E122" s="359" t="str">
        <f ca="1">IF(B122="+","Unit",IF(ISERROR(OFFSET('HARGA SATUAN'!$E$6,MATCH(RAB!C122,'HARGA SATUAN'!$C$7:$C$1492,0),0)),"",OFFSET('HARGA SATUAN'!$E$6,MATCH(RAB!C122,'HARGA SATUAN'!$C$7:$C$1492,0),0)))</f>
        <v>Bh</v>
      </c>
      <c r="F122" s="501">
        <f>F115*6</f>
        <v>12</v>
      </c>
      <c r="G122" s="360">
        <f ca="1">IF(ISERROR(OFFSET('HARGA SATUAN'!$I$6,MATCH(RAB!C122,'HARGA SATUAN'!$C$7:$C$1492,0),0)),0,OFFSET('HARGA SATUAN'!$I$6,MATCH(RAB!C122,'HARGA SATUAN'!$C$7:$C$1492,0),0))</f>
        <v>2300</v>
      </c>
      <c r="H122" s="361">
        <f t="shared" ca="1" si="48"/>
        <v>0</v>
      </c>
      <c r="I122" s="361">
        <f t="shared" ca="1" si="49"/>
        <v>27600</v>
      </c>
      <c r="J122" s="361">
        <f t="shared" ca="1" si="50"/>
        <v>0</v>
      </c>
      <c r="K122" s="362">
        <f t="shared" ca="1" si="51"/>
        <v>27600</v>
      </c>
    </row>
    <row r="123" spans="2:11">
      <c r="B123" s="714">
        <v>8</v>
      </c>
      <c r="C123" s="715" t="s">
        <v>1642</v>
      </c>
      <c r="D123" s="358" t="str">
        <f ca="1">IF(ISERROR(OFFSET('HARGA SATUAN'!$D$6,MATCH(RAB!C123,'HARGA SATUAN'!$C$7:$C$1492,0),0)),"",OFFSET('HARGA SATUAN'!$D$6,MATCH(RAB!C123,'HARGA SATUAN'!$C$7:$C$1492,0),0))</f>
        <v>HDW</v>
      </c>
      <c r="E123" s="359" t="str">
        <f ca="1">IF(B123="+","Unit",IF(ISERROR(OFFSET('HARGA SATUAN'!$E$6,MATCH(RAB!C123,'HARGA SATUAN'!$C$7:$C$1492,0),0)),"",OFFSET('HARGA SATUAN'!$E$6,MATCH(RAB!C123,'HARGA SATUAN'!$C$7:$C$1492,0),0)))</f>
        <v>Mtr</v>
      </c>
      <c r="F123" s="501">
        <f>F115*4.8</f>
        <v>9.6</v>
      </c>
      <c r="G123" s="360">
        <f ca="1">IF(ISERROR(OFFSET('HARGA SATUAN'!$I$6,MATCH(RAB!C123,'HARGA SATUAN'!$C$7:$C$1492,0),0)),0,OFFSET('HARGA SATUAN'!$I$6,MATCH(RAB!C123,'HARGA SATUAN'!$C$7:$C$1492,0),0))</f>
        <v>23310</v>
      </c>
      <c r="H123" s="361">
        <f t="shared" ca="1" si="48"/>
        <v>0</v>
      </c>
      <c r="I123" s="361">
        <f t="shared" ca="1" si="49"/>
        <v>223776</v>
      </c>
      <c r="J123" s="361">
        <f t="shared" ca="1" si="50"/>
        <v>0</v>
      </c>
      <c r="K123" s="362">
        <f t="shared" ca="1" si="51"/>
        <v>223776</v>
      </c>
    </row>
    <row r="124" spans="2:11">
      <c r="B124" s="714">
        <v>9</v>
      </c>
      <c r="C124" s="715" t="s">
        <v>736</v>
      </c>
      <c r="D124" s="358" t="str">
        <f ca="1">IF(ISERROR(OFFSET('HARGA SATUAN'!$D$6,MATCH(RAB!C124,'HARGA SATUAN'!$C$7:$C$1492,0),0)),"",OFFSET('HARGA SATUAN'!$D$6,MATCH(RAB!C124,'HARGA SATUAN'!$C$7:$C$1492,0),0))</f>
        <v>JASA</v>
      </c>
      <c r="E124" s="359" t="str">
        <f ca="1">IF(B124="+","Unit",IF(ISERROR(OFFSET('HARGA SATUAN'!$E$6,MATCH(RAB!C124,'HARGA SATUAN'!$C$7:$C$1492,0),0)),"",OFFSET('HARGA SATUAN'!$E$6,MATCH(RAB!C124,'HARGA SATUAN'!$C$7:$C$1492,0),0)))</f>
        <v>Unit</v>
      </c>
      <c r="F124" s="501">
        <f>F115*1</f>
        <v>2</v>
      </c>
      <c r="G124" s="360">
        <f ca="1">IF(ISERROR(OFFSET('HARGA SATUAN'!$I$6,MATCH(RAB!C124,'HARGA SATUAN'!$C$7:$C$1492,0),0)),0,OFFSET('HARGA SATUAN'!$I$6,MATCH(RAB!C124,'HARGA SATUAN'!$C$7:$C$1492,0),0))</f>
        <v>65400</v>
      </c>
      <c r="H124" s="361">
        <f t="shared" ca="1" si="48"/>
        <v>0</v>
      </c>
      <c r="I124" s="361">
        <f t="shared" ca="1" si="49"/>
        <v>0</v>
      </c>
      <c r="J124" s="361">
        <f t="shared" ca="1" si="50"/>
        <v>130800</v>
      </c>
      <c r="K124" s="362">
        <f t="shared" ca="1" si="51"/>
        <v>130800</v>
      </c>
    </row>
    <row r="125" spans="2:11">
      <c r="B125" s="494"/>
      <c r="C125" s="497"/>
      <c r="D125" s="358" t="str">
        <f ca="1">IF(ISERROR(OFFSET('HARGA SATUAN'!$D$6,MATCH(RAB!C125,'HARGA SATUAN'!$C$7:$C$1492,0),0)),"",OFFSET('HARGA SATUAN'!$D$6,MATCH(RAB!C125,'HARGA SATUAN'!$C$7:$C$1492,0),0))</f>
        <v/>
      </c>
      <c r="E125" s="359" t="str">
        <f ca="1">IF(B125="+","Unit",IF(ISERROR(OFFSET('HARGA SATUAN'!$E$6,MATCH(RAB!C125,'HARGA SATUAN'!$C$7:$C$1492,0),0)),"",OFFSET('HARGA SATUAN'!$E$6,MATCH(RAB!C125,'HARGA SATUAN'!$C$7:$C$1492,0),0)))</f>
        <v/>
      </c>
      <c r="F125" s="501"/>
      <c r="G125" s="360">
        <f ca="1">IF(ISERROR(OFFSET('HARGA SATUAN'!$I$6,MATCH(RAB!C125,'HARGA SATUAN'!$C$7:$C$1492,0),0)),0,OFFSET('HARGA SATUAN'!$I$6,MATCH(RAB!C125,'HARGA SATUAN'!$C$7:$C$1492,0),0))</f>
        <v>0</v>
      </c>
      <c r="H125" s="361">
        <f t="shared" ca="1" si="48"/>
        <v>0</v>
      </c>
      <c r="I125" s="361">
        <f t="shared" ca="1" si="49"/>
        <v>0</v>
      </c>
      <c r="J125" s="361">
        <f t="shared" ca="1" si="50"/>
        <v>0</v>
      </c>
      <c r="K125" s="362">
        <f t="shared" ca="1" si="51"/>
        <v>0</v>
      </c>
    </row>
    <row r="126" spans="2:11">
      <c r="B126" s="495" t="s">
        <v>1615</v>
      </c>
      <c r="C126" s="500" t="s">
        <v>1619</v>
      </c>
      <c r="D126" s="358" t="str">
        <f ca="1">IF(ISERROR(OFFSET('HARGA SATUAN'!$D$6,MATCH(RAB!C126,'HARGA SATUAN'!$C$7:$C$1492,0),0)),"",OFFSET('HARGA SATUAN'!$D$6,MATCH(RAB!C126,'HARGA SATUAN'!$C$7:$C$1492,0),0))</f>
        <v/>
      </c>
      <c r="E126" s="359" t="str">
        <f ca="1">IF(B126="+","Unit",IF(ISERROR(OFFSET('HARGA SATUAN'!$E$6,MATCH(RAB!C126,'HARGA SATUAN'!$C$7:$C$1492,0),0)),"",OFFSET('HARGA SATUAN'!$E$6,MATCH(RAB!C126,'HARGA SATUAN'!$C$7:$C$1492,0),0)))</f>
        <v/>
      </c>
      <c r="F126" s="501"/>
      <c r="G126" s="360">
        <f ca="1">IF(ISERROR(OFFSET('HARGA SATUAN'!$I$6,MATCH(RAB!C126,'HARGA SATUAN'!$C$7:$C$1492,0),0)),0,OFFSET('HARGA SATUAN'!$I$6,MATCH(RAB!C126,'HARGA SATUAN'!$C$7:$C$1492,0),0))</f>
        <v>0</v>
      </c>
      <c r="H126" s="361">
        <f t="shared" ca="1" si="48"/>
        <v>0</v>
      </c>
      <c r="I126" s="361">
        <f t="shared" ca="1" si="49"/>
        <v>0</v>
      </c>
      <c r="J126" s="361">
        <f t="shared" ca="1" si="50"/>
        <v>0</v>
      </c>
      <c r="K126" s="362">
        <f t="shared" ca="1" si="51"/>
        <v>0</v>
      </c>
    </row>
    <row r="127" spans="2:11">
      <c r="B127" s="495"/>
      <c r="C127" s="496"/>
      <c r="D127" s="358" t="str">
        <f ca="1">IF(ISERROR(OFFSET('HARGA SATUAN'!$D$6,MATCH(RAB!C127,'HARGA SATUAN'!$C$7:$C$1492,0),0)),"",OFFSET('HARGA SATUAN'!$D$6,MATCH(RAB!C127,'HARGA SATUAN'!$C$7:$C$1492,0),0))</f>
        <v/>
      </c>
      <c r="E127" s="359" t="str">
        <f ca="1">IF(B127="+","Unit",IF(ISERROR(OFFSET('HARGA SATUAN'!$E$6,MATCH(RAB!C127,'HARGA SATUAN'!$C$7:$C$1492,0),0)),"",OFFSET('HARGA SATUAN'!$E$6,MATCH(RAB!C127,'HARGA SATUAN'!$C$7:$C$1492,0),0)))</f>
        <v/>
      </c>
      <c r="F127" s="501"/>
      <c r="G127" s="360">
        <f ca="1">IF(ISERROR(OFFSET('HARGA SATUAN'!$I$6,MATCH(RAB!C127,'HARGA SATUAN'!$C$7:$C$1492,0),0)),0,OFFSET('HARGA SATUAN'!$I$6,MATCH(RAB!C127,'HARGA SATUAN'!$C$7:$C$1492,0),0))</f>
        <v>0</v>
      </c>
      <c r="H127" s="361">
        <f t="shared" ca="1" si="48"/>
        <v>0</v>
      </c>
      <c r="I127" s="361">
        <f t="shared" ca="1" si="49"/>
        <v>0</v>
      </c>
      <c r="J127" s="361">
        <f t="shared" ca="1" si="50"/>
        <v>0</v>
      </c>
      <c r="K127" s="362">
        <f t="shared" ca="1" si="51"/>
        <v>0</v>
      </c>
    </row>
    <row r="128" spans="2:11">
      <c r="B128" s="495" t="s">
        <v>1035</v>
      </c>
      <c r="C128" s="496" t="s">
        <v>1623</v>
      </c>
      <c r="D128" s="358" t="str">
        <f ca="1">IF(ISERROR(OFFSET('HARGA SATUAN'!$D$6,MATCH(RAB!C128,'HARGA SATUAN'!$C$7:$C$1492,0),0)),"",OFFSET('HARGA SATUAN'!$D$6,MATCH(RAB!C128,'HARGA SATUAN'!$C$7:$C$1492,0),0))</f>
        <v/>
      </c>
      <c r="E128" s="359" t="str">
        <f ca="1">IF(B128="+","Unit",IF(ISERROR(OFFSET('HARGA SATUAN'!$E$6,MATCH(RAB!C128,'HARGA SATUAN'!$C$7:$C$1492,0),0)),"",OFFSET('HARGA SATUAN'!$E$6,MATCH(RAB!C128,'HARGA SATUAN'!$C$7:$C$1492,0),0)))</f>
        <v>Unit</v>
      </c>
      <c r="F128" s="509">
        <v>1</v>
      </c>
      <c r="G128" s="360">
        <f ca="1">IF(ISERROR(OFFSET('HARGA SATUAN'!$I$6,MATCH(RAB!C128,'HARGA SATUAN'!$C$7:$C$1492,0),0)),0,OFFSET('HARGA SATUAN'!$I$6,MATCH(RAB!C128,'HARGA SATUAN'!$C$7:$C$1492,0),0))</f>
        <v>0</v>
      </c>
      <c r="H128" s="361">
        <f t="shared" ref="H128:H132" ca="1" si="52">IF(OR(D128="MDU",D128="MDU-KD"),(IF($O$3="RAB NON MDU","PLN KD",G128*F128)),0)</f>
        <v>0</v>
      </c>
      <c r="I128" s="361">
        <f t="shared" ref="I128:I132" ca="1" si="53">IF(D128="HDW",G128*F128,0)</f>
        <v>0</v>
      </c>
      <c r="J128" s="361">
        <f t="shared" ref="J128:J132" ca="1" si="54">IF(D128="JASA",G128*F128,0)</f>
        <v>0</v>
      </c>
      <c r="K128" s="362">
        <f t="shared" ref="K128:K132" ca="1" si="55">SUM(H128:J128)</f>
        <v>0</v>
      </c>
    </row>
    <row r="129" spans="2:11" ht="30">
      <c r="B129" s="507">
        <v>1</v>
      </c>
      <c r="C129" s="109" t="s">
        <v>1141</v>
      </c>
      <c r="D129" s="358" t="str">
        <f ca="1">IF(ISERROR(OFFSET('HARGA SATUAN'!$D$6,MATCH(RAB!C129,'HARGA SATUAN'!$C$7:$C$1492,0),0)),"",OFFSET('HARGA SATUAN'!$D$6,MATCH(RAB!C129,'HARGA SATUAN'!$C$7:$C$1492,0),0))</f>
        <v>MDU-KD</v>
      </c>
      <c r="E129" s="359" t="str">
        <f ca="1">IF(B129="+","Unit",IF(ISERROR(OFFSET('HARGA SATUAN'!$E$6,MATCH(RAB!C129,'HARGA SATUAN'!$C$7:$C$1492,0),0)),"",OFFSET('HARGA SATUAN'!$E$6,MATCH(RAB!C129,'HARGA SATUAN'!$C$7:$C$1492,0),0)))</f>
        <v>Bh</v>
      </c>
      <c r="F129" s="509">
        <f>F128*1</f>
        <v>1</v>
      </c>
      <c r="G129" s="360">
        <f ca="1">IF(ISERROR(OFFSET('HARGA SATUAN'!$I$6,MATCH(RAB!C129,'HARGA SATUAN'!$C$7:$C$1492,0),0)),0,OFFSET('HARGA SATUAN'!$I$6,MATCH(RAB!C129,'HARGA SATUAN'!$C$7:$C$1492,0),0))</f>
        <v>1740750</v>
      </c>
      <c r="H129" s="361">
        <f t="shared" ca="1" si="52"/>
        <v>1740750</v>
      </c>
      <c r="I129" s="361">
        <f t="shared" ca="1" si="53"/>
        <v>0</v>
      </c>
      <c r="J129" s="361">
        <f t="shared" ca="1" si="54"/>
        <v>0</v>
      </c>
      <c r="K129" s="362">
        <f t="shared" ca="1" si="55"/>
        <v>1740750</v>
      </c>
    </row>
    <row r="130" spans="2:11">
      <c r="B130" s="507">
        <v>2</v>
      </c>
      <c r="C130" s="508" t="s">
        <v>493</v>
      </c>
      <c r="D130" s="358" t="str">
        <f ca="1">IF(ISERROR(OFFSET('HARGA SATUAN'!$D$6,MATCH(RAB!C130,'HARGA SATUAN'!$C$7:$C$1492,0),0)),"",OFFSET('HARGA SATUAN'!$D$6,MATCH(RAB!C130,'HARGA SATUAN'!$C$7:$C$1492,0),0))</f>
        <v>MDU-KD</v>
      </c>
      <c r="E130" s="359" t="str">
        <f ca="1">IF(B130="+","Unit",IF(ISERROR(OFFSET('HARGA SATUAN'!$E$6,MATCH(RAB!C130,'HARGA SATUAN'!$C$7:$C$1492,0),0)),"",OFFSET('HARGA SATUAN'!$E$6,MATCH(RAB!C130,'HARGA SATUAN'!$C$7:$C$1492,0),0)))</f>
        <v>Bh</v>
      </c>
      <c r="F130" s="509">
        <f>F128*1</f>
        <v>1</v>
      </c>
      <c r="G130" s="360">
        <f ca="1">IF(ISERROR(OFFSET('HARGA SATUAN'!$I$6,MATCH(RAB!C130,'HARGA SATUAN'!$C$7:$C$1492,0),0)),0,OFFSET('HARGA SATUAN'!$I$6,MATCH(RAB!C130,'HARGA SATUAN'!$C$7:$C$1492,0),0))</f>
        <v>39000</v>
      </c>
      <c r="H130" s="361">
        <f t="shared" ca="1" si="52"/>
        <v>39000</v>
      </c>
      <c r="I130" s="361">
        <f t="shared" ca="1" si="53"/>
        <v>0</v>
      </c>
      <c r="J130" s="361">
        <f t="shared" ca="1" si="54"/>
        <v>0</v>
      </c>
      <c r="K130" s="362">
        <f t="shared" ca="1" si="55"/>
        <v>39000</v>
      </c>
    </row>
    <row r="131" spans="2:11">
      <c r="B131" s="507">
        <v>3</v>
      </c>
      <c r="C131" s="508" t="s">
        <v>74</v>
      </c>
      <c r="D131" s="358" t="str">
        <f ca="1">IF(ISERROR(OFFSET('HARGA SATUAN'!$D$6,MATCH(RAB!C131,'HARGA SATUAN'!$C$7:$C$1492,0),0)),"",OFFSET('HARGA SATUAN'!$D$6,MATCH(RAB!C131,'HARGA SATUAN'!$C$7:$C$1492,0),0))</f>
        <v>MDU-KD</v>
      </c>
      <c r="E131" s="359" t="str">
        <f ca="1">IF(B131="+","Unit",IF(ISERROR(OFFSET('HARGA SATUAN'!$E$6,MATCH(RAB!C131,'HARGA SATUAN'!$C$7:$C$1492,0),0)),"",OFFSET('HARGA SATUAN'!$E$6,MATCH(RAB!C131,'HARGA SATUAN'!$C$7:$C$1492,0),0)))</f>
        <v>Mtr</v>
      </c>
      <c r="F131" s="509">
        <f>F128*35</f>
        <v>35</v>
      </c>
      <c r="G131" s="360">
        <f ca="1">IF(ISERROR(OFFSET('HARGA SATUAN'!$I$6,MATCH(RAB!C131,'HARGA SATUAN'!$C$7:$C$1492,0),0)),0,OFFSET('HARGA SATUAN'!$I$6,MATCH(RAB!C131,'HARGA SATUAN'!$C$7:$C$1492,0),0))</f>
        <v>6600</v>
      </c>
      <c r="H131" s="361">
        <f t="shared" ca="1" si="52"/>
        <v>231000</v>
      </c>
      <c r="I131" s="361">
        <f t="shared" ca="1" si="53"/>
        <v>0</v>
      </c>
      <c r="J131" s="361">
        <f t="shared" ca="1" si="54"/>
        <v>0</v>
      </c>
      <c r="K131" s="362">
        <f t="shared" ca="1" si="55"/>
        <v>231000</v>
      </c>
    </row>
    <row r="132" spans="2:11">
      <c r="B132" s="507">
        <v>4</v>
      </c>
      <c r="C132" s="508" t="s">
        <v>798</v>
      </c>
      <c r="D132" s="358" t="str">
        <f ca="1">IF(ISERROR(OFFSET('HARGA SATUAN'!$D$6,MATCH(RAB!C132,'HARGA SATUAN'!$C$7:$C$1492,0),0)),"",OFFSET('HARGA SATUAN'!$D$6,MATCH(RAB!C132,'HARGA SATUAN'!$C$7:$C$1492,0),0))</f>
        <v>JASA</v>
      </c>
      <c r="E132" s="359" t="str">
        <f ca="1">IF(B132="+","Unit",IF(ISERROR(OFFSET('HARGA SATUAN'!$E$6,MATCH(RAB!C132,'HARGA SATUAN'!$C$7:$C$1492,0),0)),"",OFFSET('HARGA SATUAN'!$E$6,MATCH(RAB!C132,'HARGA SATUAN'!$C$7:$C$1492,0),0)))</f>
        <v>Unit</v>
      </c>
      <c r="F132" s="509">
        <f>F128*1</f>
        <v>1</v>
      </c>
      <c r="G132" s="360">
        <f ca="1">IF(ISERROR(OFFSET('HARGA SATUAN'!$I$6,MATCH(RAB!C132,'HARGA SATUAN'!$C$7:$C$1492,0),0)),0,OFFSET('HARGA SATUAN'!$I$6,MATCH(RAB!C132,'HARGA SATUAN'!$C$7:$C$1492,0),0))</f>
        <v>54400</v>
      </c>
      <c r="H132" s="361">
        <f t="shared" ca="1" si="52"/>
        <v>0</v>
      </c>
      <c r="I132" s="361">
        <f t="shared" ca="1" si="53"/>
        <v>0</v>
      </c>
      <c r="J132" s="361">
        <f t="shared" ca="1" si="54"/>
        <v>54400</v>
      </c>
      <c r="K132" s="362">
        <f t="shared" ca="1" si="55"/>
        <v>54400</v>
      </c>
    </row>
    <row r="133" spans="2:11">
      <c r="B133" s="374"/>
      <c r="C133" s="502"/>
      <c r="D133" s="358" t="str">
        <f ca="1">IF(ISERROR(OFFSET('HARGA SATUAN'!$D$6,MATCH(RAB!C133,'HARGA SATUAN'!$C$7:$C$1492,0),0)),"",OFFSET('HARGA SATUAN'!$D$6,MATCH(RAB!C133,'HARGA SATUAN'!$C$7:$C$1492,0),0))</f>
        <v/>
      </c>
      <c r="E133" s="359" t="str">
        <f ca="1">IF(B133="+","Unit",IF(ISERROR(OFFSET('HARGA SATUAN'!$E$6,MATCH(RAB!C133,'HARGA SATUAN'!$C$7:$C$1492,0),0)),"",OFFSET('HARGA SATUAN'!$E$6,MATCH(RAB!C133,'HARGA SATUAN'!$C$7:$C$1492,0),0)))</f>
        <v/>
      </c>
      <c r="F133" s="368"/>
      <c r="G133" s="360">
        <f ca="1">IF(ISERROR(OFFSET('HARGA SATUAN'!$I$6,MATCH(RAB!C133,'HARGA SATUAN'!$C$7:$C$1492,0),0)),0,OFFSET('HARGA SATUAN'!$I$6,MATCH(RAB!C133,'HARGA SATUAN'!$C$7:$C$1492,0),0))</f>
        <v>0</v>
      </c>
      <c r="H133" s="361">
        <f t="shared" ref="H133:H145" ca="1" si="56">IF(OR(D133="MDU",D133="MDU-KD"),(IF($O$3="RAB NON MDU","PLN KD",G133*F133)),0)</f>
        <v>0</v>
      </c>
      <c r="I133" s="361">
        <f t="shared" ref="I133:I145" ca="1" si="57">IF(D133="HDW",G133*F133,0)</f>
        <v>0</v>
      </c>
      <c r="J133" s="361">
        <f t="shared" ref="J133:J145" ca="1" si="58">IF(D133="JASA",G133*F133,0)</f>
        <v>0</v>
      </c>
      <c r="K133" s="362">
        <f t="shared" ref="K133:K145" ca="1" si="59">SUM(H133:J133)</f>
        <v>0</v>
      </c>
    </row>
    <row r="134" spans="2:11">
      <c r="B134" s="507" t="s">
        <v>1035</v>
      </c>
      <c r="C134" s="508" t="s">
        <v>1622</v>
      </c>
      <c r="D134" s="358" t="str">
        <f ca="1">IF(ISERROR(OFFSET('HARGA SATUAN'!$D$6,MATCH(RAB!C134,'HARGA SATUAN'!$C$7:$C$1492,0),0)),"",OFFSET('HARGA SATUAN'!$D$6,MATCH(RAB!C134,'HARGA SATUAN'!$C$7:$C$1492,0),0))</f>
        <v/>
      </c>
      <c r="E134" s="359" t="str">
        <f ca="1">IF(B134="+","Unit",IF(ISERROR(OFFSET('HARGA SATUAN'!$E$6,MATCH(RAB!C134,'HARGA SATUAN'!$C$7:$C$1492,0),0)),"",OFFSET('HARGA SATUAN'!$E$6,MATCH(RAB!C134,'HARGA SATUAN'!$C$7:$C$1492,0),0)))</f>
        <v>Unit</v>
      </c>
      <c r="F134" s="509">
        <v>1</v>
      </c>
      <c r="G134" s="360">
        <f ca="1">IF(ISERROR(OFFSET('HARGA SATUAN'!$I$6,MATCH(RAB!C134,'HARGA SATUAN'!$C$7:$C$1492,0),0)),0,OFFSET('HARGA SATUAN'!$I$6,MATCH(RAB!C134,'HARGA SATUAN'!$C$7:$C$1492,0),0))</f>
        <v>0</v>
      </c>
      <c r="H134" s="361">
        <f t="shared" ca="1" si="56"/>
        <v>0</v>
      </c>
      <c r="I134" s="361">
        <f t="shared" ca="1" si="57"/>
        <v>0</v>
      </c>
      <c r="J134" s="361">
        <f t="shared" ca="1" si="58"/>
        <v>0</v>
      </c>
      <c r="K134" s="362">
        <f t="shared" ca="1" si="59"/>
        <v>0</v>
      </c>
    </row>
    <row r="135" spans="2:11">
      <c r="B135" s="507">
        <v>1</v>
      </c>
      <c r="C135" s="508" t="s">
        <v>115</v>
      </c>
      <c r="D135" s="358" t="str">
        <f ca="1">IF(ISERROR(OFFSET('HARGA SATUAN'!$D$6,MATCH(RAB!C135,'HARGA SATUAN'!$C$7:$C$1492,0),0)),"",OFFSET('HARGA SATUAN'!$D$6,MATCH(RAB!C135,'HARGA SATUAN'!$C$7:$C$1492,0),0))</f>
        <v>HDW</v>
      </c>
      <c r="E135" s="359" t="str">
        <f ca="1">IF(B135="+","Unit",IF(ISERROR(OFFSET('HARGA SATUAN'!$E$6,MATCH(RAB!C135,'HARGA SATUAN'!$C$7:$C$1492,0),0)),"",OFFSET('HARGA SATUAN'!$E$6,MATCH(RAB!C135,'HARGA SATUAN'!$C$7:$C$1492,0),0)))</f>
        <v>Set</v>
      </c>
      <c r="F135" s="509">
        <f>F134*1</f>
        <v>1</v>
      </c>
      <c r="G135" s="360">
        <f ca="1">IF(ISERROR(OFFSET('HARGA SATUAN'!$I$6,MATCH(RAB!C135,'HARGA SATUAN'!$C$7:$C$1492,0),0)),0,OFFSET('HARGA SATUAN'!$I$6,MATCH(RAB!C135,'HARGA SATUAN'!$C$7:$C$1492,0),0))</f>
        <v>11500</v>
      </c>
      <c r="H135" s="361">
        <f t="shared" ca="1" si="56"/>
        <v>0</v>
      </c>
      <c r="I135" s="361">
        <f t="shared" ca="1" si="57"/>
        <v>11500</v>
      </c>
      <c r="J135" s="361">
        <f t="shared" ca="1" si="58"/>
        <v>0</v>
      </c>
      <c r="K135" s="362">
        <f t="shared" ca="1" si="59"/>
        <v>11500</v>
      </c>
    </row>
    <row r="136" spans="2:11">
      <c r="B136" s="507">
        <v>2</v>
      </c>
      <c r="C136" s="508" t="s">
        <v>145</v>
      </c>
      <c r="D136" s="358" t="str">
        <f ca="1">IF(ISERROR(OFFSET('HARGA SATUAN'!$D$6,MATCH(RAB!C136,'HARGA SATUAN'!$C$7:$C$1492,0),0)),"",OFFSET('HARGA SATUAN'!$D$6,MATCH(RAB!C136,'HARGA SATUAN'!$C$7:$C$1492,0),0))</f>
        <v>HDW</v>
      </c>
      <c r="E136" s="359" t="str">
        <f ca="1">IF(B136="+","Unit",IF(ISERROR(OFFSET('HARGA SATUAN'!$E$6,MATCH(RAB!C136,'HARGA SATUAN'!$C$7:$C$1492,0),0)),"",OFFSET('HARGA SATUAN'!$E$6,MATCH(RAB!C136,'HARGA SATUAN'!$C$7:$C$1492,0),0)))</f>
        <v>Set</v>
      </c>
      <c r="F136" s="509">
        <f>F134*1</f>
        <v>1</v>
      </c>
      <c r="G136" s="360">
        <f ca="1">IF(ISERROR(OFFSET('HARGA SATUAN'!$I$6,MATCH(RAB!C136,'HARGA SATUAN'!$C$7:$C$1492,0),0)),0,OFFSET('HARGA SATUAN'!$I$6,MATCH(RAB!C136,'HARGA SATUAN'!$C$7:$C$1492,0),0))</f>
        <v>6200</v>
      </c>
      <c r="H136" s="361">
        <f t="shared" ca="1" si="56"/>
        <v>0</v>
      </c>
      <c r="I136" s="361">
        <f t="shared" ca="1" si="57"/>
        <v>6200</v>
      </c>
      <c r="J136" s="361">
        <f t="shared" ca="1" si="58"/>
        <v>0</v>
      </c>
      <c r="K136" s="362">
        <f t="shared" ca="1" si="59"/>
        <v>6200</v>
      </c>
    </row>
    <row r="137" spans="2:11">
      <c r="B137" s="507">
        <v>3</v>
      </c>
      <c r="C137" s="508" t="s">
        <v>587</v>
      </c>
      <c r="D137" s="358" t="str">
        <f ca="1">IF(ISERROR(OFFSET('HARGA SATUAN'!$D$6,MATCH(RAB!C137,'HARGA SATUAN'!$C$7:$C$1492,0),0)),"",OFFSET('HARGA SATUAN'!$D$6,MATCH(RAB!C137,'HARGA SATUAN'!$C$7:$C$1492,0),0))</f>
        <v>HDW</v>
      </c>
      <c r="E137" s="359" t="str">
        <f ca="1">IF(B137="+","Unit",IF(ISERROR(OFFSET('HARGA SATUAN'!$E$6,MATCH(RAB!C137,'HARGA SATUAN'!$C$7:$C$1492,0),0)),"",OFFSET('HARGA SATUAN'!$E$6,MATCH(RAB!C137,'HARGA SATUAN'!$C$7:$C$1492,0),0)))</f>
        <v>Btg</v>
      </c>
      <c r="F137" s="509">
        <f>F134*1</f>
        <v>1</v>
      </c>
      <c r="G137" s="360">
        <f ca="1">IF(ISERROR(OFFSET('HARGA SATUAN'!$I$6,MATCH(RAB!C137,'HARGA SATUAN'!$C$7:$C$1492,0),0)),0,OFFSET('HARGA SATUAN'!$I$6,MATCH(RAB!C137,'HARGA SATUAN'!$C$7:$C$1492,0),0))</f>
        <v>45796</v>
      </c>
      <c r="H137" s="361">
        <f t="shared" ca="1" si="56"/>
        <v>0</v>
      </c>
      <c r="I137" s="361">
        <f t="shared" ca="1" si="57"/>
        <v>45796</v>
      </c>
      <c r="J137" s="361">
        <f t="shared" ca="1" si="58"/>
        <v>0</v>
      </c>
      <c r="K137" s="362">
        <f t="shared" ca="1" si="59"/>
        <v>45796</v>
      </c>
    </row>
    <row r="138" spans="2:11">
      <c r="B138" s="507">
        <v>4</v>
      </c>
      <c r="C138" s="508" t="s">
        <v>118</v>
      </c>
      <c r="D138" s="358" t="str">
        <f ca="1">IF(ISERROR(OFFSET('HARGA SATUAN'!$D$6,MATCH(RAB!C138,'HARGA SATUAN'!$C$7:$C$1492,0),0)),"",OFFSET('HARGA SATUAN'!$D$6,MATCH(RAB!C138,'HARGA SATUAN'!$C$7:$C$1492,0),0))</f>
        <v>HDW</v>
      </c>
      <c r="E138" s="359" t="str">
        <f ca="1">IF(B138="+","Unit",IF(ISERROR(OFFSET('HARGA SATUAN'!$E$6,MATCH(RAB!C138,'HARGA SATUAN'!$C$7:$C$1492,0),0)),"",OFFSET('HARGA SATUAN'!$E$6,MATCH(RAB!C138,'HARGA SATUAN'!$C$7:$C$1492,0),0)))</f>
        <v>Set</v>
      </c>
      <c r="F138" s="509">
        <f>F134*1</f>
        <v>1</v>
      </c>
      <c r="G138" s="360">
        <f ca="1">IF(ISERROR(OFFSET('HARGA SATUAN'!$I$6,MATCH(RAB!C138,'HARGA SATUAN'!$C$7:$C$1492,0),0)),0,OFFSET('HARGA SATUAN'!$I$6,MATCH(RAB!C138,'HARGA SATUAN'!$C$7:$C$1492,0),0))</f>
        <v>5300</v>
      </c>
      <c r="H138" s="361">
        <f t="shared" ca="1" si="56"/>
        <v>0</v>
      </c>
      <c r="I138" s="361">
        <f t="shared" ca="1" si="57"/>
        <v>5300</v>
      </c>
      <c r="J138" s="361">
        <f t="shared" ca="1" si="58"/>
        <v>0</v>
      </c>
      <c r="K138" s="362">
        <f t="shared" ca="1" si="59"/>
        <v>5300</v>
      </c>
    </row>
    <row r="139" spans="2:11">
      <c r="B139" s="507">
        <v>5</v>
      </c>
      <c r="C139" s="508" t="s">
        <v>117</v>
      </c>
      <c r="D139" s="358" t="str">
        <f ca="1">IF(ISERROR(OFFSET('HARGA SATUAN'!$D$6,MATCH(RAB!C139,'HARGA SATUAN'!$C$7:$C$1492,0),0)),"",OFFSET('HARGA SATUAN'!$D$6,MATCH(RAB!C139,'HARGA SATUAN'!$C$7:$C$1492,0),0))</f>
        <v>HDW</v>
      </c>
      <c r="E139" s="359" t="str">
        <f ca="1">IF(B139="+","Unit",IF(ISERROR(OFFSET('HARGA SATUAN'!$E$6,MATCH(RAB!C139,'HARGA SATUAN'!$C$7:$C$1492,0),0)),"",OFFSET('HARGA SATUAN'!$E$6,MATCH(RAB!C139,'HARGA SATUAN'!$C$7:$C$1492,0),0)))</f>
        <v>Bh</v>
      </c>
      <c r="F139" s="509">
        <f>F134*1</f>
        <v>1</v>
      </c>
      <c r="G139" s="360">
        <f ca="1">IF(ISERROR(OFFSET('HARGA SATUAN'!$I$6,MATCH(RAB!C139,'HARGA SATUAN'!$C$7:$C$1492,0),0)),0,OFFSET('HARGA SATUAN'!$I$6,MATCH(RAB!C139,'HARGA SATUAN'!$C$7:$C$1492,0),0))</f>
        <v>58600</v>
      </c>
      <c r="H139" s="361">
        <f t="shared" ca="1" si="56"/>
        <v>0</v>
      </c>
      <c r="I139" s="361">
        <f t="shared" ca="1" si="57"/>
        <v>58600</v>
      </c>
      <c r="J139" s="361">
        <f t="shared" ca="1" si="58"/>
        <v>0</v>
      </c>
      <c r="K139" s="362">
        <f t="shared" ca="1" si="59"/>
        <v>58600</v>
      </c>
    </row>
    <row r="140" spans="2:11">
      <c r="B140" s="507">
        <v>6</v>
      </c>
      <c r="C140" s="109" t="s">
        <v>1154</v>
      </c>
      <c r="D140" s="358" t="str">
        <f ca="1">IF(ISERROR(OFFSET('HARGA SATUAN'!$D$6,MATCH(RAB!C140,'HARGA SATUAN'!$C$7:$C$1492,0),0)),"",OFFSET('HARGA SATUAN'!$D$6,MATCH(RAB!C140,'HARGA SATUAN'!$C$7:$C$1492,0),0))</f>
        <v>HDW</v>
      </c>
      <c r="E140" s="359" t="str">
        <f ca="1">IF(B140="+","Unit",IF(ISERROR(OFFSET('HARGA SATUAN'!$E$6,MATCH(RAB!C140,'HARGA SATUAN'!$C$7:$C$1492,0),0)),"",OFFSET('HARGA SATUAN'!$E$6,MATCH(RAB!C140,'HARGA SATUAN'!$C$7:$C$1492,0),0)))</f>
        <v>Set</v>
      </c>
      <c r="F140" s="509">
        <f>F134*1</f>
        <v>1</v>
      </c>
      <c r="G140" s="360">
        <f ca="1">IF(ISERROR(OFFSET('HARGA SATUAN'!$I$6,MATCH(RAB!C140,'HARGA SATUAN'!$C$7:$C$1492,0),0)),0,OFFSET('HARGA SATUAN'!$I$6,MATCH(RAB!C140,'HARGA SATUAN'!$C$7:$C$1492,0),0))</f>
        <v>3888</v>
      </c>
      <c r="H140" s="361">
        <f t="shared" ca="1" si="56"/>
        <v>0</v>
      </c>
      <c r="I140" s="361">
        <f t="shared" ca="1" si="57"/>
        <v>3888</v>
      </c>
      <c r="J140" s="361">
        <f t="shared" ca="1" si="58"/>
        <v>0</v>
      </c>
      <c r="K140" s="362">
        <f t="shared" ca="1" si="59"/>
        <v>3888</v>
      </c>
    </row>
    <row r="141" spans="2:11">
      <c r="B141" s="507">
        <v>7</v>
      </c>
      <c r="C141" s="508" t="s">
        <v>119</v>
      </c>
      <c r="D141" s="358" t="str">
        <f ca="1">IF(ISERROR(OFFSET('HARGA SATUAN'!$D$6,MATCH(RAB!C141,'HARGA SATUAN'!$C$7:$C$1492,0),0)),"",OFFSET('HARGA SATUAN'!$D$6,MATCH(RAB!C141,'HARGA SATUAN'!$C$7:$C$1492,0),0))</f>
        <v>HDW</v>
      </c>
      <c r="E141" s="359" t="str">
        <f ca="1">IF(B141="+","Unit",IF(ISERROR(OFFSET('HARGA SATUAN'!$E$6,MATCH(RAB!C141,'HARGA SATUAN'!$C$7:$C$1492,0),0)),"",OFFSET('HARGA SATUAN'!$E$6,MATCH(RAB!C141,'HARGA SATUAN'!$C$7:$C$1492,0),0)))</f>
        <v>Set</v>
      </c>
      <c r="F141" s="509">
        <f>F134*2</f>
        <v>2</v>
      </c>
      <c r="G141" s="360">
        <f ca="1">IF(ISERROR(OFFSET('HARGA SATUAN'!$I$6,MATCH(RAB!C141,'HARGA SATUAN'!$C$7:$C$1492,0),0)),0,OFFSET('HARGA SATUAN'!$I$6,MATCH(RAB!C141,'HARGA SATUAN'!$C$7:$C$1492,0),0))</f>
        <v>8900</v>
      </c>
      <c r="H141" s="361">
        <f t="shared" ca="1" si="56"/>
        <v>0</v>
      </c>
      <c r="I141" s="361">
        <f t="shared" ca="1" si="57"/>
        <v>17800</v>
      </c>
      <c r="J141" s="361">
        <f t="shared" ca="1" si="58"/>
        <v>0</v>
      </c>
      <c r="K141" s="362">
        <f t="shared" ca="1" si="59"/>
        <v>17800</v>
      </c>
    </row>
    <row r="142" spans="2:11">
      <c r="B142" s="374"/>
      <c r="C142" s="502"/>
      <c r="D142" s="358" t="str">
        <f ca="1">IF(ISERROR(OFFSET('HARGA SATUAN'!$D$6,MATCH(RAB!C142,'HARGA SATUAN'!$C$7:$C$1492,0),0)),"",OFFSET('HARGA SATUAN'!$D$6,MATCH(RAB!C142,'HARGA SATUAN'!$C$7:$C$1492,0),0))</f>
        <v/>
      </c>
      <c r="E142" s="359" t="str">
        <f ca="1">IF(B142="+","Unit",IF(ISERROR(OFFSET('HARGA SATUAN'!$E$6,MATCH(RAB!C142,'HARGA SATUAN'!$C$7:$C$1492,0),0)),"",OFFSET('HARGA SATUAN'!$E$6,MATCH(RAB!C142,'HARGA SATUAN'!$C$7:$C$1492,0),0)))</f>
        <v/>
      </c>
      <c r="F142" s="368"/>
      <c r="G142" s="360">
        <f ca="1">IF(ISERROR(OFFSET('HARGA SATUAN'!$I$6,MATCH(RAB!C142,'HARGA SATUAN'!$C$7:$C$1492,0),0)),0,OFFSET('HARGA SATUAN'!$I$6,MATCH(RAB!C142,'HARGA SATUAN'!$C$7:$C$1492,0),0))</f>
        <v>0</v>
      </c>
      <c r="H142" s="361">
        <f t="shared" ca="1" si="56"/>
        <v>0</v>
      </c>
      <c r="I142" s="361">
        <f t="shared" ca="1" si="57"/>
        <v>0</v>
      </c>
      <c r="J142" s="361">
        <f t="shared" ca="1" si="58"/>
        <v>0</v>
      </c>
      <c r="K142" s="362">
        <f t="shared" ca="1" si="59"/>
        <v>0</v>
      </c>
    </row>
    <row r="143" spans="2:11">
      <c r="B143" s="366" t="s">
        <v>22</v>
      </c>
      <c r="C143" s="367" t="s">
        <v>1617</v>
      </c>
      <c r="D143" s="358" t="str">
        <f ca="1">IF(ISERROR(OFFSET('HARGA SATUAN'!$D$6,MATCH(RAB!C143,'HARGA SATUAN'!$C$7:$C$1492,0),0)),"",OFFSET('HARGA SATUAN'!$D$6,MATCH(RAB!C143,'HARGA SATUAN'!$C$7:$C$1492,0),0))</f>
        <v/>
      </c>
      <c r="E143" s="359" t="str">
        <f ca="1">IF(B143="+","Unit",IF(ISERROR(OFFSET('HARGA SATUAN'!$E$6,MATCH(RAB!C143,'HARGA SATUAN'!$C$7:$C$1492,0),0)),"",OFFSET('HARGA SATUAN'!$E$6,MATCH(RAB!C143,'HARGA SATUAN'!$C$7:$C$1492,0),0)))</f>
        <v/>
      </c>
      <c r="F143" s="368"/>
      <c r="G143" s="360">
        <f ca="1">IF(ISERROR(OFFSET('HARGA SATUAN'!$I$6,MATCH(RAB!C143,'HARGA SATUAN'!$C$7:$C$1492,0),0)),0,OFFSET('HARGA SATUAN'!$I$6,MATCH(RAB!C143,'HARGA SATUAN'!$C$7:$C$1492,0),0))</f>
        <v>0</v>
      </c>
      <c r="H143" s="361">
        <f t="shared" ca="1" si="56"/>
        <v>0</v>
      </c>
      <c r="I143" s="361">
        <f t="shared" ca="1" si="57"/>
        <v>0</v>
      </c>
      <c r="J143" s="361">
        <f t="shared" ca="1" si="58"/>
        <v>0</v>
      </c>
      <c r="K143" s="362">
        <f t="shared" ca="1" si="59"/>
        <v>0</v>
      </c>
    </row>
    <row r="144" spans="2:11">
      <c r="B144" s="374"/>
      <c r="C144" s="373"/>
      <c r="D144" s="358" t="str">
        <f ca="1">IF(ISERROR(OFFSET('HARGA SATUAN'!$D$6,MATCH(RAB!C144,'HARGA SATUAN'!$C$7:$C$1492,0),0)),"",OFFSET('HARGA SATUAN'!$D$6,MATCH(RAB!C144,'HARGA SATUAN'!$C$7:$C$1492,0),0))</f>
        <v/>
      </c>
      <c r="E144" s="359" t="str">
        <f ca="1">IF(B144="+","Unit",IF(ISERROR(OFFSET('HARGA SATUAN'!$E$6,MATCH(RAB!C144,'HARGA SATUAN'!$C$7:$C$1492,0),0)),"",OFFSET('HARGA SATUAN'!$E$6,MATCH(RAB!C144,'HARGA SATUAN'!$C$7:$C$1492,0),0)))</f>
        <v/>
      </c>
      <c r="F144" s="368"/>
      <c r="G144" s="360">
        <f ca="1">IF(ISERROR(OFFSET('HARGA SATUAN'!$I$6,MATCH(RAB!C144,'HARGA SATUAN'!$C$7:$C$1492,0),0)),0,OFFSET('HARGA SATUAN'!$I$6,MATCH(RAB!C144,'HARGA SATUAN'!$C$7:$C$1492,0),0))</f>
        <v>0</v>
      </c>
      <c r="H144" s="361">
        <f t="shared" ca="1" si="56"/>
        <v>0</v>
      </c>
      <c r="I144" s="361">
        <f t="shared" ca="1" si="57"/>
        <v>0</v>
      </c>
      <c r="J144" s="361">
        <f t="shared" ca="1" si="58"/>
        <v>0</v>
      </c>
      <c r="K144" s="362">
        <f t="shared" ca="1" si="59"/>
        <v>0</v>
      </c>
    </row>
    <row r="145" spans="2:13">
      <c r="B145" s="375"/>
      <c r="C145" s="376" t="s">
        <v>475</v>
      </c>
      <c r="D145" s="358" t="str">
        <f ca="1">IF(ISERROR(OFFSET('HARGA SATUAN'!$D$6,MATCH(RAB!C145,'HARGA SATUAN'!$C$7:$C$1492,0),0)),"",OFFSET('HARGA SATUAN'!$D$6,MATCH(RAB!C145,'HARGA SATUAN'!$C$7:$C$1492,0),0))</f>
        <v/>
      </c>
      <c r="E145" s="359" t="str">
        <f ca="1">IF(B145="+","Unit",IF(ISERROR(OFFSET('HARGA SATUAN'!$E$6,MATCH(RAB!C145,'HARGA SATUAN'!$C$7:$C$1492,0),0)),"",OFFSET('HARGA SATUAN'!$E$6,MATCH(RAB!C145,'HARGA SATUAN'!$C$7:$C$1492,0),0)))</f>
        <v/>
      </c>
      <c r="F145" s="368"/>
      <c r="G145" s="360">
        <f ca="1">IF(ISERROR(OFFSET('HARGA SATUAN'!$I$6,MATCH(RAB!C145,'HARGA SATUAN'!$C$7:$C$1492,0),0)),0,OFFSET('HARGA SATUAN'!$I$6,MATCH(RAB!C145,'HARGA SATUAN'!$C$7:$C$1492,0),0))</f>
        <v>0</v>
      </c>
      <c r="H145" s="361">
        <f t="shared" ca="1" si="56"/>
        <v>0</v>
      </c>
      <c r="I145" s="361">
        <f t="shared" ca="1" si="57"/>
        <v>0</v>
      </c>
      <c r="J145" s="361">
        <f t="shared" ca="1" si="58"/>
        <v>0</v>
      </c>
      <c r="K145" s="362">
        <f t="shared" ca="1" si="59"/>
        <v>0</v>
      </c>
    </row>
    <row r="146" spans="2:13">
      <c r="B146" s="378">
        <v>1</v>
      </c>
      <c r="C146" s="379" t="s">
        <v>1091</v>
      </c>
      <c r="D146" s="380" t="str">
        <f ca="1">IF(ISERROR(OFFSET('HARGA SATUAN'!$D$6,MATCH(RAB!C146,'HARGA SATUAN'!$C$7:$C$1492,0),0)),"",OFFSET('HARGA SATUAN'!$D$6,MATCH(RAB!C146,'HARGA SATUAN'!$C$7:$C$1492,0),0))</f>
        <v>JASA</v>
      </c>
      <c r="E146" s="381" t="str">
        <f ca="1">IF(ISERROR(OFFSET('HARGA SATUAN'!$E$6,MATCH(RAB!C146,'HARGA SATUAN'!$C$7:$C$1492,0),0)),"",OFFSET('HARGA SATUAN'!$E$6,MATCH(RAB!C146,'HARGA SATUAN'!$C$7:$C$1492,0),0))</f>
        <v>Lot</v>
      </c>
      <c r="F146" s="382">
        <v>1</v>
      </c>
      <c r="G146" s="383">
        <f ca="1">IF(ISERROR(OFFSET('HARGA SATUAN'!$I$6,MATCH(RAB!C146,'HARGA SATUAN'!$C$7:$C$1492,0),0)),0,OFFSET('HARGA SATUAN'!$I$6,MATCH(RAB!C146,'HARGA SATUAN'!$C$7:$C$1492,0),0))</f>
        <v>2.5000000000000001E-2</v>
      </c>
      <c r="H146" s="384"/>
      <c r="I146" s="384"/>
      <c r="J146" s="384">
        <f ca="1">SUM(K15:K23)*G146</f>
        <v>1125550</v>
      </c>
      <c r="K146" s="385">
        <f ca="1">SUM(H146:J146)</f>
        <v>1125550</v>
      </c>
    </row>
    <row r="147" spans="2:13">
      <c r="B147" s="386"/>
      <c r="C147" s="387"/>
      <c r="D147" s="358" t="str">
        <f ca="1">IF(ISERROR(OFFSET('HARGA SATUAN'!$D$6,MATCH(RAB!C147,'HARGA SATUAN'!$C$7:$C$1492,0),0)),"",OFFSET('HARGA SATUAN'!$D$6,MATCH(RAB!C147,'HARGA SATUAN'!$C$7:$C$1492,0),0))</f>
        <v/>
      </c>
      <c r="E147" s="359" t="str">
        <f ca="1">IF(ISERROR(OFFSET('HARGA SATUAN'!$E$6,MATCH(RAB!C147,'HARGA SATUAN'!$C$7:$C$1492,0),0)),"",OFFSET('HARGA SATUAN'!$E$6,MATCH(RAB!C147,'HARGA SATUAN'!$C$7:$C$1492,0),0))</f>
        <v/>
      </c>
      <c r="F147" s="377"/>
      <c r="G147" s="360" t="str">
        <f ca="1">IF(ISERROR(OFFSET('HARGA SATUAN'!$I$6,MATCH(RAB!C147,'HARGA SATUAN'!$C$7:$C$1492,0),0)),"",OFFSET('HARGA SATUAN'!$I$6,MATCH(RAB!C147,'HARGA SATUAN'!$C$7:$C$1492,0),0))</f>
        <v/>
      </c>
      <c r="H147" s="361">
        <f ca="1">IF(OR(D147="MDU",D147="MDU-KD"),IF(G147="PLN",0,G147*F147),0)</f>
        <v>0</v>
      </c>
      <c r="I147" s="361">
        <f ca="1">IF(D147="HDW",IF(G147="PLN",0,G147*F147),0)</f>
        <v>0</v>
      </c>
      <c r="J147" s="361">
        <f ca="1">IF(D147="JASA",IF(G147="PLN",0,G147*F147),0)</f>
        <v>0</v>
      </c>
      <c r="K147" s="362">
        <f ca="1">SUM(H147:J147)</f>
        <v>0</v>
      </c>
    </row>
    <row r="148" spans="2:13" ht="15.75" thickBot="1">
      <c r="B148" s="388"/>
      <c r="C148" s="389"/>
      <c r="D148" s="390"/>
      <c r="E148" s="391"/>
      <c r="F148" s="391"/>
      <c r="G148" s="391"/>
      <c r="H148" s="392"/>
      <c r="I148" s="392"/>
      <c r="J148" s="392"/>
      <c r="K148" s="393"/>
    </row>
    <row r="149" spans="2:13">
      <c r="B149" s="394"/>
      <c r="C149" s="617" t="s">
        <v>1008</v>
      </c>
      <c r="D149" s="617"/>
      <c r="E149" s="617"/>
      <c r="F149" s="617"/>
      <c r="G149" s="395" t="s">
        <v>9</v>
      </c>
      <c r="H149" s="396">
        <f ca="1">SUM(H14:H147)</f>
        <v>50381650</v>
      </c>
      <c r="I149" s="396">
        <f ca="1">SUM(I14:I147)</f>
        <v>52396245.973333336</v>
      </c>
      <c r="J149" s="396">
        <f ca="1">SUM(J14:J147)</f>
        <v>4863478</v>
      </c>
      <c r="K149" s="396">
        <f ca="1">SUM(K14:K147)</f>
        <v>107641373.97333333</v>
      </c>
    </row>
    <row r="150" spans="2:13">
      <c r="B150" s="398"/>
      <c r="C150" s="633" t="s">
        <v>1457</v>
      </c>
      <c r="D150" s="633"/>
      <c r="E150" s="633"/>
      <c r="F150" s="633"/>
      <c r="G150" s="399" t="s">
        <v>9</v>
      </c>
      <c r="H150" s="400">
        <f ca="1">H149*0.11</f>
        <v>5541981.5</v>
      </c>
      <c r="I150" s="400">
        <f ca="1">I149*0.11</f>
        <v>5763587.0570666669</v>
      </c>
      <c r="J150" s="400">
        <f ca="1">J149*0.11</f>
        <v>534982.57999999996</v>
      </c>
      <c r="K150" s="400">
        <f ca="1">K149*0.11</f>
        <v>11840551.137066666</v>
      </c>
    </row>
    <row r="151" spans="2:13" ht="15.75" thickBot="1">
      <c r="B151" s="398"/>
      <c r="C151" s="631" t="s">
        <v>463</v>
      </c>
      <c r="D151" s="631"/>
      <c r="E151" s="631"/>
      <c r="F151" s="631"/>
      <c r="G151" s="401" t="s">
        <v>9</v>
      </c>
      <c r="H151" s="402">
        <f ca="1">SUM(H149:H150)</f>
        <v>55923631.5</v>
      </c>
      <c r="I151" s="402">
        <f ca="1">SUM(I149:I150)</f>
        <v>58159833.030400001</v>
      </c>
      <c r="J151" s="401">
        <f ca="1">SUM(J149:J150)</f>
        <v>5398460.5800000001</v>
      </c>
      <c r="K151" s="401">
        <f ca="1">SUM(K149:K150)</f>
        <v>119481925.11039999</v>
      </c>
      <c r="M151" s="484"/>
    </row>
    <row r="152" spans="2:13">
      <c r="B152" s="634" t="str">
        <f ca="1">"Terbilang : "&amp;PROPER(IF(K151=0,"nol",IF(K151&lt;0,"minus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IF(--MID(TEXT(ABS(K151),"000000000000000"),1,3)=0,"",MID(TEXT(ABS(K151),"000000000000000"),1,1)&amp;" ratus "&amp;MID(TEXT(ABS(K151),"000000000000000"),2,1)&amp;" puluh "&amp;MID(TEXT(ABS(K151),"000000000000000"),3,1)&amp;" trilyun ")&amp; IF(--MID(TEXT(ABS(K151),"000000000000000"),4,3)=0,"",MID(TEXT(ABS(K151),"000000000000000"),4,1)&amp;" ratus "&amp;MID(TEXT(ABS(K151),"000000000000000"),5,1)&amp;" puluh "&amp;MID(TEXT(ABS(K151),"000000000000000"),6,1)&amp;" milyar ")&amp; IF(--MID(TEXT(ABS(K151),"000000000000000"),7,3)=0,"",MID(TEXT(ABS(K151),"000000000000000"),7,1)&amp;" ratus "&amp;MID(TEXT(ABS(K151),"000000000000000"),8,1)&amp;" puluh "&amp;MID(TEXT(ABS(K151),"000000000000000"),9,1)&amp;" juta ")&amp; IF(--MID(TEXT(ABS(K151),"000000000000000"),10,3)=0,"",IF(--MID(TEXT(ABS(K151),"000000000000000"),10,3)=1,"*",MID(TEXT(ABS(K151),"000000000000000"),10,1)&amp;" ratus "&amp;MID(TEXT(ABS(K151),"000000000000000"),11,1)&amp;" puluh ")&amp;MID(TEXT(ABS(K151),"000000000000000"),12,1)&amp;" ribu ")&amp; IF(--MID(TEXT(ABS(K151),"000000000000000"),13,3)=0,"",MID(TEXT(ABS(K151),"000000000000000"),13,1)&amp;" ratus "&amp;MID(TEXT(ABS(K151),"000000000000000"),14,1)&amp;" puluh "&amp;MID(TEXT(ABS(K151),"000000000000000"),15,1)),1,"satu"),2,"dua"),3,"tiga"),4,"empat"),5,"lima"),6,"enam"),7,"tujuh"),8,"delapan"),9,"sembilan"),"0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Sembilan Belas Juta Empat Ratus Delapan Puluh Satu Ribu Sembilan Ratus Dua Puluh Lima Rupiah</v>
      </c>
      <c r="C152" s="635"/>
      <c r="D152" s="635"/>
      <c r="E152" s="635"/>
      <c r="F152" s="635"/>
      <c r="G152" s="635"/>
      <c r="H152" s="635"/>
      <c r="I152" s="635"/>
      <c r="J152" s="635"/>
      <c r="K152" s="636"/>
    </row>
    <row r="153" spans="2:13">
      <c r="B153" s="637"/>
      <c r="C153" s="638"/>
      <c r="D153" s="638"/>
      <c r="E153" s="638"/>
      <c r="F153" s="638"/>
      <c r="G153" s="638"/>
      <c r="H153" s="638"/>
      <c r="I153" s="638"/>
      <c r="J153" s="638"/>
      <c r="K153" s="639"/>
    </row>
    <row r="154" spans="2:13" ht="15.75" thickBot="1">
      <c r="B154" s="403" t="str">
        <f>"Harga yang dipakai adalah "&amp;'HARGA SATUAN'!I5&amp;""</f>
        <v>Harga yang dipakai adalah RAB HSS 2023</v>
      </c>
      <c r="C154" s="404"/>
      <c r="D154" s="405"/>
      <c r="E154" s="405"/>
      <c r="F154" s="405"/>
      <c r="G154" s="406"/>
      <c r="H154" s="406"/>
      <c r="I154" s="406"/>
      <c r="J154" s="406"/>
      <c r="K154" s="407"/>
    </row>
    <row r="155" spans="2:13">
      <c r="C155" s="408"/>
      <c r="E155" s="410"/>
      <c r="F155" s="410"/>
      <c r="G155" s="410"/>
    </row>
    <row r="156" spans="2:13">
      <c r="C156" s="337"/>
      <c r="E156" s="410"/>
      <c r="F156" s="410"/>
      <c r="G156" s="410"/>
      <c r="H156" s="640"/>
      <c r="I156" s="640"/>
      <c r="J156" s="641"/>
      <c r="K156" s="641"/>
    </row>
    <row r="157" spans="2:13">
      <c r="C157" s="337"/>
      <c r="E157" s="410"/>
      <c r="F157" s="410"/>
      <c r="G157" s="410"/>
      <c r="H157" s="411"/>
      <c r="I157" s="630" t="s">
        <v>1610</v>
      </c>
      <c r="J157" s="630"/>
      <c r="K157" s="630"/>
    </row>
    <row r="158" spans="2:13">
      <c r="C158" s="337"/>
      <c r="E158" s="410"/>
      <c r="F158" s="410"/>
      <c r="G158" s="410"/>
      <c r="H158" s="411"/>
      <c r="I158" s="630" t="s">
        <v>1546</v>
      </c>
      <c r="J158" s="630"/>
      <c r="K158" s="630"/>
    </row>
    <row r="159" spans="2:13">
      <c r="C159" s="337"/>
      <c r="E159" s="410"/>
      <c r="F159" s="410"/>
      <c r="G159" s="410"/>
      <c r="H159" s="412"/>
      <c r="I159" s="413"/>
      <c r="J159" s="413"/>
      <c r="K159" s="413"/>
    </row>
    <row r="160" spans="2:13">
      <c r="C160" s="337"/>
      <c r="E160" s="410"/>
      <c r="F160" s="410"/>
      <c r="G160" s="410"/>
      <c r="H160" s="412"/>
      <c r="I160" s="412"/>
      <c r="J160" s="412"/>
      <c r="K160" s="412"/>
    </row>
    <row r="161" spans="3:11">
      <c r="C161" s="337"/>
      <c r="E161" s="410"/>
      <c r="F161" s="410"/>
      <c r="G161" s="410"/>
      <c r="H161" s="412"/>
      <c r="I161" s="412"/>
      <c r="J161" s="412"/>
      <c r="K161" s="412"/>
    </row>
    <row r="162" spans="3:11">
      <c r="C162" s="337"/>
      <c r="E162" s="410"/>
      <c r="F162" s="410"/>
      <c r="G162" s="410"/>
      <c r="H162" s="412"/>
      <c r="I162" s="412"/>
      <c r="J162" s="412"/>
      <c r="K162" s="412"/>
    </row>
    <row r="163" spans="3:11">
      <c r="C163" s="337"/>
      <c r="E163" s="410"/>
      <c r="F163" s="410"/>
      <c r="G163" s="410"/>
      <c r="H163" s="414"/>
      <c r="I163" s="630" t="s">
        <v>1547</v>
      </c>
      <c r="J163" s="630"/>
      <c r="K163" s="630"/>
    </row>
    <row r="164" spans="3:11">
      <c r="C164" s="408"/>
      <c r="E164" s="410"/>
      <c r="F164" s="410"/>
      <c r="G164" s="410"/>
      <c r="H164" s="412"/>
      <c r="I164" s="412"/>
      <c r="J164" s="412"/>
      <c r="K164" s="412"/>
    </row>
    <row r="165" spans="3:11">
      <c r="C165" s="408"/>
      <c r="E165" s="410"/>
      <c r="F165" s="410"/>
      <c r="G165" s="410"/>
      <c r="H165" s="412"/>
      <c r="I165" s="412"/>
      <c r="J165" s="412"/>
      <c r="K165" s="412"/>
    </row>
    <row r="166" spans="3:11">
      <c r="C166" s="408"/>
      <c r="E166" s="410"/>
      <c r="F166" s="410"/>
      <c r="G166" s="410"/>
      <c r="H166" s="412"/>
      <c r="I166" s="412"/>
      <c r="J166" s="412"/>
      <c r="K166" s="412"/>
    </row>
  </sheetData>
  <sheetProtection sort="0" autoFilter="0"/>
  <protectedRanges>
    <protectedRange sqref="B144 B127:B142" name="Range1_1"/>
    <protectedRange sqref="F14:F47 F90:F95 F97:F114 F125:F145 F53:F70" name="Range1_1_2_2"/>
    <protectedRange sqref="C144 C127:C128 C132:C142 C130" name="Range1_1_1"/>
    <protectedRange sqref="B99:C103 B105:C108 B104 B109 B110:C114 B125:C126" name="Range1_6_2"/>
    <protectedRange sqref="C131" name="Range1_1_3_13"/>
    <protectedRange sqref="G96" name="Range1_3_7"/>
    <protectedRange sqref="C96" name="Range1_1_3_5"/>
    <protectedRange sqref="C95 C104" name="Range1_1_3_6"/>
    <protectedRange sqref="C129" name="Range1_1_3_4"/>
    <protectedRange sqref="C17" name="Range1_1_3_9"/>
    <protectedRange sqref="C18" name="Range1_1_3_11"/>
    <protectedRange sqref="F71:F84" name="Range1_1_2_2_1"/>
    <protectedRange sqref="F85:F89" name="Range1_1_2_2_1_1"/>
    <protectedRange sqref="C26" name="Range1_1_3_1"/>
    <protectedRange sqref="C37" name="Range1_1_3_2"/>
    <protectedRange sqref="C19" name="Range1_1_3_3"/>
    <protectedRange sqref="C20:C22" name="Range1_1_3_7"/>
    <protectedRange sqref="C93" name="Range1_1_3_8"/>
    <protectedRange sqref="C94" name="Range1_1_3_10"/>
    <protectedRange sqref="C109" name="Range1_1_3_12"/>
  </protectedRanges>
  <mergeCells count="22">
    <mergeCell ref="I158:K158"/>
    <mergeCell ref="I163:K163"/>
    <mergeCell ref="C151:F151"/>
    <mergeCell ref="G6:K6"/>
    <mergeCell ref="I157:K157"/>
    <mergeCell ref="C150:F150"/>
    <mergeCell ref="B152:K153"/>
    <mergeCell ref="H156:K156"/>
    <mergeCell ref="H11:K11"/>
    <mergeCell ref="H12:H13"/>
    <mergeCell ref="J12:J13"/>
    <mergeCell ref="K12:K13"/>
    <mergeCell ref="O3:P4"/>
    <mergeCell ref="B4:K4"/>
    <mergeCell ref="C149:F149"/>
    <mergeCell ref="B11:B13"/>
    <mergeCell ref="C11:C13"/>
    <mergeCell ref="D11:D13"/>
    <mergeCell ref="E11:E13"/>
    <mergeCell ref="F11:F13"/>
    <mergeCell ref="G11:G13"/>
    <mergeCell ref="I12:I13"/>
  </mergeCells>
  <phoneticPr fontId="140" type="noConversion"/>
  <conditionalFormatting sqref="C15">
    <cfRule type="cellIs" dxfId="24" priority="518" operator="equal">
      <formula>0</formula>
    </cfRule>
  </conditionalFormatting>
  <conditionalFormatting sqref="C17:C18 C23">
    <cfRule type="cellIs" dxfId="23" priority="17" operator="equal">
      <formula>0</formula>
    </cfRule>
  </conditionalFormatting>
  <conditionalFormatting sqref="C95:C96">
    <cfRule type="cellIs" dxfId="22" priority="36" operator="equal">
      <formula>0</formula>
    </cfRule>
  </conditionalFormatting>
  <conditionalFormatting sqref="C98">
    <cfRule type="cellIs" dxfId="21" priority="143" operator="equal">
      <formula>0</formula>
    </cfRule>
  </conditionalFormatting>
  <conditionalFormatting sqref="C129">
    <cfRule type="cellIs" dxfId="20" priority="23" operator="equal">
      <formula>0</formula>
    </cfRule>
  </conditionalFormatting>
  <conditionalFormatting sqref="C140">
    <cfRule type="cellIs" dxfId="19" priority="34" operator="equal">
      <formula>0</formula>
    </cfRule>
  </conditionalFormatting>
  <conditionalFormatting sqref="C143">
    <cfRule type="cellIs" dxfId="18" priority="141" operator="equal">
      <formula>0</formula>
    </cfRule>
  </conditionalFormatting>
  <conditionalFormatting sqref="D96:G96">
    <cfRule type="cellIs" dxfId="17" priority="44" operator="equal">
      <formula>0</formula>
    </cfRule>
  </conditionalFormatting>
  <conditionalFormatting sqref="E1:E3 G1:G13 E5:E13 H12:I12 O13 S14:V23 H96:K96 E146:G146 H146:K148 E147:H147 E148:F148 E97:K99 E100:E112 G100:K112 E113:K114 E115:E124 G115:K124 E125:K145 E53:K62 E63:E68 G63:K68 E69:K95">
    <cfRule type="cellIs" dxfId="16" priority="1098" stopIfTrue="1" operator="equal">
      <formula>0</formula>
    </cfRule>
  </conditionalFormatting>
  <conditionalFormatting sqref="E35:K35 E25:E34 G25:K34 E47:K47 E36:E46 G36:K46 E14:K24 E48:E52 G48:K52">
    <cfRule type="cellIs" dxfId="15" priority="15" stopIfTrue="1" operator="equal">
      <formula>0</formula>
    </cfRule>
  </conditionalFormatting>
  <conditionalFormatting sqref="G147:G65613 E152:E65613">
    <cfRule type="cellIs" dxfId="14" priority="232" stopIfTrue="1" operator="equal">
      <formula>0</formula>
    </cfRule>
  </conditionalFormatting>
  <conditionalFormatting sqref="F25:F34">
    <cfRule type="cellIs" dxfId="13" priority="14" stopIfTrue="1" operator="equal">
      <formula>0</formula>
    </cfRule>
  </conditionalFormatting>
  <conditionalFormatting sqref="C26">
    <cfRule type="cellIs" dxfId="12" priority="13" operator="equal">
      <formula>0</formula>
    </cfRule>
  </conditionalFormatting>
  <conditionalFormatting sqref="F36:F46">
    <cfRule type="cellIs" dxfId="11" priority="12" stopIfTrue="1" operator="equal">
      <formula>0</formula>
    </cfRule>
  </conditionalFormatting>
  <conditionalFormatting sqref="C37">
    <cfRule type="cellIs" dxfId="10" priority="11" operator="equal">
      <formula>0</formula>
    </cfRule>
  </conditionalFormatting>
  <conditionalFormatting sqref="C19">
    <cfRule type="cellIs" dxfId="9" priority="10" operator="equal">
      <formula>0</formula>
    </cfRule>
  </conditionalFormatting>
  <conditionalFormatting sqref="C20:C22">
    <cfRule type="cellIs" dxfId="8" priority="9" operator="equal">
      <formula>0</formula>
    </cfRule>
  </conditionalFormatting>
  <conditionalFormatting sqref="F48:F52">
    <cfRule type="cellIs" dxfId="7" priority="8" stopIfTrue="1" operator="equal">
      <formula>0</formula>
    </cfRule>
  </conditionalFormatting>
  <conditionalFormatting sqref="C93">
    <cfRule type="cellIs" dxfId="6" priority="7" operator="equal">
      <formula>0</formula>
    </cfRule>
  </conditionalFormatting>
  <conditionalFormatting sqref="C94">
    <cfRule type="cellIs" dxfId="5" priority="6" operator="equal">
      <formula>0</formula>
    </cfRule>
  </conditionalFormatting>
  <conditionalFormatting sqref="F101:F112">
    <cfRule type="cellIs" dxfId="4" priority="5" stopIfTrue="1" operator="equal">
      <formula>0</formula>
    </cfRule>
  </conditionalFormatting>
  <conditionalFormatting sqref="C104">
    <cfRule type="cellIs" dxfId="3" priority="4" operator="equal">
      <formula>0</formula>
    </cfRule>
  </conditionalFormatting>
  <conditionalFormatting sqref="C109">
    <cfRule type="cellIs" dxfId="2" priority="3" operator="equal">
      <formula>0</formula>
    </cfRule>
  </conditionalFormatting>
  <conditionalFormatting sqref="F115:F124">
    <cfRule type="cellIs" dxfId="1" priority="2" stopIfTrue="1" operator="equal">
      <formula>0</formula>
    </cfRule>
  </conditionalFormatting>
  <conditionalFormatting sqref="F63:F68">
    <cfRule type="cellIs" dxfId="0" priority="1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F83 F79:F81 F28:F33 F48:F52 F85:F95 C102:C103 F97:F99 C110:C113 F101:F127 F56:F77 H14:K14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96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F10" zoomScale="130" zoomScaleNormal="115" zoomScaleSheetLayoutView="130" workbookViewId="0">
      <selection activeCell="T40" sqref="T40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4" t="s">
        <v>1439</v>
      </c>
      <c r="X2" s="645"/>
      <c r="Y2" s="645"/>
      <c r="Z2" s="645"/>
      <c r="AA2" s="645"/>
      <c r="AB2" s="645"/>
      <c r="AC2" s="645"/>
      <c r="AD2" s="646"/>
    </row>
    <row r="3" spans="3:30">
      <c r="C3" s="238"/>
      <c r="W3" s="647"/>
      <c r="X3" s="648"/>
      <c r="Y3" s="648"/>
      <c r="Z3" s="648"/>
      <c r="AA3" s="648"/>
      <c r="AB3" s="648"/>
      <c r="AC3" s="648"/>
      <c r="AD3" s="649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0" t="s">
        <v>990</v>
      </c>
      <c r="Y5" s="650"/>
      <c r="Z5" s="650"/>
      <c r="AA5" s="650" t="s">
        <v>988</v>
      </c>
      <c r="AB5" s="650"/>
      <c r="AC5" s="650" t="s">
        <v>989</v>
      </c>
      <c r="AD5" s="651"/>
    </row>
    <row r="6" spans="3:30">
      <c r="C6" s="238"/>
      <c r="W6" s="241">
        <v>1</v>
      </c>
      <c r="X6" s="650" t="s">
        <v>993</v>
      </c>
      <c r="Y6" s="650"/>
      <c r="Z6" s="650"/>
      <c r="AA6" s="650"/>
      <c r="AB6" s="650"/>
      <c r="AC6" s="650"/>
      <c r="AD6" s="651"/>
    </row>
    <row r="7" spans="3:30">
      <c r="C7" s="238"/>
      <c r="E7" s="490" t="s">
        <v>1628</v>
      </c>
      <c r="W7" s="241">
        <v>2</v>
      </c>
      <c r="X7" s="650" t="s">
        <v>994</v>
      </c>
      <c r="Y7" s="650"/>
      <c r="Z7" s="650"/>
      <c r="AA7" s="650"/>
      <c r="AB7" s="650"/>
      <c r="AC7" s="650"/>
      <c r="AD7" s="651"/>
    </row>
    <row r="8" spans="3:30">
      <c r="C8" s="238"/>
      <c r="W8" s="241">
        <v>3</v>
      </c>
      <c r="X8" s="650" t="s">
        <v>995</v>
      </c>
      <c r="Y8" s="650"/>
      <c r="Z8" s="650"/>
      <c r="AA8" s="650"/>
      <c r="AB8" s="650"/>
      <c r="AC8" s="650"/>
      <c r="AD8" s="651"/>
    </row>
    <row r="9" spans="3:30">
      <c r="C9" s="238"/>
      <c r="W9" s="241">
        <v>4</v>
      </c>
      <c r="X9" s="650" t="s">
        <v>996</v>
      </c>
      <c r="Y9" s="650"/>
      <c r="Z9" s="650"/>
      <c r="AA9" s="650"/>
      <c r="AB9" s="650"/>
      <c r="AC9" s="650"/>
      <c r="AD9" s="651"/>
    </row>
    <row r="10" spans="3:30">
      <c r="C10" s="238"/>
      <c r="W10" s="241">
        <v>5</v>
      </c>
      <c r="X10" s="650" t="s">
        <v>997</v>
      </c>
      <c r="Y10" s="650"/>
      <c r="Z10" s="650"/>
      <c r="AA10" s="650"/>
      <c r="AB10" s="650"/>
      <c r="AC10" s="650"/>
      <c r="AD10" s="651"/>
    </row>
    <row r="11" spans="3:30">
      <c r="C11" s="238"/>
      <c r="W11" s="241">
        <v>6</v>
      </c>
      <c r="X11" s="650" t="s">
        <v>998</v>
      </c>
      <c r="Y11" s="650"/>
      <c r="Z11" s="650"/>
      <c r="AA11" s="650"/>
      <c r="AB11" s="650"/>
      <c r="AC11" s="650"/>
      <c r="AD11" s="651"/>
    </row>
    <row r="12" spans="3:30">
      <c r="C12" s="238"/>
      <c r="W12" s="241">
        <v>7</v>
      </c>
      <c r="X12" s="650" t="s">
        <v>999</v>
      </c>
      <c r="Y12" s="650"/>
      <c r="Z12" s="650"/>
      <c r="AA12" s="650"/>
      <c r="AB12" s="650"/>
      <c r="AC12" s="650"/>
      <c r="AD12" s="651"/>
    </row>
    <row r="13" spans="3:30" ht="12.75" customHeight="1">
      <c r="C13" s="238"/>
      <c r="W13" s="241">
        <v>8</v>
      </c>
      <c r="X13" s="650" t="s">
        <v>1000</v>
      </c>
      <c r="Y13" s="650"/>
      <c r="Z13" s="650"/>
      <c r="AA13" s="650"/>
      <c r="AB13" s="650"/>
      <c r="AC13" s="650"/>
      <c r="AD13" s="651"/>
    </row>
    <row r="14" spans="3:30">
      <c r="C14" s="238"/>
      <c r="W14" s="241">
        <v>9</v>
      </c>
      <c r="X14" s="650" t="s">
        <v>1001</v>
      </c>
      <c r="Y14" s="650"/>
      <c r="Z14" s="650"/>
      <c r="AA14" s="650"/>
      <c r="AB14" s="650"/>
      <c r="AC14" s="650"/>
      <c r="AD14" s="651"/>
    </row>
    <row r="15" spans="3:30">
      <c r="C15" s="238"/>
      <c r="W15" s="241">
        <v>10</v>
      </c>
      <c r="X15" s="650" t="s">
        <v>1010</v>
      </c>
      <c r="Y15" s="650"/>
      <c r="Z15" s="650"/>
      <c r="AA15" s="650"/>
      <c r="AB15" s="650"/>
      <c r="AC15" s="650"/>
      <c r="AD15" s="651"/>
    </row>
    <row r="16" spans="3:30">
      <c r="C16" s="238"/>
      <c r="W16" s="241">
        <v>11</v>
      </c>
      <c r="X16" s="650" t="s">
        <v>1455</v>
      </c>
      <c r="Y16" s="650"/>
      <c r="Z16" s="650"/>
      <c r="AA16" s="650"/>
      <c r="AB16" s="650"/>
      <c r="AC16" s="650"/>
      <c r="AD16" s="651"/>
    </row>
    <row r="17" spans="3:30">
      <c r="C17" s="238"/>
      <c r="S17" s="242"/>
      <c r="W17" s="241">
        <v>12</v>
      </c>
      <c r="X17" s="650" t="s">
        <v>1011</v>
      </c>
      <c r="Y17" s="650"/>
      <c r="Z17" s="650"/>
      <c r="AA17" s="650"/>
      <c r="AB17" s="650"/>
      <c r="AC17" s="650"/>
      <c r="AD17" s="651"/>
    </row>
    <row r="18" spans="3:30">
      <c r="C18" s="243"/>
      <c r="D18" s="244"/>
      <c r="E18" s="244"/>
      <c r="W18" s="241">
        <v>13</v>
      </c>
      <c r="X18" s="650"/>
      <c r="Y18" s="650"/>
      <c r="Z18" s="650"/>
      <c r="AA18" s="650"/>
      <c r="AB18" s="650"/>
      <c r="AC18" s="650"/>
      <c r="AD18" s="651"/>
    </row>
    <row r="19" spans="3:30">
      <c r="C19" s="238"/>
      <c r="W19" s="245"/>
      <c r="X19" s="667"/>
      <c r="Y19" s="667"/>
      <c r="Z19" s="667"/>
      <c r="AA19" s="667"/>
      <c r="AB19" s="667"/>
      <c r="AC19" s="667"/>
      <c r="AD19" s="668"/>
    </row>
    <row r="20" spans="3:30">
      <c r="C20" s="238"/>
      <c r="W20" s="652" t="s">
        <v>992</v>
      </c>
      <c r="X20" s="653"/>
      <c r="Y20" s="653"/>
      <c r="Z20" s="653"/>
      <c r="AA20" s="653"/>
      <c r="AB20" s="653"/>
      <c r="AC20" s="653"/>
      <c r="AD20" s="654"/>
    </row>
    <row r="21" spans="3:30">
      <c r="C21" s="238"/>
      <c r="W21" s="655" t="s">
        <v>985</v>
      </c>
      <c r="X21" s="656"/>
      <c r="Y21" s="656"/>
      <c r="Z21" s="657"/>
      <c r="AA21" s="658" t="s">
        <v>986</v>
      </c>
      <c r="AB21" s="659"/>
      <c r="AC21" s="659"/>
      <c r="AD21" s="660"/>
    </row>
    <row r="22" spans="3:30">
      <c r="C22" s="238"/>
      <c r="W22" s="661"/>
      <c r="X22" s="662"/>
      <c r="Y22" s="492"/>
      <c r="Z22" s="493"/>
      <c r="AA22" s="663"/>
      <c r="AB22" s="664"/>
      <c r="AC22" s="248"/>
      <c r="AD22" s="249"/>
    </row>
    <row r="23" spans="3:30">
      <c r="C23" s="238"/>
      <c r="W23" s="661" t="s">
        <v>1635</v>
      </c>
      <c r="X23" s="662"/>
      <c r="Y23" s="492">
        <v>5</v>
      </c>
      <c r="Z23" s="493"/>
      <c r="AA23" s="665" t="s">
        <v>1624</v>
      </c>
      <c r="AB23" s="666"/>
      <c r="AC23" s="248"/>
      <c r="AD23" s="249">
        <v>2</v>
      </c>
    </row>
    <row r="24" spans="3:30">
      <c r="C24" s="238"/>
      <c r="W24" s="661" t="s">
        <v>1636</v>
      </c>
      <c r="X24" s="662"/>
      <c r="Y24" s="246">
        <v>2</v>
      </c>
      <c r="Z24" s="247"/>
      <c r="AA24" s="673"/>
      <c r="AB24" s="674"/>
      <c r="AC24" s="248"/>
      <c r="AD24" s="249"/>
    </row>
    <row r="25" spans="3:30">
      <c r="C25" s="238"/>
      <c r="W25" s="671" t="s">
        <v>1627</v>
      </c>
      <c r="X25" s="672"/>
      <c r="Y25" s="246">
        <v>5</v>
      </c>
      <c r="Z25" s="247"/>
      <c r="AA25" s="665"/>
      <c r="AB25" s="666"/>
      <c r="AC25" s="248"/>
      <c r="AD25" s="249"/>
    </row>
    <row r="26" spans="3:30">
      <c r="C26" s="238"/>
      <c r="W26" s="480" t="s">
        <v>1634</v>
      </c>
      <c r="X26" s="481"/>
      <c r="Y26" s="246">
        <v>2</v>
      </c>
      <c r="Z26" s="247"/>
      <c r="AA26" s="665"/>
      <c r="AB26" s="666"/>
      <c r="AC26" s="248"/>
      <c r="AD26" s="249"/>
    </row>
    <row r="27" spans="3:30">
      <c r="C27" s="238"/>
      <c r="W27" s="480" t="s">
        <v>1637</v>
      </c>
      <c r="X27" s="481"/>
      <c r="Y27" s="246">
        <v>8</v>
      </c>
      <c r="Z27" s="247"/>
      <c r="AA27" s="669"/>
      <c r="AB27" s="670"/>
      <c r="AC27" s="248"/>
      <c r="AD27" s="249"/>
    </row>
    <row r="28" spans="3:30">
      <c r="C28" s="238"/>
      <c r="W28" s="480" t="s">
        <v>1625</v>
      </c>
      <c r="X28" s="481"/>
      <c r="Y28" s="246">
        <v>2</v>
      </c>
      <c r="Z28" s="247"/>
      <c r="AA28" s="669"/>
      <c r="AB28" s="670"/>
      <c r="AC28" s="248"/>
      <c r="AD28" s="249"/>
    </row>
    <row r="29" spans="3:30">
      <c r="C29" s="238"/>
      <c r="W29" s="480"/>
      <c r="X29" s="481"/>
      <c r="Y29" s="246"/>
      <c r="Z29" s="247"/>
      <c r="AA29" s="669"/>
      <c r="AB29" s="670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69"/>
      <c r="AB30" s="670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69"/>
      <c r="AB31" s="670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69"/>
      <c r="AB32" s="670"/>
      <c r="AC32" s="248"/>
      <c r="AD32" s="249"/>
    </row>
    <row r="33" spans="3:30">
      <c r="C33" s="238"/>
      <c r="W33" s="480"/>
      <c r="X33" s="481"/>
      <c r="Y33" s="246"/>
      <c r="Z33" s="247"/>
      <c r="AA33" s="669"/>
      <c r="AB33" s="670"/>
      <c r="AC33" s="248"/>
      <c r="AD33" s="249"/>
    </row>
    <row r="34" spans="3:30">
      <c r="C34" s="238"/>
      <c r="W34" s="480"/>
      <c r="X34" s="481"/>
      <c r="Y34" s="246"/>
      <c r="Z34" s="247"/>
      <c r="AA34" s="669"/>
      <c r="AB34" s="670"/>
      <c r="AC34" s="248"/>
      <c r="AD34" s="249"/>
    </row>
    <row r="35" spans="3:30">
      <c r="C35" s="238"/>
      <c r="W35" s="671"/>
      <c r="X35" s="684"/>
      <c r="Y35" s="246"/>
      <c r="Z35" s="247"/>
      <c r="AA35" s="669"/>
      <c r="AB35" s="670"/>
      <c r="AC35" s="248"/>
      <c r="AD35" s="249"/>
    </row>
    <row r="36" spans="3:30">
      <c r="C36" s="238"/>
      <c r="W36" s="675"/>
      <c r="X36" s="676"/>
      <c r="Y36" s="246"/>
      <c r="Z36" s="251"/>
      <c r="AA36" s="677"/>
      <c r="AB36" s="670"/>
      <c r="AC36" s="248"/>
      <c r="AD36" s="249"/>
    </row>
    <row r="37" spans="3:30" ht="12.75" customHeight="1">
      <c r="C37" s="238"/>
      <c r="W37" s="678"/>
      <c r="X37" s="679"/>
      <c r="Y37" s="246"/>
      <c r="Z37" s="251"/>
      <c r="AA37" s="680"/>
      <c r="AB37" s="681"/>
      <c r="AC37" s="252"/>
      <c r="AD37" s="253"/>
    </row>
    <row r="38" spans="3:30" ht="12.75" customHeight="1">
      <c r="C38" s="238"/>
      <c r="W38" s="678"/>
      <c r="X38" s="679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12"/>
      <c r="W39" s="678"/>
      <c r="X39" s="679"/>
      <c r="Y39" s="254"/>
      <c r="Z39" s="257"/>
      <c r="AA39" s="682"/>
      <c r="AB39" s="683"/>
      <c r="AC39" s="252"/>
      <c r="AD39" s="253"/>
    </row>
    <row r="40" spans="3:30" ht="12" customHeight="1">
      <c r="C40" s="238"/>
      <c r="D40" s="512"/>
      <c r="W40" s="688"/>
      <c r="X40" s="689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12"/>
      <c r="W41" s="690"/>
      <c r="X41" s="691"/>
      <c r="Y41" s="260"/>
      <c r="Z41" s="261"/>
      <c r="AA41" s="682"/>
      <c r="AB41" s="683"/>
      <c r="AC41" s="252"/>
      <c r="AD41" s="253"/>
    </row>
    <row r="42" spans="3:30" ht="12" customHeight="1">
      <c r="C42" s="238"/>
      <c r="D42" s="512"/>
      <c r="W42" s="692" t="s">
        <v>1456</v>
      </c>
      <c r="X42" s="693"/>
      <c r="Y42" s="693"/>
      <c r="Z42" s="693"/>
      <c r="AA42" s="262"/>
      <c r="AB42" s="262"/>
      <c r="AC42" s="262"/>
      <c r="AD42" s="263"/>
    </row>
    <row r="43" spans="3:30" ht="12" customHeight="1">
      <c r="C43" s="238"/>
      <c r="D43" s="512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12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5" t="s">
        <v>11</v>
      </c>
      <c r="X44" s="686"/>
      <c r="Y44" s="650"/>
      <c r="Z44" s="650"/>
      <c r="AA44" s="650"/>
      <c r="AB44" s="650"/>
      <c r="AC44" s="650"/>
      <c r="AD44" s="651"/>
    </row>
    <row r="45" spans="3:30">
      <c r="C45" s="268"/>
      <c r="D45" s="512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5" t="s">
        <v>984</v>
      </c>
      <c r="X45" s="686"/>
      <c r="Y45" s="650">
        <v>1</v>
      </c>
      <c r="Z45" s="650"/>
      <c r="AA45" s="650"/>
      <c r="AB45" s="650" t="s">
        <v>12</v>
      </c>
      <c r="AC45" s="650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5" t="s">
        <v>15</v>
      </c>
      <c r="X46" s="686"/>
      <c r="Y46" s="687"/>
      <c r="Z46" s="687"/>
      <c r="AA46" s="687"/>
      <c r="AB46" s="650" t="s">
        <v>16</v>
      </c>
      <c r="AC46" s="650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8" t="s">
        <v>17</v>
      </c>
      <c r="X47" s="698"/>
      <c r="Y47" s="698"/>
      <c r="Z47" s="698"/>
      <c r="AA47" s="698"/>
      <c r="AB47" s="698"/>
      <c r="AC47" s="698"/>
      <c r="AD47" s="699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0" t="str">
        <f>RAB!G6</f>
        <v>IOH GEMPOL DENOK</v>
      </c>
      <c r="X48" s="700"/>
      <c r="Y48" s="700"/>
      <c r="Z48" s="700"/>
      <c r="AA48" s="700"/>
      <c r="AB48" s="700"/>
      <c r="AC48" s="700"/>
      <c r="AD48" s="701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0"/>
      <c r="X49" s="700"/>
      <c r="Y49" s="700"/>
      <c r="Z49" s="700"/>
      <c r="AA49" s="700"/>
      <c r="AB49" s="700"/>
      <c r="AC49" s="700"/>
      <c r="AD49" s="701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0"/>
      <c r="X50" s="700"/>
      <c r="Y50" s="700"/>
      <c r="Z50" s="700"/>
      <c r="AA50" s="700"/>
      <c r="AB50" s="700"/>
      <c r="AC50" s="700"/>
      <c r="AD50" s="701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2"/>
      <c r="X51" s="702"/>
      <c r="Y51" s="702"/>
      <c r="Z51" s="702"/>
      <c r="AA51" s="702"/>
      <c r="AB51" s="702"/>
      <c r="AC51" s="702"/>
      <c r="AD51" s="703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5" t="s">
        <v>18</v>
      </c>
      <c r="X52" s="686"/>
      <c r="Y52" s="650" t="s">
        <v>1549</v>
      </c>
      <c r="Z52" s="650"/>
      <c r="AA52" s="650"/>
      <c r="AB52" s="650"/>
      <c r="AC52" s="650"/>
      <c r="AD52" s="651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5" t="s">
        <v>19</v>
      </c>
      <c r="X53" s="686"/>
      <c r="Y53" s="650" t="s">
        <v>1549</v>
      </c>
      <c r="Z53" s="650"/>
      <c r="AA53" s="650"/>
      <c r="AB53" s="650"/>
      <c r="AC53" s="650"/>
      <c r="AD53" s="651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5" t="s">
        <v>20</v>
      </c>
      <c r="X54" s="686"/>
      <c r="Y54" s="694" t="s">
        <v>1550</v>
      </c>
      <c r="Z54" s="694"/>
      <c r="AA54" s="694"/>
      <c r="AB54" s="650"/>
      <c r="AC54" s="650"/>
      <c r="AD54" s="651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5" t="s">
        <v>21</v>
      </c>
      <c r="X55" s="696"/>
      <c r="Y55" s="694" t="s">
        <v>1551</v>
      </c>
      <c r="Z55" s="694"/>
      <c r="AA55" s="694"/>
      <c r="AB55" s="694"/>
      <c r="AC55" s="694"/>
      <c r="AD55" s="697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R39" sqref="R39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4" t="s">
        <v>1528</v>
      </c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  <c r="Q4" s="705"/>
      <c r="R4" s="705"/>
      <c r="S4" s="705"/>
      <c r="T4" s="705"/>
      <c r="U4" s="705"/>
      <c r="V4" s="705"/>
      <c r="W4" s="705"/>
      <c r="X4" s="705"/>
      <c r="Y4" s="705"/>
      <c r="Z4" s="705"/>
      <c r="AA4" s="705"/>
      <c r="AB4" s="705"/>
      <c r="AC4" s="706"/>
      <c r="AD4" s="217"/>
      <c r="AE4" s="216"/>
      <c r="AF4" s="216"/>
    </row>
    <row r="5" spans="2:32" ht="13.5" customHeight="1">
      <c r="B5" s="215"/>
      <c r="C5" s="215"/>
      <c r="D5" s="707"/>
      <c r="E5" s="708"/>
      <c r="F5" s="708"/>
      <c r="G5" s="708"/>
      <c r="H5" s="708"/>
      <c r="I5" s="708"/>
      <c r="J5" s="708"/>
      <c r="K5" s="708"/>
      <c r="L5" s="708"/>
      <c r="M5" s="708"/>
      <c r="N5" s="708"/>
      <c r="O5" s="708"/>
      <c r="P5" s="708"/>
      <c r="Q5" s="708"/>
      <c r="R5" s="708"/>
      <c r="S5" s="708"/>
      <c r="T5" s="708"/>
      <c r="U5" s="708"/>
      <c r="V5" s="708"/>
      <c r="W5" s="708"/>
      <c r="X5" s="708"/>
      <c r="Y5" s="708"/>
      <c r="Z5" s="708"/>
      <c r="AA5" s="708"/>
      <c r="AB5" s="708"/>
      <c r="AC5" s="709"/>
      <c r="AD5" s="217"/>
      <c r="AE5" s="216"/>
      <c r="AF5" s="216"/>
    </row>
    <row r="6" spans="2:32" ht="12.75" customHeight="1">
      <c r="B6" s="215"/>
      <c r="C6" s="215"/>
      <c r="D6" s="707"/>
      <c r="E6" s="708"/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09"/>
      <c r="AE6" s="216"/>
      <c r="AF6" s="216"/>
    </row>
    <row r="7" spans="2:32" ht="12.75" customHeight="1" thickBot="1">
      <c r="B7" s="215"/>
      <c r="C7" s="215"/>
      <c r="D7" s="710"/>
      <c r="E7" s="711"/>
      <c r="F7" s="711"/>
      <c r="G7" s="711"/>
      <c r="H7" s="711"/>
      <c r="I7" s="711"/>
      <c r="J7" s="711"/>
      <c r="K7" s="711"/>
      <c r="L7" s="711"/>
      <c r="M7" s="711"/>
      <c r="N7" s="711"/>
      <c r="O7" s="711"/>
      <c r="P7" s="711"/>
      <c r="Q7" s="711"/>
      <c r="R7" s="711"/>
      <c r="S7" s="711"/>
      <c r="T7" s="711"/>
      <c r="U7" s="711"/>
      <c r="V7" s="711"/>
      <c r="W7" s="711"/>
      <c r="X7" s="711"/>
      <c r="Y7" s="711"/>
      <c r="Z7" s="711"/>
      <c r="AA7" s="711"/>
      <c r="AB7" s="711"/>
      <c r="AC7" s="712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40" zoomScaleNormal="40" zoomScaleSheetLayoutView="40" workbookViewId="0">
      <selection activeCell="AH90" sqref="AH90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8" t="s">
        <v>1527</v>
      </c>
      <c r="D3" s="708"/>
      <c r="E3" s="708"/>
      <c r="F3" s="708"/>
      <c r="G3" s="708"/>
      <c r="H3" s="708"/>
      <c r="I3" s="708"/>
      <c r="J3" s="708"/>
      <c r="K3" s="708"/>
      <c r="L3" s="708"/>
      <c r="M3" s="708"/>
      <c r="N3" s="708"/>
      <c r="O3" s="708"/>
      <c r="P3" s="708"/>
      <c r="Q3" s="708"/>
      <c r="R3" s="708"/>
      <c r="S3" s="708"/>
      <c r="T3" s="708"/>
      <c r="U3" s="708"/>
      <c r="V3" s="708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08"/>
      <c r="D4" s="708"/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13" t="s">
        <v>1633</v>
      </c>
      <c r="D6" s="713"/>
      <c r="E6" s="713"/>
      <c r="F6" s="713"/>
      <c r="G6" s="713"/>
      <c r="H6" s="713"/>
      <c r="I6" s="713"/>
      <c r="J6" s="713"/>
      <c r="K6" s="713"/>
      <c r="L6" s="713"/>
      <c r="M6" s="713"/>
      <c r="W6" s="182"/>
      <c r="Y6" s="428"/>
      <c r="Z6" s="428"/>
      <c r="AA6" s="428"/>
      <c r="AB6" s="429"/>
      <c r="AC6" s="429"/>
    </row>
    <row r="7" spans="1:29" ht="18" customHeight="1">
      <c r="A7" s="181"/>
      <c r="C7" s="713"/>
      <c r="D7" s="713"/>
      <c r="E7" s="713"/>
      <c r="F7" s="713"/>
      <c r="G7" s="713"/>
      <c r="H7" s="713"/>
      <c r="I7" s="713"/>
      <c r="J7" s="713"/>
      <c r="K7" s="713"/>
      <c r="L7" s="713"/>
      <c r="M7" s="713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2024-04-22T02:32:43Z</dcterms:modified>
</cp:coreProperties>
</file>