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474FD33A-2C17-4954-AC48-06E3FF8FD726}" xr6:coauthVersionLast="47" xr6:coauthVersionMax="47" xr10:uidLastSave="{00000000-0000-0000-0000-000000000000}"/>
  <bookViews>
    <workbookView xWindow="-120" yWindow="-120" windowWidth="29040" windowHeight="15720" tabRatio="859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RAB!$A$1:$K$173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7" i="11" l="1"/>
  <c r="G68" i="11"/>
  <c r="G69" i="11"/>
  <c r="G70" i="11"/>
  <c r="G71" i="11"/>
  <c r="G72" i="11"/>
  <c r="G73" i="11"/>
  <c r="D67" i="11"/>
  <c r="H67" i="11" s="1"/>
  <c r="E67" i="11"/>
  <c r="D68" i="11"/>
  <c r="J68" i="11" s="1"/>
  <c r="E68" i="11"/>
  <c r="D69" i="11"/>
  <c r="I69" i="11" s="1"/>
  <c r="E69" i="11"/>
  <c r="D70" i="11"/>
  <c r="H70" i="11" s="1"/>
  <c r="E70" i="11"/>
  <c r="D71" i="11"/>
  <c r="H71" i="11" s="1"/>
  <c r="E71" i="11"/>
  <c r="D72" i="11"/>
  <c r="J72" i="11" s="1"/>
  <c r="E72" i="11"/>
  <c r="D73" i="11"/>
  <c r="I73" i="11" s="1"/>
  <c r="E73" i="11"/>
  <c r="F93" i="11"/>
  <c r="F92" i="11"/>
  <c r="F91" i="11"/>
  <c r="F90" i="11"/>
  <c r="F89" i="11"/>
  <c r="F86" i="11"/>
  <c r="F85" i="11"/>
  <c r="F84" i="11"/>
  <c r="F83" i="11"/>
  <c r="F82" i="11"/>
  <c r="F79" i="11"/>
  <c r="F78" i="11"/>
  <c r="F77" i="11"/>
  <c r="F76" i="11"/>
  <c r="F75" i="11"/>
  <c r="D74" i="11"/>
  <c r="H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I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J89" i="11" s="1"/>
  <c r="E89" i="11"/>
  <c r="G89" i="11"/>
  <c r="D90" i="11"/>
  <c r="H90" i="11" s="1"/>
  <c r="E90" i="11"/>
  <c r="G90" i="11"/>
  <c r="D91" i="11"/>
  <c r="E91" i="11"/>
  <c r="G91" i="11"/>
  <c r="D92" i="11"/>
  <c r="H92" i="11" s="1"/>
  <c r="E92" i="11"/>
  <c r="G92" i="11"/>
  <c r="D93" i="11"/>
  <c r="E93" i="11"/>
  <c r="G93" i="11"/>
  <c r="D94" i="11"/>
  <c r="J94" i="11" s="1"/>
  <c r="E94" i="11"/>
  <c r="G94" i="11"/>
  <c r="D95" i="11"/>
  <c r="J95" i="11" s="1"/>
  <c r="E95" i="11"/>
  <c r="G95" i="11"/>
  <c r="G20" i="11"/>
  <c r="G21" i="11"/>
  <c r="D20" i="11"/>
  <c r="H20" i="11" s="1"/>
  <c r="E20" i="11"/>
  <c r="D150" i="11"/>
  <c r="J150" i="11" s="1"/>
  <c r="E150" i="11"/>
  <c r="G150" i="11"/>
  <c r="D151" i="11"/>
  <c r="J151" i="11" s="1"/>
  <c r="E151" i="11"/>
  <c r="G151" i="11"/>
  <c r="D152" i="11"/>
  <c r="H152" i="11" s="1"/>
  <c r="E152" i="11"/>
  <c r="G152" i="11"/>
  <c r="F120" i="11"/>
  <c r="F59" i="11"/>
  <c r="F58" i="11"/>
  <c r="F57" i="11"/>
  <c r="F56" i="11"/>
  <c r="F55" i="11"/>
  <c r="F49" i="11"/>
  <c r="D48" i="11"/>
  <c r="J48" i="11" s="1"/>
  <c r="E48" i="11"/>
  <c r="G48" i="11"/>
  <c r="D49" i="11"/>
  <c r="E49" i="11"/>
  <c r="G49" i="11"/>
  <c r="D51" i="11"/>
  <c r="H51" i="11" s="1"/>
  <c r="E51" i="11"/>
  <c r="G51" i="11"/>
  <c r="D52" i="11"/>
  <c r="J52" i="11" s="1"/>
  <c r="E52" i="11"/>
  <c r="G52" i="11"/>
  <c r="D54" i="11"/>
  <c r="J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E59" i="11"/>
  <c r="G59" i="11"/>
  <c r="D60" i="11"/>
  <c r="H60" i="11" s="1"/>
  <c r="E60" i="11"/>
  <c r="G60" i="11"/>
  <c r="F46" i="11"/>
  <c r="F45" i="11"/>
  <c r="F44" i="11"/>
  <c r="F43" i="11"/>
  <c r="F42" i="11"/>
  <c r="F41" i="11"/>
  <c r="F40" i="11"/>
  <c r="F39" i="11"/>
  <c r="F38" i="11"/>
  <c r="F37" i="11"/>
  <c r="F21" i="11"/>
  <c r="G18" i="11"/>
  <c r="G19" i="11"/>
  <c r="G22" i="11"/>
  <c r="G23" i="11"/>
  <c r="G24" i="11"/>
  <c r="D18" i="11"/>
  <c r="H18" i="11" s="1"/>
  <c r="E18" i="11"/>
  <c r="D19" i="11"/>
  <c r="J19" i="11" s="1"/>
  <c r="E19" i="11"/>
  <c r="D21" i="11"/>
  <c r="E21" i="11"/>
  <c r="D22" i="11"/>
  <c r="H22" i="11" s="1"/>
  <c r="E22" i="11"/>
  <c r="D23" i="11"/>
  <c r="J23" i="11" s="1"/>
  <c r="E23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F34" i="11"/>
  <c r="F33" i="11"/>
  <c r="F32" i="11"/>
  <c r="F31" i="11"/>
  <c r="F30" i="11"/>
  <c r="F29" i="11"/>
  <c r="F28" i="11"/>
  <c r="F27" i="11"/>
  <c r="F26" i="11"/>
  <c r="D24" i="11"/>
  <c r="I24" i="11" s="1"/>
  <c r="E24" i="11"/>
  <c r="D25" i="11"/>
  <c r="J25" i="11" s="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H39" i="11" s="1"/>
  <c r="E39" i="11"/>
  <c r="G39" i="11"/>
  <c r="I68" i="11" l="1"/>
  <c r="I72" i="11"/>
  <c r="H73" i="11"/>
  <c r="J71" i="11"/>
  <c r="H69" i="11"/>
  <c r="H72" i="11"/>
  <c r="K72" i="11" s="1"/>
  <c r="I71" i="11"/>
  <c r="J70" i="11"/>
  <c r="H68" i="11"/>
  <c r="K68" i="11" s="1"/>
  <c r="I67" i="11"/>
  <c r="J67" i="11"/>
  <c r="J73" i="11"/>
  <c r="I70" i="11"/>
  <c r="J69" i="11"/>
  <c r="I75" i="11"/>
  <c r="I80" i="11"/>
  <c r="J75" i="11"/>
  <c r="J74" i="11"/>
  <c r="H80" i="11"/>
  <c r="J78" i="11"/>
  <c r="J93" i="11"/>
  <c r="I91" i="11"/>
  <c r="I76" i="11"/>
  <c r="I94" i="11"/>
  <c r="J92" i="11"/>
  <c r="H87" i="11"/>
  <c r="I86" i="11"/>
  <c r="H94" i="11"/>
  <c r="J91" i="11"/>
  <c r="J90" i="11"/>
  <c r="H88" i="11"/>
  <c r="J86" i="11"/>
  <c r="I87" i="11"/>
  <c r="I88" i="11"/>
  <c r="I92" i="11"/>
  <c r="I90" i="11"/>
  <c r="I83" i="11"/>
  <c r="J82" i="11"/>
  <c r="J79" i="11"/>
  <c r="J76" i="11"/>
  <c r="H83" i="11"/>
  <c r="H84" i="11"/>
  <c r="I82" i="11"/>
  <c r="H79" i="11"/>
  <c r="I84" i="11"/>
  <c r="H91" i="11"/>
  <c r="I78" i="11"/>
  <c r="I74" i="11"/>
  <c r="I89" i="11"/>
  <c r="I81" i="11"/>
  <c r="H89" i="11"/>
  <c r="H85" i="11"/>
  <c r="H81" i="11"/>
  <c r="H77" i="11"/>
  <c r="I93" i="11"/>
  <c r="I85" i="11"/>
  <c r="I77" i="11"/>
  <c r="I95" i="11"/>
  <c r="H95" i="11"/>
  <c r="H93" i="11"/>
  <c r="J21" i="11"/>
  <c r="I21" i="11"/>
  <c r="J20" i="11"/>
  <c r="H21" i="11"/>
  <c r="I20" i="11"/>
  <c r="H150" i="11"/>
  <c r="I150" i="11"/>
  <c r="J152" i="11"/>
  <c r="I152" i="11"/>
  <c r="H151" i="11"/>
  <c r="I151" i="11"/>
  <c r="J59" i="11"/>
  <c r="J51" i="11"/>
  <c r="J49" i="11"/>
  <c r="H48" i="11"/>
  <c r="I48" i="11"/>
  <c r="I58" i="11"/>
  <c r="J57" i="11"/>
  <c r="J60" i="11"/>
  <c r="I57" i="11"/>
  <c r="I56" i="11"/>
  <c r="I52" i="11"/>
  <c r="H56" i="11"/>
  <c r="I55" i="11"/>
  <c r="I54" i="11"/>
  <c r="H52" i="11"/>
  <c r="I60" i="11"/>
  <c r="H58" i="11"/>
  <c r="I51" i="11"/>
  <c r="H54" i="11"/>
  <c r="I59" i="11"/>
  <c r="I49" i="11"/>
  <c r="H59" i="11"/>
  <c r="H55" i="11"/>
  <c r="H49" i="11"/>
  <c r="I23" i="11"/>
  <c r="I19" i="11"/>
  <c r="I42" i="11"/>
  <c r="H24" i="11"/>
  <c r="H23" i="11"/>
  <c r="K23" i="11" s="1"/>
  <c r="I22" i="11"/>
  <c r="H19" i="11"/>
  <c r="I18" i="11"/>
  <c r="J22" i="11"/>
  <c r="J18" i="11"/>
  <c r="J24" i="11"/>
  <c r="J42" i="11"/>
  <c r="I40" i="11"/>
  <c r="H26" i="11"/>
  <c r="I44" i="11"/>
  <c r="I43" i="11"/>
  <c r="J46" i="11"/>
  <c r="H40" i="11"/>
  <c r="I46" i="11"/>
  <c r="H43" i="11"/>
  <c r="H44" i="11"/>
  <c r="I32" i="11"/>
  <c r="H47" i="11"/>
  <c r="H45" i="11"/>
  <c r="H41" i="11"/>
  <c r="I41" i="11"/>
  <c r="I47" i="11"/>
  <c r="I45" i="11"/>
  <c r="J38" i="11"/>
  <c r="I38" i="11"/>
  <c r="J34" i="11"/>
  <c r="J26" i="11"/>
  <c r="I28" i="11"/>
  <c r="I36" i="11"/>
  <c r="I34" i="11"/>
  <c r="H32" i="11"/>
  <c r="I31" i="11"/>
  <c r="J30" i="11"/>
  <c r="H28" i="11"/>
  <c r="I27" i="11"/>
  <c r="I30" i="11"/>
  <c r="I26" i="11"/>
  <c r="I39" i="11"/>
  <c r="H36" i="11"/>
  <c r="I35" i="11"/>
  <c r="I37" i="11"/>
  <c r="I33" i="11"/>
  <c r="I29" i="11"/>
  <c r="I25" i="11"/>
  <c r="J39" i="11"/>
  <c r="H37" i="11"/>
  <c r="J35" i="11"/>
  <c r="H33" i="11"/>
  <c r="J31" i="11"/>
  <c r="H29" i="11"/>
  <c r="J27" i="11"/>
  <c r="H25" i="11"/>
  <c r="K75" i="11" l="1"/>
  <c r="K94" i="11"/>
  <c r="K78" i="11"/>
  <c r="K80" i="11"/>
  <c r="K71" i="11"/>
  <c r="K73" i="11"/>
  <c r="K67" i="11"/>
  <c r="K70" i="11"/>
  <c r="K86" i="11"/>
  <c r="K69" i="11"/>
  <c r="K90" i="11"/>
  <c r="K88" i="11"/>
  <c r="K81" i="11"/>
  <c r="K92" i="11"/>
  <c r="K74" i="11"/>
  <c r="K82" i="11"/>
  <c r="K91" i="11"/>
  <c r="K79" i="11"/>
  <c r="K76" i="11"/>
  <c r="K85" i="11"/>
  <c r="K84" i="11"/>
  <c r="K83" i="11"/>
  <c r="K87" i="11"/>
  <c r="K89" i="11"/>
  <c r="K21" i="11"/>
  <c r="K93" i="11"/>
  <c r="K95" i="11"/>
  <c r="K77" i="11"/>
  <c r="K20" i="11"/>
  <c r="K150" i="11"/>
  <c r="K152" i="11"/>
  <c r="K151" i="11"/>
  <c r="K51" i="11"/>
  <c r="K52" i="11"/>
  <c r="K60" i="11"/>
  <c r="K57" i="11"/>
  <c r="K48" i="11"/>
  <c r="K59" i="11"/>
  <c r="K58" i="11"/>
  <c r="K49" i="11"/>
  <c r="K56" i="11"/>
  <c r="K54" i="11"/>
  <c r="K55" i="11"/>
  <c r="K42" i="11"/>
  <c r="K19" i="11"/>
  <c r="K22" i="11"/>
  <c r="K24" i="11"/>
  <c r="K18" i="11"/>
  <c r="K46" i="11"/>
  <c r="K44" i="11"/>
  <c r="K40" i="11"/>
  <c r="K43" i="11"/>
  <c r="K30" i="11"/>
  <c r="K32" i="11"/>
  <c r="K38" i="11"/>
  <c r="K34" i="11"/>
  <c r="K41" i="11"/>
  <c r="K26" i="11"/>
  <c r="K37" i="11"/>
  <c r="K31" i="11"/>
  <c r="K33" i="11"/>
  <c r="K47" i="11"/>
  <c r="K36" i="11"/>
  <c r="K45" i="11"/>
  <c r="K28" i="11"/>
  <c r="K35" i="11"/>
  <c r="K25" i="11"/>
  <c r="K27" i="11"/>
  <c r="K29" i="11"/>
  <c r="K39" i="11"/>
  <c r="F66" i="11" l="1"/>
  <c r="F65" i="11"/>
  <c r="F64" i="11"/>
  <c r="F63" i="11"/>
  <c r="F62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J65" i="11" s="1"/>
  <c r="E65" i="11"/>
  <c r="G65" i="11"/>
  <c r="D66" i="11"/>
  <c r="E66" i="11"/>
  <c r="G66" i="11"/>
  <c r="I61" i="11" l="1"/>
  <c r="I65" i="11"/>
  <c r="H65" i="11"/>
  <c r="I64" i="11"/>
  <c r="J63" i="11"/>
  <c r="H61" i="11"/>
  <c r="I63" i="11"/>
  <c r="J66" i="11"/>
  <c r="I66" i="11"/>
  <c r="I62" i="11"/>
  <c r="H66" i="11"/>
  <c r="J64" i="11"/>
  <c r="H62" i="11"/>
  <c r="F106" i="11"/>
  <c r="F105" i="11"/>
  <c r="F104" i="11"/>
  <c r="F103" i="11"/>
  <c r="F102" i="11"/>
  <c r="D101" i="11"/>
  <c r="J101" i="11" s="1"/>
  <c r="E101" i="11"/>
  <c r="G101" i="11"/>
  <c r="D102" i="11"/>
  <c r="J102" i="11" s="1"/>
  <c r="E102" i="11"/>
  <c r="G102" i="11"/>
  <c r="D103" i="11"/>
  <c r="H103" i="11" s="1"/>
  <c r="E103" i="11"/>
  <c r="G103" i="11"/>
  <c r="D104" i="11"/>
  <c r="H104" i="11" s="1"/>
  <c r="E104" i="11"/>
  <c r="G104" i="11"/>
  <c r="D105" i="11"/>
  <c r="J105" i="11" s="1"/>
  <c r="E105" i="11"/>
  <c r="G105" i="11"/>
  <c r="D106" i="11"/>
  <c r="E106" i="11"/>
  <c r="G106" i="11"/>
  <c r="D107" i="11"/>
  <c r="H107" i="11" s="1"/>
  <c r="E107" i="11"/>
  <c r="G107" i="11"/>
  <c r="F139" i="11"/>
  <c r="F138" i="11"/>
  <c r="F137" i="11"/>
  <c r="F136" i="11"/>
  <c r="F148" i="11"/>
  <c r="F147" i="11"/>
  <c r="F146" i="11"/>
  <c r="F145" i="11"/>
  <c r="F144" i="11"/>
  <c r="F143" i="11"/>
  <c r="F142" i="11"/>
  <c r="F119" i="11"/>
  <c r="F118" i="11"/>
  <c r="F117" i="11"/>
  <c r="F116" i="11"/>
  <c r="F115" i="11"/>
  <c r="F114" i="11"/>
  <c r="F113" i="11"/>
  <c r="F112" i="11"/>
  <c r="F111" i="11"/>
  <c r="F109" i="11"/>
  <c r="K61" i="11" l="1"/>
  <c r="K64" i="11"/>
  <c r="K65" i="11"/>
  <c r="K63" i="11"/>
  <c r="K66" i="11"/>
  <c r="K62" i="11"/>
  <c r="H105" i="11"/>
  <c r="I104" i="11"/>
  <c r="J103" i="11"/>
  <c r="J106" i="11"/>
  <c r="I101" i="11"/>
  <c r="I107" i="11"/>
  <c r="I105" i="11"/>
  <c r="I103" i="11"/>
  <c r="H101" i="11"/>
  <c r="I106" i="11"/>
  <c r="I102" i="11"/>
  <c r="J107" i="11"/>
  <c r="H106" i="11"/>
  <c r="J104" i="11"/>
  <c r="H102" i="11"/>
  <c r="K102" i="11" s="1"/>
  <c r="K103" i="11" l="1"/>
  <c r="K101" i="11"/>
  <c r="K105" i="11"/>
  <c r="K104" i="11"/>
  <c r="K106" i="11"/>
  <c r="K107" i="11"/>
  <c r="G140" i="11" l="1"/>
  <c r="G141" i="11"/>
  <c r="G142" i="11"/>
  <c r="G143" i="11"/>
  <c r="G144" i="11"/>
  <c r="G145" i="11"/>
  <c r="G146" i="11"/>
  <c r="G147" i="11"/>
  <c r="G148" i="11"/>
  <c r="G149" i="11"/>
  <c r="D140" i="11"/>
  <c r="H140" i="11" s="1"/>
  <c r="E140" i="11"/>
  <c r="D141" i="11"/>
  <c r="J141" i="11" s="1"/>
  <c r="E141" i="11"/>
  <c r="D142" i="11"/>
  <c r="E142" i="11"/>
  <c r="D143" i="11"/>
  <c r="H143" i="11" s="1"/>
  <c r="E143" i="11"/>
  <c r="D144" i="11"/>
  <c r="H144" i="11" s="1"/>
  <c r="E144" i="11"/>
  <c r="D145" i="11"/>
  <c r="J145" i="11" s="1"/>
  <c r="E145" i="11"/>
  <c r="D146" i="11"/>
  <c r="E146" i="11"/>
  <c r="D147" i="11"/>
  <c r="H147" i="11" s="1"/>
  <c r="E147" i="11"/>
  <c r="D148" i="11"/>
  <c r="H148" i="11" s="1"/>
  <c r="E148" i="11"/>
  <c r="D149" i="11"/>
  <c r="J149" i="11" s="1"/>
  <c r="E149" i="11"/>
  <c r="D98" i="11"/>
  <c r="H98" i="11" s="1"/>
  <c r="E98" i="11"/>
  <c r="G98" i="11"/>
  <c r="D99" i="11"/>
  <c r="J99" i="11" s="1"/>
  <c r="E99" i="11"/>
  <c r="G99" i="11"/>
  <c r="D100" i="11"/>
  <c r="J100" i="11" s="1"/>
  <c r="E100" i="11"/>
  <c r="G100" i="11"/>
  <c r="F97" i="11"/>
  <c r="I146" i="11" l="1"/>
  <c r="I142" i="11"/>
  <c r="I148" i="11"/>
  <c r="J140" i="11"/>
  <c r="J144" i="11"/>
  <c r="H142" i="11"/>
  <c r="I140" i="11"/>
  <c r="J148" i="11"/>
  <c r="H146" i="11"/>
  <c r="I144" i="11"/>
  <c r="I149" i="11"/>
  <c r="I145" i="11"/>
  <c r="I141" i="11"/>
  <c r="H149" i="11"/>
  <c r="J147" i="11"/>
  <c r="H145" i="11"/>
  <c r="J143" i="11"/>
  <c r="H141" i="11"/>
  <c r="I147" i="11"/>
  <c r="J146" i="11"/>
  <c r="I143" i="11"/>
  <c r="J142" i="11"/>
  <c r="I99" i="11"/>
  <c r="H99" i="11"/>
  <c r="I100" i="11"/>
  <c r="H100" i="11"/>
  <c r="J98" i="11"/>
  <c r="I98" i="11"/>
  <c r="K149" i="11" l="1"/>
  <c r="K144" i="11"/>
  <c r="K146" i="11"/>
  <c r="K143" i="11"/>
  <c r="K141" i="11"/>
  <c r="K148" i="11"/>
  <c r="K147" i="11"/>
  <c r="K142" i="11"/>
  <c r="K140" i="11"/>
  <c r="K145" i="11"/>
  <c r="K100" i="11"/>
  <c r="K98" i="11"/>
  <c r="K99" i="11"/>
  <c r="D96" i="11" l="1"/>
  <c r="E96" i="11"/>
  <c r="G96" i="11"/>
  <c r="J97" i="11"/>
  <c r="D134" i="11"/>
  <c r="D135" i="11"/>
  <c r="D136" i="11"/>
  <c r="D137" i="11"/>
  <c r="D138" i="11"/>
  <c r="D139" i="11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G121" i="11"/>
  <c r="D121" i="11"/>
  <c r="J121" i="11" s="1"/>
  <c r="E121" i="11"/>
  <c r="H96" i="11" l="1"/>
  <c r="I97" i="11"/>
  <c r="J96" i="11"/>
  <c r="I96" i="11"/>
  <c r="H97" i="11"/>
  <c r="I17" i="11"/>
  <c r="H17" i="11"/>
  <c r="I15" i="11"/>
  <c r="H15" i="11"/>
  <c r="I16" i="11"/>
  <c r="H16" i="11"/>
  <c r="I121" i="11"/>
  <c r="H121" i="11"/>
  <c r="K97" i="11" l="1"/>
  <c r="K96" i="11"/>
  <c r="K17" i="11"/>
  <c r="K15" i="11"/>
  <c r="K121" i="11"/>
  <c r="K16" i="11"/>
  <c r="F131" i="11" l="1"/>
  <c r="F130" i="11"/>
  <c r="F129" i="11"/>
  <c r="F128" i="11"/>
  <c r="F127" i="11"/>
  <c r="F126" i="11"/>
  <c r="F125" i="11"/>
  <c r="F124" i="11"/>
  <c r="F123" i="11"/>
  <c r="D122" i="11"/>
  <c r="H122" i="11" s="1"/>
  <c r="E122" i="11"/>
  <c r="G122" i="11"/>
  <c r="D123" i="11"/>
  <c r="J123" i="11" s="1"/>
  <c r="E123" i="11"/>
  <c r="G123" i="11"/>
  <c r="D124" i="11"/>
  <c r="J124" i="11" s="1"/>
  <c r="E124" i="11"/>
  <c r="G124" i="11"/>
  <c r="D125" i="11"/>
  <c r="H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J128" i="11" s="1"/>
  <c r="E128" i="11"/>
  <c r="G128" i="11"/>
  <c r="D129" i="11"/>
  <c r="H129" i="11" s="1"/>
  <c r="E129" i="11"/>
  <c r="G129" i="11"/>
  <c r="D130" i="11"/>
  <c r="H130" i="11" s="1"/>
  <c r="E130" i="11"/>
  <c r="G130" i="11"/>
  <c r="D131" i="11"/>
  <c r="E131" i="11"/>
  <c r="G131" i="11"/>
  <c r="D132" i="11"/>
  <c r="J132" i="11" s="1"/>
  <c r="E132" i="11"/>
  <c r="G132" i="11"/>
  <c r="D108" i="11"/>
  <c r="J108" i="11" s="1"/>
  <c r="E108" i="11"/>
  <c r="G108" i="11"/>
  <c r="D109" i="11"/>
  <c r="I109" i="11" s="1"/>
  <c r="E109" i="11"/>
  <c r="G109" i="11"/>
  <c r="D110" i="11"/>
  <c r="J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E113" i="11"/>
  <c r="G113" i="11"/>
  <c r="D114" i="11"/>
  <c r="J114" i="11" s="1"/>
  <c r="E114" i="11"/>
  <c r="G114" i="11"/>
  <c r="D115" i="11"/>
  <c r="J115" i="11" s="1"/>
  <c r="E115" i="11"/>
  <c r="G115" i="11"/>
  <c r="D116" i="11"/>
  <c r="J116" i="11" s="1"/>
  <c r="E116" i="11"/>
  <c r="G116" i="11"/>
  <c r="D117" i="11"/>
  <c r="J117" i="11" s="1"/>
  <c r="E117" i="11"/>
  <c r="G117" i="11"/>
  <c r="D118" i="11"/>
  <c r="H118" i="11" s="1"/>
  <c r="E118" i="11"/>
  <c r="G118" i="11"/>
  <c r="D119" i="11"/>
  <c r="J119" i="11" s="1"/>
  <c r="E119" i="11"/>
  <c r="G119" i="11"/>
  <c r="D120" i="11"/>
  <c r="E120" i="11"/>
  <c r="G120" i="11"/>
  <c r="G6" i="11"/>
  <c r="D133" i="11"/>
  <c r="J133" i="11" s="1"/>
  <c r="E133" i="11"/>
  <c r="G133" i="11"/>
  <c r="H134" i="11"/>
  <c r="E134" i="11"/>
  <c r="G134" i="11"/>
  <c r="E135" i="11"/>
  <c r="G135" i="11"/>
  <c r="J136" i="11"/>
  <c r="E136" i="11"/>
  <c r="G136" i="11"/>
  <c r="J137" i="11"/>
  <c r="E137" i="11"/>
  <c r="G137" i="11"/>
  <c r="E138" i="11"/>
  <c r="G138" i="11"/>
  <c r="H139" i="11"/>
  <c r="E139" i="11"/>
  <c r="G139" i="11"/>
  <c r="D20" i="60"/>
  <c r="I113" i="11" l="1"/>
  <c r="J120" i="11"/>
  <c r="J131" i="11"/>
  <c r="J130" i="11"/>
  <c r="J122" i="11"/>
  <c r="I126" i="11"/>
  <c r="I122" i="11"/>
  <c r="I128" i="11"/>
  <c r="H128" i="11"/>
  <c r="H124" i="11"/>
  <c r="I124" i="11"/>
  <c r="I132" i="11"/>
  <c r="I130" i="11"/>
  <c r="I129" i="11"/>
  <c r="J109" i="11"/>
  <c r="H132" i="11"/>
  <c r="H126" i="11"/>
  <c r="I125" i="11"/>
  <c r="I131" i="11"/>
  <c r="H131" i="11"/>
  <c r="J129" i="11"/>
  <c r="H127" i="11"/>
  <c r="J125" i="11"/>
  <c r="H123" i="11"/>
  <c r="I127" i="11"/>
  <c r="I123" i="11"/>
  <c r="I117" i="11"/>
  <c r="J113" i="11"/>
  <c r="H113" i="11"/>
  <c r="H117" i="11"/>
  <c r="J118" i="11"/>
  <c r="H114" i="11"/>
  <c r="I111" i="11"/>
  <c r="I110" i="11"/>
  <c r="I118" i="11"/>
  <c r="I114" i="11"/>
  <c r="H109" i="11"/>
  <c r="H119" i="11"/>
  <c r="H115" i="11"/>
  <c r="H110" i="11"/>
  <c r="I115" i="11"/>
  <c r="H111" i="11"/>
  <c r="I119" i="11"/>
  <c r="I116" i="11"/>
  <c r="I108" i="11"/>
  <c r="H120" i="11"/>
  <c r="H116" i="11"/>
  <c r="H112" i="11"/>
  <c r="H108" i="11"/>
  <c r="I120" i="11"/>
  <c r="I112" i="11"/>
  <c r="H135" i="11"/>
  <c r="H138" i="11"/>
  <c r="J139" i="11"/>
  <c r="J138" i="11"/>
  <c r="I136" i="11"/>
  <c r="H136" i="11"/>
  <c r="J135" i="11"/>
  <c r="J134" i="11"/>
  <c r="I134" i="11"/>
  <c r="I138" i="11"/>
  <c r="H137" i="11"/>
  <c r="H133" i="11"/>
  <c r="I137" i="11"/>
  <c r="I133" i="11"/>
  <c r="I139" i="11"/>
  <c r="I135" i="11"/>
  <c r="D14" i="11"/>
  <c r="J14" i="11" s="1"/>
  <c r="E14" i="11"/>
  <c r="G14" i="11"/>
  <c r="K19" i="60"/>
  <c r="D19" i="60"/>
  <c r="K111" i="11" l="1"/>
  <c r="K128" i="11"/>
  <c r="K116" i="11"/>
  <c r="K122" i="11"/>
  <c r="K126" i="11"/>
  <c r="K113" i="11"/>
  <c r="K130" i="11"/>
  <c r="K118" i="11"/>
  <c r="K129" i="11"/>
  <c r="K117" i="11"/>
  <c r="K124" i="11"/>
  <c r="K114" i="11"/>
  <c r="K110" i="11"/>
  <c r="K109" i="11"/>
  <c r="K132" i="11"/>
  <c r="K125" i="11"/>
  <c r="K123" i="11"/>
  <c r="K131" i="11"/>
  <c r="K127" i="11"/>
  <c r="K115" i="11"/>
  <c r="K119" i="11"/>
  <c r="K120" i="11"/>
  <c r="K108" i="11"/>
  <c r="K112" i="11"/>
  <c r="K134" i="11"/>
  <c r="K136" i="11"/>
  <c r="K138" i="11"/>
  <c r="K139" i="11"/>
  <c r="K135" i="11"/>
  <c r="K133" i="11"/>
  <c r="K13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5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3" i="11"/>
  <c r="D154" i="11"/>
  <c r="H154" i="11" s="1"/>
  <c r="E15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5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6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4" i="11"/>
  <c r="I15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5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6" i="11"/>
  <c r="H157" i="11" s="1"/>
  <c r="I156" i="11"/>
  <c r="I157" i="11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33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8" i="11"/>
  <c r="I158" i="11"/>
  <c r="F364" i="29"/>
  <c r="F69" i="39"/>
  <c r="F72" i="39"/>
  <c r="F367" i="29"/>
  <c r="J153" i="11"/>
  <c r="K15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56" i="11" l="1"/>
  <c r="K157" i="11" s="1"/>
  <c r="K158" i="11" s="1"/>
  <c r="B15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56" i="11"/>
  <c r="J15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82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<sst xmlns="http://schemas.openxmlformats.org/spreadsheetml/2006/main" count="4813" uniqueCount="1643">
  <si>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</si>
  <si>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</si>
  <si>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</si>
  <si>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</si>
  <si>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</si>
  <si>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</si>
  <si>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</si>
  <si>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</si>
  <si>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</si>
  <si>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</si>
  <si>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</si>
  <si>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</si>
  <si>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</si>
  <si>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</si>
  <si>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</si>
  <si>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</si>
  <si>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</si>
  <si>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</si>
  <si>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</si>
  <si>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</si>
  <si>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</si>
  <si>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</si>
  <si>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</si>
  <si>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</si>
  <si>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</si>
  <si>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</si>
  <si>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</si>
  <si>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</si>
  <si>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</si>
  <si>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</si>
  <si>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</si>
  <si>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</si>
  <si>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</si>
  <si>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</si>
  <si>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</si>
  <si>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</si>
  <si>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</si>
  <si>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</si>
  <si>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</si>
  <si>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</si>
  <si>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</si>
  <si>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</si>
  <si>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</si>
  <si>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</si>
  <si>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</si>
  <si>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</si>
  <si>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</si>
  <si>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</si>
  <si>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</si>
  <si>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</si>
  <si>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</si>
  <si>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</si>
  <si>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</si>
  <si>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</si>
  <si>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</si>
  <si>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</si>
  <si>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</si>
  <si>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</si>
  <si>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</si>
  <si>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</si>
  <si>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</si>
  <si>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</si>
  <si>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</si>
  <si>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</si>
  <si>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</si>
  <si>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</si>
  <si>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</si>
  <si>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</si>
  <si>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</si>
  <si>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</si>
  <si>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</si>
  <si>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</si>
  <si>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</si>
  <si>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</si>
  <si>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</si>
  <si>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</si>
  <si>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</si>
  <si>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</si>
  <si>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</si>
  <si>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</si>
  <si>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</si>
  <si>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</si>
  <si>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</si>
  <si>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</si>
  <si>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</si>
  <si>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</si>
  <si>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</si>
  <si>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</si>
  <si>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</si>
  <si>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</si>
  <si>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</si>
  <si>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</si>
  <si>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</si>
  <si>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</si>
  <si>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</si>
  <si>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</si>
  <si>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</si>
  <si>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</si>
  <si>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</si>
  <si>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</si>
  <si>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</si>
  <si>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</si>
  <si>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</si>
  <si>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</si>
  <si>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</si>
  <si>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</si>
  <si>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</si>
  <si>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</si>
  <si>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</si>
  <si>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</si>
  <si>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</si>
  <si>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</si>
  <si>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</si>
  <si>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</si>
  <si>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</si>
  <si>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</si>
  <si>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</si>
  <si>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</si>
  <si>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</si>
  <si>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</si>
  <si>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</si>
  <si>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</si>
  <si>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</si>
  <si>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</si>
  <si>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</si>
  <si>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</si>
  <si>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</si>
  <si>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</si>
  <si>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</si>
  <si>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</si>
  <si>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</si>
  <si>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</si>
  <si>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</si>
  <si>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</si>
  <si>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</si>
  <si>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</si>
  <si>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</si>
  <si>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</si>
  <si>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</si>
  <si>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</si>
  <si>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</si>
  <si>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</si>
  <si>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</si>
  <si>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</si>
  <si>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</si>
  <si>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</si>
  <si>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</si>
  <si>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</si>
  <si>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</si>
  <si>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</si>
  <si>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</si>
  <si>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</si>
  <si>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</si>
  <si>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</si>
  <si>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</si>
  <si>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</si>
  <si>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</si>
  <si>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</si>
  <si>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</si>
  <si>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</si>
  <si>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</si>
  <si>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</si>
  <si>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</si>
  <si>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</si>
  <si>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</si>
  <si>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</si>
  <si>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</si>
  <si>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</si>
  <si>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</si>
  <si>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</si>
  <si>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</si>
  <si>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</si>
  <si>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</si>
  <si>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</si>
  <si>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</si>
  <si>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</si>
  <si>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</si>
  <si>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</si>
  <si>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</si>
  <si>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</si>
  <si>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</si>
  <si>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</si>
  <si>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</si>
  <si>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</si>
  <si>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</si>
  <si>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</si>
  <si>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</si>
  <si>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</si>
  <si>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</si>
  <si>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</si>
  <si>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</si>
  <si>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</si>
  <si>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</si>
  <si>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</si>
  <si>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</si>
  <si>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</si>
  <si>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</si>
  <si>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</si>
  <si>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</si>
  <si>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</si>
  <si>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</si>
  <si>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</si>
  <si>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</si>
  <si>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</si>
  <si>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</si>
  <si>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</si>
  <si>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</si>
  <si>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</si>
  <si>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</si>
  <si>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</si>
  <si>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</si>
  <si>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</si>
  <si>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</si>
  <si>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</si>
  <si>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</si>
  <si>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</si>
  <si>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</si>
  <si>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</si>
  <si>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</si>
  <si>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</si>
  <si>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</si>
  <si>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</si>
  <si>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</si>
  <si>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</si>
  <si>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</si>
  <si>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</si>
  <si>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</si>
  <si>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</si>
  <si>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</si>
  <si>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</si>
  <si>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</si>
  <si>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</si>
  <si>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</si>
  <si>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</si>
  <si>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</si>
  <si>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</si>
  <si>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</si>
  <si>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</si>
  <si>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</si>
  <si>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</si>
  <si>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</si>
  <si>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</si>
  <si>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</si>
  <si>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</si>
  <si>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</si>
  <si>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</si>
  <si>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</si>
  <si>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</si>
  <si>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</si>
  <si>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</si>
  <si>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</si>
  <si>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</si>
  <si>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</si>
  <si>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</si>
  <si>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</si>
  <si>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</si>
  <si>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</si>
  <si>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</si>
  <si>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</si>
  <si>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</si>
  <si>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</si>
  <si>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</si>
  <si>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</si>
  <si>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</si>
  <si>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</si>
  <si>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</si>
  <si>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</si>
  <si>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</si>
  <si>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</si>
  <si>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</si>
  <si>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</si>
  <si>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</si>
  <si>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</si>
  <si>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</si>
  <si>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</si>
  <si>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</si>
  <si>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</si>
  <si>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</si>
  <si>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</si>
  <si>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</si>
  <si>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</si>
  <si>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</si>
  <si>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</si>
  <si>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</si>
  <si>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</si>
  <si>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</si>
  <si>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</si>
  <si>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</si>
  <si>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</si>
  <si>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</si>
  <si>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</si>
  <si>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</si>
  <si>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</si>
  <si>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</si>
  <si>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</si>
  <si>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</si>
  <si>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</si>
  <si>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</si>
  <si>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</si>
  <si>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</si>
  <si>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</si>
  <si>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</si>
  <si>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</si>
  <si>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</si>
  <si>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</si>
  <si>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</si>
  <si>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</si>
  <si>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</si>
  <si>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</si>
  <si>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</si>
  <si>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</si>
  <si>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</si>
  <si>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</si>
  <si>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</si>
  <si>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</si>
  <si>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</si>
  <si>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</si>
  <si>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</si>
  <si>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</si>
  <si>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</si>
  <si>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</si>
  <si>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</si>
  <si>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</si>
  <si>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</si>
  <si>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</si>
  <si>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</si>
  <si>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</si>
  <si>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</si>
  <si>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</si>
  <si>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</si>
  <si>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</si>
  <si>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</si>
  <si>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</si>
  <si>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</si>
  <si>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</si>
  <si>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</si>
  <si>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</si>
  <si>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</si>
  <si>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</si>
  <si>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</si>
  <si>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</si>
  <si>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</si>
  <si>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</si>
  <si>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</si>
  <si>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</si>
  <si>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</si>
  <si>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</si>
  <si>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</si>
  <si>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</si>
  <si>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</si>
  <si>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</si>
  <si>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</si>
  <si>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</si>
  <si>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</si>
  <si>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</si>
  <si>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</si>
  <si>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</si>
  <si>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</si>
  <si>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</si>
  <si>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</si>
  <si>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</si>
  <si>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</si>
  <si>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</si>
  <si>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</si>
  <si>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</si>
  <si>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</si>
  <si>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</si>
  <si>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</si>
  <si>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</si>
  <si>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</si>
  <si>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</si>
  <si>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</si>
  <si>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</si>
  <si>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</si>
  <si>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</si>
  <si>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</si>
  <si>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</si>
  <si>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</si>
  <si>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</si>
  <si>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</si>
  <si>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</si>
  <si>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</si>
  <si>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</si>
  <si>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</si>
  <si>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</si>
  <si>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</si>
  <si>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</si>
  <si>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</si>
  <si>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</si>
  <si>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</si>
  <si>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</si>
  <si>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</si>
  <si>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</si>
  <si>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</si>
  <si>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</si>
  <si>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</si>
  <si>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</si>
  <si>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</si>
  <si>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</si>
  <si>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</si>
  <si>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</si>
  <si>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</si>
  <si>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</si>
  <si>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</si>
  <si>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</si>
  <si>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</si>
  <si>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</si>
  <si>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</si>
  <si>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</si>
  <si>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</si>
  <si>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</si>
  <si>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</si>
  <si>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</si>
  <si>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</si>
  <si>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</si>
  <si>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</si>
  <si>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</si>
  <si>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</si>
  <si>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</si>
  <si>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</si>
  <si>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</si>
  <si>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</si>
  <si>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</si>
  <si>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</si>
  <si>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</si>
  <si>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</si>
  <si>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</si>
  <si>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</si>
  <si>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</si>
  <si>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</si>
  <si>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</si>
  <si>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</si>
  <si>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</si>
  <si>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</si>
  <si>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</si>
  <si>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</si>
  <si>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</si>
  <si>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</si>
  <si>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</si>
  <si>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</si>
  <si>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</si>
  <si>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</si>
  <si>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</si>
  <si>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</si>
  <si>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</si>
  <si>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</si>
  <si>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</si>
  <si>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</si>
  <si>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</si>
  <si>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</si>
  <si>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</si>
  <si>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</si>
  <si>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</si>
  <si>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</si>
  <si>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</si>
  <si>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</si>
  <si>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</si>
  <si>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</si>
  <si>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</si>
  <si>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</si>
  <si>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</si>
  <si>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</si>
  <si>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</si>
  <si>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</si>
  <si>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</si>
  <si>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</si>
  <si>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</si>
  <si>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</si>
  <si>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</si>
  <si>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</si>
  <si>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</si>
  <si>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</si>
  <si>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</si>
  <si>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</si>
  <si>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</si>
  <si>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</si>
  <si>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</si>
  <si>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</si>
  <si>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</si>
  <si>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</si>
  <si>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</si>
  <si>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</si>
  <si>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</si>
  <si>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</si>
  <si>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</si>
  <si>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</si>
  <si>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</si>
  <si>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</si>
  <si>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</si>
  <si>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</si>
  <si>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</si>
  <si>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</si>
  <si>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</si>
  <si>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</si>
  <si>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</si>
  <si>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</si>
  <si>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</si>
  <si>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</si>
  <si>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</si>
  <si>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</si>
  <si>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</si>
  <si>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</si>
  <si>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</si>
  <si>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</si>
  <si>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</si>
  <si>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</si>
  <si>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</si>
  <si>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</si>
  <si>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</si>
  <si>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</si>
  <si>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</si>
  <si>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</si>
  <si>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</si>
  <si>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</si>
  <si>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</si>
  <si>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</si>
  <si>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</si>
  <si>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</si>
  <si>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</si>
  <si>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</si>
  <si>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</si>
  <si>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</si>
  <si>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</si>
  <si>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</si>
  <si>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</si>
  <si>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</si>
  <si>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</si>
  <si>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</si>
  <si>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</si>
  <si>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</si>
  <si>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</si>
  <si>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</si>
  <si>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</si>
  <si>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</si>
  <si>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</si>
  <si>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</si>
  <si>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</si>
  <si>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</si>
  <si>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</si>
  <si>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</si>
  <si>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</si>
  <si>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</si>
  <si>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</si>
  <si>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</si>
  <si>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</si>
  <si>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</si>
  <si>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</si>
  <si>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</si>
  <si>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</si>
  <si>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</si>
  <si>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</si>
  <si>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</si>
  <si>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</si>
  <si>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</si>
  <si>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</si>
  <si>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</si>
  <si>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</si>
  <si>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</si>
  <si>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</si>
  <si>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</si>
  <si>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</si>
  <si>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</si>
  <si>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</si>
  <si>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</si>
  <si>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</si>
  <si>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</si>
  <si>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</si>
  <si>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</si>
  <si>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</si>
  <si>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</si>
  <si>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</si>
  <si>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</si>
  <si>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</si>
  <si>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</si>
  <si>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</si>
  <si>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</si>
  <si>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</si>
  <si>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</si>
  <si>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</si>
  <si>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</si>
  <si>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</si>
  <si>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</si>
  <si>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</si>
  <si>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</si>
  <si>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</si>
  <si>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</si>
  <si>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</si>
  <si>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</si>
  <si>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</si>
  <si>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</si>
  <si>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</si>
  <si>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</si>
  <si>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</si>
  <si>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</si>
  <si>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</si>
  <si>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</si>
  <si>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</si>
  <si>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</si>
  <si>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</si>
  <si>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</si>
  <si>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</si>
  <si>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</si>
  <si>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</si>
  <si>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</si>
  <si>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</si>
  <si>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</si>
  <si>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</si>
  <si>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</si>
  <si>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</si>
  <si>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</si>
  <si>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</si>
  <si>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</si>
  <si>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</si>
  <si>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</si>
  <si>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</si>
  <si>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</si>
  <si>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</si>
  <si>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</si>
  <si>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</si>
  <si>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</si>
  <si>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</si>
  <si>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</si>
  <si>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</si>
  <si>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</si>
  <si>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</si>
  <si>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</si>
  <si>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</si>
  <si>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</si>
  <si>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</si>
  <si>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</si>
  <si>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</si>
  <si>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</si>
  <si>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</si>
  <si>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</si>
  <si>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</si>
  <si>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</si>
  <si>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</si>
  <si>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</si>
  <si>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</si>
  <si>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</si>
  <si>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</si>
  <si>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</si>
  <si>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</si>
  <si>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</si>
  <si>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</si>
  <si>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</si>
  <si>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</si>
  <si>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</si>
  <si>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</si>
  <si>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</si>
  <si>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</si>
  <si>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</si>
  <si>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</si>
  <si>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</si>
  <si>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</si>
  <si>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</si>
  <si>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</si>
  <si>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</si>
  <si>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</si>
  <si>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</si>
  <si>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</si>
  <si>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</si>
  <si>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</si>
  <si>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</si>
  <si>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</si>
  <si>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</si>
  <si>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</si>
  <si>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</si>
  <si>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</si>
  <si>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</si>
  <si>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</si>
  <si>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</si>
  <si>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</si>
  <si>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</si>
  <si>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</si>
  <si>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</si>
  <si>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</si>
  <si>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</si>
  <si>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</si>
  <si>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</si>
  <si>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</si>
  <si>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</si>
  <si>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</si>
  <si>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</si>
  <si>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</si>
  <si>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</si>
  <si>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</si>
  <si>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</si>
  <si>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</si>
  <si>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</si>
  <si>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</si>
  <si>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</si>
  <si>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</si>
  <si>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</si>
  <si>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</si>
  <si>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</si>
  <si>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</si>
  <si>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</si>
  <si>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</si>
  <si>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</si>
  <si>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</si>
  <si>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</si>
  <si>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</si>
  <si>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</si>
  <si>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</si>
  <si>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</si>
  <si>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</si>
  <si>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</si>
  <si>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</si>
  <si>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</si>
  <si>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</si>
  <si>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</si>
  <si>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</si>
  <si>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</si>
  <si>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</si>
  <si>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</si>
  <si>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</si>
  <si>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</si>
  <si>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</si>
  <si>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</si>
  <si>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</si>
  <si>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</si>
  <si>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</si>
  <si>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</si>
  <si>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</si>
  <si>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</si>
  <si>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</si>
  <si>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</si>
  <si>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</si>
  <si>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</si>
  <si>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</si>
  <si>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</si>
  <si>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</si>
  <si>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</si>
  <si>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</si>
  <si>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</si>
  <si>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</si>
  <si>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</si>
  <si>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</si>
  <si>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</si>
  <si>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</si>
  <si>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</si>
  <si>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</si>
  <si>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</si>
  <si>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</si>
  <si>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</si>
  <si>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</si>
  <si>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</si>
  <si>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</si>
  <si>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</si>
  <si>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</si>
  <si>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</si>
  <si>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</si>
  <si>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</si>
  <si>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</si>
  <si>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</si>
  <si>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</si>
  <si>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</si>
  <si>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</si>
  <si>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</si>
  <si>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</si>
  <si>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</si>
  <si>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</si>
  <si>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</si>
  <si>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</si>
  <si>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</si>
  <si>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</si>
  <si>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</si>
  <si>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</si>
  <si>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</si>
  <si>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</si>
  <si>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</si>
  <si>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</si>
  <si>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</si>
  <si>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</si>
  <si>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</si>
  <si>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</si>
  <si>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</si>
  <si>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</si>
  <si>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</si>
  <si>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</si>
  <si>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</si>
  <si>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</si>
  <si>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</si>
  <si>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</si>
  <si>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</si>
  <si>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</si>
  <si>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</si>
  <si>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</si>
  <si>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</si>
  <si>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</si>
  <si>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</si>
  <si>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</si>
  <si>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</si>
  <si>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</si>
  <si>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</si>
  <si>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</si>
  <si>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</si>
  <si>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</si>
  <si>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</si>
  <si>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</si>
  <si>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</si>
  <si>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</si>
  <si>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</si>
  <si>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</si>
  <si>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</si>
  <si>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</si>
  <si>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</si>
  <si>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</si>
  <si>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</si>
  <si>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</si>
  <si>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</si>
  <si>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</si>
  <si>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</si>
  <si>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</si>
  <si>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</si>
  <si>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</si>
  <si>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</si>
  <si>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</si>
  <si>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</si>
  <si>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</si>
  <si>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</si>
  <si>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</si>
  <si>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</si>
  <si>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</si>
  <si>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</si>
  <si>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</si>
  <si>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</si>
  <si>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</si>
  <si>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</si>
  <si>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</si>
  <si>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</si>
  <si>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</si>
  <si>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</si>
  <si>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</si>
  <si>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</si>
  <si>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</si>
  <si>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</si>
  <si>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</si>
  <si>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</si>
  <si>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</si>
  <si>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</si>
  <si>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</si>
  <si>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</si>
  <si>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</si>
  <si>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</si>
  <si>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</si>
  <si>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</si>
  <si>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</si>
  <si>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</si>
  <si>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</si>
  <si>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</si>
  <si>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</si>
  <si>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</si>
  <si>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</si>
  <si>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</si>
  <si>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</si>
  <si>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</si>
  <si>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</si>
  <si>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</si>
  <si>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</si>
  <si>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</si>
  <si>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</si>
  <si>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</si>
  <si>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</si>
  <si>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</si>
  <si>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</si>
  <si>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</si>
  <si>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</si>
  <si>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</si>
  <si>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</si>
  <si>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</si>
  <si>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</si>
  <si>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</si>
  <si>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</si>
  <si>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</si>
  <si>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</si>
  <si>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</si>
  <si>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</si>
  <si>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</si>
  <si>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</si>
  <si>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</si>
  <si>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</si>
  <si>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</si>
  <si>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</si>
  <si>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</si>
  <si>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</si>
  <si>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</si>
  <si>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</si>
  <si>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</si>
  <si>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</si>
  <si>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</si>
  <si>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</si>
  <si>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</si>
  <si>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</si>
  <si>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</si>
  <si>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</si>
  <si>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</si>
  <si>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</si>
  <si>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</si>
  <si>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</si>
  <si>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</si>
  <si>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</si>
  <si>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</si>
  <si>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</si>
  <si>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</si>
  <si>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</si>
  <si>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</si>
  <si>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</si>
  <si>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</si>
  <si>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</si>
  <si>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</si>
  <si>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</si>
  <si>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</si>
  <si>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</si>
  <si>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</si>
  <si>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</si>
  <si>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</si>
  <si>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</si>
  <si>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</si>
  <si>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</si>
  <si>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</si>
  <si>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</si>
  <si>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</si>
  <si>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</si>
  <si>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</si>
  <si>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</si>
  <si>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</si>
  <si>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</si>
  <si>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</si>
  <si>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</si>
  <si>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</si>
  <si>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</si>
  <si>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</si>
  <si>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</si>
  <si>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</si>
  <si>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</si>
  <si>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</si>
  <si>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</si>
  <si>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</si>
  <si>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</si>
  <si>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</si>
  <si>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</si>
  <si>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</si>
  <si>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</si>
  <si>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</si>
  <si>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</si>
  <si>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</si>
  <si>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</si>
  <si>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</si>
  <si>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</si>
  <si>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</si>
  <si>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</si>
  <si>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</si>
  <si>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</si>
  <si>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</si>
  <si>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</si>
  <si>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</si>
  <si>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</si>
  <si>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</si>
  <si>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</si>
  <si>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</si>
  <si>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</si>
  <si>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</si>
  <si>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</si>
  <si>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</si>
  <si>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</si>
  <si>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</si>
  <si>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</si>
  <si>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</si>
  <si>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</si>
  <si>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</si>
  <si>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</si>
  <si>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</si>
  <si>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</si>
  <si>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</si>
  <si>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</si>
  <si>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</si>
  <si>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</si>
  <si>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</si>
  <si>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</si>
  <si>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</si>
  <si>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</si>
  <si>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</si>
  <si>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</si>
  <si>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</si>
  <si>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</si>
  <si>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</si>
  <si>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</si>
  <si>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</si>
  <si>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</si>
  <si>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</si>
  <si>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</si>
  <si>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</si>
  <si>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</si>
  <si>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</si>
  <si>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</si>
  <si>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</si>
  <si>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</si>
  <si>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</si>
  <si>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</si>
  <si>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</si>
  <si>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</si>
  <si>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</si>
  <si>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</si>
  <si>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</si>
  <si>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</si>
  <si>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</si>
  <si>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</si>
  <si>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</si>
  <si>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</si>
  <si>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</si>
  <si>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</si>
  <si>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</si>
  <si>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</si>
  <si>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</si>
  <si>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</si>
  <si>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</si>
  <si>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</si>
  <si>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</si>
  <si>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</si>
  <si>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</si>
  <si>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</si>
  <si>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</si>
  <si>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</si>
  <si>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</si>
  <si>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</si>
  <si>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</si>
  <si>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</si>
  <si>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</si>
  <si>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</si>
  <si>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</si>
  <si>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</si>
  <si>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</si>
  <si>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</si>
  <si>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</si>
  <si>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</si>
  <si>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</si>
  <si>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</si>
  <si>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</si>
  <si>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</si>
  <si>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</si>
  <si>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</si>
  <si>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</si>
  <si>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</si>
  <si>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</si>
  <si>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</si>
  <si>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</si>
  <si>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</si>
  <si>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</si>
  <si>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</si>
  <si>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</si>
  <si>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</si>
  <si>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</si>
  <si>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</si>
  <si>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</si>
  <si>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</si>
  <si>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</si>
  <si>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</si>
  <si>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</si>
  <si>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</si>
  <si>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</si>
  <si>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</si>
  <si>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</si>
  <si>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</si>
  <si>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</si>
  <si>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</si>
  <si>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</si>
  <si>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</si>
  <si>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</si>
  <si>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</si>
  <si>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</si>
  <si>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</si>
  <si>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</si>
  <si>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</si>
  <si>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</si>
  <si>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</si>
  <si>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</si>
  <si>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</si>
  <si>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</si>
  <si>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</si>
  <si>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</si>
  <si>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</si>
  <si>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</si>
  <si>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</si>
  <si>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</si>
  <si>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</si>
  <si>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</si>
  <si>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</si>
  <si>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</si>
  <si>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</si>
  <si>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</si>
  <si>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</si>
  <si>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</si>
  <si>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</si>
  <si>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</si>
  <si>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</si>
  <si>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</si>
  <si>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</si>
  <si>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</si>
  <si>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</si>
  <si>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</si>
  <si>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</si>
  <si>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</si>
  <si>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</si>
  <si>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</si>
  <si>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</si>
  <si>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</si>
  <si>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</si>
  <si>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</si>
  <si>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</si>
  <si>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</si>
  <si>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</si>
  <si>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</si>
  <si>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</si>
  <si>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</si>
  <si>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</si>
  <si>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</si>
  <si>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</si>
  <si>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</si>
  <si>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</si>
  <si>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</si>
  <si>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</si>
  <si>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</si>
  <si>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</si>
  <si>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</si>
  <si>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</si>
  <si>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</si>
  <si>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</si>
  <si>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</si>
  <si>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</si>
  <si>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</si>
  <si>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</si>
  <si>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</si>
  <si>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</si>
  <si>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</si>
  <si>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</si>
  <si>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</si>
  <si>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</si>
  <si>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</si>
  <si>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</si>
  <si>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</si>
  <si>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</si>
  <si>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</si>
  <si>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</si>
  <si>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</si>
  <si>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</si>
  <si>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</si>
  <si>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</si>
  <si>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</si>
  <si>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</si>
  <si>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</si>
  <si>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</si>
  <si>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</si>
  <si>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</si>
  <si>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</si>
  <si>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</si>
  <si>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</si>
  <si>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</si>
  <si>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</si>
  <si>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</si>
  <si>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</si>
  <si>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</si>
  <si>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</si>
  <si>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</si>
  <si>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</si>
  <si>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</si>
  <si>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</si>
  <si>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</si>
  <si>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</si>
  <si>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</si>
  <si>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</si>
  <si>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</si>
  <si>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</si>
  <si>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</si>
  <si>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</si>
  <si>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</si>
  <si>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</si>
  <si>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</si>
  <si>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</si>
  <si>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</si>
  <si>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</si>
  <si>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</si>
  <si>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</si>
  <si>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</si>
  <si>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</si>
  <si>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</si>
  <si>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</si>
  <si>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</si>
  <si>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</si>
  <si>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</si>
  <si>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</si>
  <si>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</si>
  <si>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</si>
  <si>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</si>
  <si>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</si>
  <si>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</si>
  <si>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</si>
  <si>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</si>
  <si>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</si>
  <si>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</si>
  <si>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</si>
  <si>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</si>
  <si>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</si>
  <si>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</si>
  <si>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</si>
  <si>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</si>
  <si>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</si>
  <si>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</si>
  <si>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</si>
  <si>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</si>
  <si>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</si>
  <si>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</si>
  <si>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</si>
  <si>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</si>
  <si>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</si>
  <si>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</si>
  <si>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</si>
  <si>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</si>
  <si>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</si>
  <si>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</si>
  <si>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</si>
  <si>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</si>
  <si>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</si>
  <si>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</si>
  <si>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</si>
  <si>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</si>
  <si>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</si>
  <si>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</si>
  <si>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</si>
  <si>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</si>
  <si>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</si>
  <si>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</si>
  <si>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</si>
  <si>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</si>
  <si>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</si>
  <si>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</si>
  <si>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</si>
  <si>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</si>
  <si>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</si>
  <si>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</si>
  <si>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</si>
  <si>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</si>
  <si>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</si>
  <si>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</si>
  <si>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</si>
  <si>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</si>
  <si>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</si>
  <si>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</si>
  <si>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</si>
  <si>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</si>
  <si>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</si>
  <si>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</si>
  <si>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</si>
  <si>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</si>
  <si>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</si>
  <si>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</si>
  <si>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</si>
  <si>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</si>
  <si>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</si>
  <si>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</si>
  <si>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</si>
  <si>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</si>
  <si>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</si>
  <si>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</si>
  <si>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</si>
  <si>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</si>
  <si>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</si>
  <si>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</si>
  <si>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</si>
  <si>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</si>
  <si>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</si>
  <si>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</si>
  <si>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</si>
  <si>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</si>
  <si>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</si>
  <si>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</si>
  <si>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</si>
  <si>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</si>
  <si>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</si>
  <si>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</si>
  <si>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</si>
  <si>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</si>
  <si>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</si>
  <si>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</si>
  <si>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</si>
  <si>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</si>
  <si>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</si>
  <si>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</si>
  <si>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</si>
  <si>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</si>
  <si>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</si>
  <si>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</si>
  <si>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</si>
  <si>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</si>
  <si>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</si>
  <si>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</si>
  <si>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</si>
  <si>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</si>
  <si>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</si>
  <si>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</si>
  <si>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</si>
  <si>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</si>
  <si>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</si>
  <si>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</si>
  <si>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</si>
  <si>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</si>
  <si>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</si>
  <si>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</si>
  <si>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</si>
  <si>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</si>
  <si>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</si>
  <si>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</si>
  <si>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</si>
  <si>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</si>
  <si>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</si>
  <si>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</si>
  <si>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</si>
  <si>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</si>
  <si>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</si>
  <si>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</si>
  <si>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</si>
  <si>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</si>
  <si>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</si>
  <si>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</si>
  <si>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</si>
  <si>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</si>
  <si>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</si>
  <si>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</si>
  <si>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</si>
  <si>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</si>
  <si>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</si>
  <si>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</si>
  <si>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</si>
  <si>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</si>
  <si>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</si>
  <si>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</si>
  <si>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</si>
  <si>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</si>
  <si>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</si>
  <si>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</si>
  <si>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</si>
  <si>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</si>
  <si>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</si>
  <si>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</si>
  <si>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</si>
  <si>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</si>
  <si>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</si>
  <si>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</si>
  <si>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</si>
  <si>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</si>
  <si>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</si>
  <si>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</si>
  <si>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</si>
  <si>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</si>
  <si>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</si>
  <si>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</si>
  <si>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</si>
  <si>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</si>
  <si>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</si>
  <si>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</si>
  <si>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</si>
  <si>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</si>
  <si>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</si>
  <si>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</si>
  <si>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</si>
  <si>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</si>
  <si>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</si>
  <si>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</si>
  <si>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</si>
  <si>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</si>
  <si>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</si>
  <si>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</si>
  <si>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</si>
  <si>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</si>
  <si>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</si>
  <si>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</si>
  <si>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</si>
  <si>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</si>
  <si>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</si>
  <si>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</si>
  <si>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</si>
  <si>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</si>
  <si>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</si>
  <si>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</si>
  <si>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</si>
  <si>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</si>
  <si>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</si>
  <si>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</si>
  <si>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</si>
  <si>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</si>
  <si>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</si>
  <si>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</si>
  <si>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</si>
  <si>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</si>
  <si>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</si>
  <si>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</si>
  <si>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</si>
  <si>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</si>
  <si>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</si>
  <si>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</si>
  <si>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</si>
  <si>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</si>
  <si>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</si>
  <si>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</si>
  <si>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</si>
  <si>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</si>
  <si>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</si>
  <si>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</si>
  <si>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</si>
  <si>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</si>
  <si>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</si>
  <si>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</si>
  <si>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</si>
  <si>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</si>
  <si>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</si>
  <si>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</si>
  <si>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</si>
  <si>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</si>
  <si>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</si>
  <si>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</si>
  <si>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</si>
  <si>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</si>
  <si>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</si>
  <si>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</si>
  <si>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</si>
  <si>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</si>
  <si>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</si>
  <si>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</si>
  <si>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</si>
  <si>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</si>
  <si>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</si>
  <si>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</si>
  <si>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</si>
  <si>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</si>
  <si>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</si>
  <si>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</si>
  <si>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</si>
  <si>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</si>
  <si>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</si>
  <si>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</si>
  <si>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</si>
  <si>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</si>
  <si>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</si>
  <si>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</si>
  <si>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</si>
  <si>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</si>
  <si>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</si>
  <si>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</si>
  <si>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</si>
  <si>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</si>
  <si>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</si>
  <si>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</si>
  <si>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</si>
  <si>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</si>
  <si>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</si>
  <si>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</si>
  <si>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</si>
  <si>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</si>
  <si>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</si>
  <si>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</si>
  <si>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</si>
  <si>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</si>
  <si>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</si>
  <si>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</si>
  <si>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</si>
  <si>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</si>
  <si>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</si>
  <si>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</si>
  <si>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</si>
  <si>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</si>
  <si>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</si>
  <si>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</si>
  <si>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</si>
  <si>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</si>
  <si>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</si>
  <si>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</si>
  <si>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</si>
  <si>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</si>
  <si>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</si>
  <si>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</si>
  <si>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</si>
  <si>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</si>
  <si>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</si>
  <si>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</si>
  <si>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</si>
  <si>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</si>
  <si>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</si>
  <si>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</si>
  <si>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</si>
  <si>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</si>
  <si>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</si>
  <si>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</si>
  <si>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</si>
  <si>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</si>
  <si>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</si>
  <si>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</si>
  <si>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</si>
  <si>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</si>
  <si>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</si>
  <si>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</si>
  <si>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</si>
  <si>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</si>
  <si>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</si>
  <si>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</si>
  <si>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</si>
  <si>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</si>
  <si>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</si>
  <si>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</si>
  <si>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</si>
  <si>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</si>
  <si>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</si>
  <si>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</si>
  <si>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</si>
  <si>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</si>
  <si>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</si>
  <si>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</si>
  <si>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</si>
  <si>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</si>
  <si>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</si>
  <si>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</si>
  <si>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</si>
  <si>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</si>
  <si>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</si>
  <si>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</si>
  <si>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</si>
  <si>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</si>
  <si>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</si>
  <si>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</si>
  <si>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</si>
  <si>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</si>
  <si>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</si>
  <si>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</si>
  <si>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</si>
  <si>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</si>
  <si>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</si>
  <si>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</si>
  <si>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</si>
  <si>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</si>
  <si>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</si>
  <si>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</si>
  <si>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</si>
  <si>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</si>
  <si>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</si>
  <si>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</si>
  <si>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</si>
  <si>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</si>
  <si>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</si>
  <si>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</si>
  <si>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</si>
  <si>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</si>
  <si>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</si>
  <si>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</si>
  <si>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</si>
  <si>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</si>
  <si>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</si>
  <si>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</si>
  <si>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</si>
  <si>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</si>
  <si>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</si>
  <si>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</si>
  <si>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</si>
  <si>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</si>
  <si>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</si>
  <si>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</si>
  <si>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</si>
  <si>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</si>
  <si>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</si>
  <si>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</si>
  <si>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</si>
  <si>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</si>
  <si>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</si>
  <si>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</si>
  <si>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</si>
  <si>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</si>
  <si>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</si>
  <si>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</si>
  <si>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</si>
  <si>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</si>
  <si>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</si>
  <si>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</si>
  <si>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</si>
  <si>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</si>
  <si>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</si>
  <si>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</si>
  <si>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</si>
  <si>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</si>
  <si>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</si>
  <si>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</si>
  <si>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</si>
  <si>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</si>
  <si>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</si>
  <si>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</si>
  <si>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</si>
  <si>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</si>
  <si>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</si>
  <si>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</si>
  <si>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</si>
  <si>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</si>
  <si>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</si>
  <si>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</si>
  <si>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</si>
  <si>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</si>
  <si>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</si>
  <si>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</si>
  <si>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</si>
  <si>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</si>
  <si>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</si>
  <si>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</si>
  <si>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</si>
  <si>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</si>
  <si>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</si>
  <si>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</si>
  <si>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</si>
  <si>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</si>
  <si>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</si>
  <si>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</si>
  <si>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</si>
  <si>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</si>
  <si>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</si>
  <si>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</si>
  <si>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</si>
  <si>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CJ6-T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</si>
  <si>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</si>
  <si>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</si>
  <si>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</si>
  <si>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</si>
  <si>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</si>
  <si>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</si>
  <si>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</si>
  <si>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</si>
  <si>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B2</t>
  </si>
  <si>
    <t>CA1</t>
  </si>
  <si>
    <t xml:space="preserve"> </t>
  </si>
  <si>
    <t>CA5</t>
  </si>
  <si>
    <t>MJ6-T</t>
  </si>
  <si>
    <t>KONSTRUKSI JARINGAN 1 PHASE</t>
  </si>
  <si>
    <t>KOORDINAT : -6.927641, 110.690230</t>
  </si>
  <si>
    <t>DS GETAS KEC. WONOSALAM</t>
  </si>
  <si>
    <t>IOH GETAS</t>
  </si>
  <si>
    <t>PEMINDAHAN JTR KE TIANG BARU</t>
  </si>
  <si>
    <t>PENARIKAN JTR BARU</t>
  </si>
  <si>
    <t>CJ7-T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</si>
</sst>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166" fontId="24" fillId="0" borderId="0" applyFont="0" applyFill="0" applyBorder="0" applyAlignment="0" applyProtection="0"/>
  </cellStyleXfs>
  <cellXfs count="731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43" fontId="144" fillId="40" borderId="85" xfId="2672" applyFont="1" applyFill="1" applyBorder="1" applyAlignment="1" applyProtection="1">
      <alignment horizontal="right" vertical="center" wrapText="1"/>
      <protection locked="0"/>
    </xf>
    <xf numFmtId="43" fontId="144" fillId="40" borderId="87" xfId="2672" applyFont="1" applyFill="1" applyBorder="1" applyAlignment="1" applyProtection="1">
      <alignment horizontal="right" vertical="center"/>
      <protection locked="0"/>
    </xf>
    <xf numFmtId="168" fontId="144" fillId="40" borderId="87" xfId="2672" applyNumberFormat="1" applyFont="1" applyFill="1" applyBorder="1" applyAlignment="1" applyProtection="1">
      <alignment horizontal="right" vertical="center"/>
      <protection locked="0"/>
    </xf>
    <xf numFmtId="168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3" fontId="117" fillId="0" borderId="21" xfId="1451" applyNumberFormat="1" applyFont="1" applyBorder="1" applyAlignment="1">
      <alignment horizontal="center" vertical="center" wrapText="1"/>
    </xf>
    <xf numFmtId="0" fontId="131" fillId="48" borderId="21" xfId="1652" applyFont="1" applyFill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9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117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9" fillId="35" borderId="3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207" fontId="123" fillId="0" borderId="73" xfId="1450" applyNumberFormat="1" applyFont="1" applyBorder="1" applyAlignment="1">
      <alignment horizontal="left" vertical="center"/>
    </xf>
    <xf numFmtId="207" fontId="178" fillId="0" borderId="74" xfId="1450" applyNumberFormat="1" applyFont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  <xf numFmtId="0" fontId="131" fillId="0" borderId="21" xfId="1652" applyFont="1" applyFill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8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8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168</xdr:row>
      <xdr:rowOff>81642</xdr:rowOff>
    </xdr:from>
    <xdr:to>
      <xdr:col>11</xdr:col>
      <xdr:colOff>149965</xdr:colOff>
      <xdr:row>171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359020</xdr:colOff>
      <xdr:row>47</xdr:row>
      <xdr:rowOff>146539</xdr:rowOff>
    </xdr:from>
    <xdr:to>
      <xdr:col>14</xdr:col>
      <xdr:colOff>373674</xdr:colOff>
      <xdr:row>52</xdr:row>
      <xdr:rowOff>65210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821DE72A-3CA3-4D3F-9E97-DE70EBF2A7E5}"/>
            </a:ext>
          </a:extLst>
        </xdr:cNvPr>
        <xdr:cNvCxnSpPr>
          <a:cxnSpLocks/>
        </xdr:cNvCxnSpPr>
      </xdr:nvCxnSpPr>
      <xdr:spPr>
        <a:xfrm flipH="1" flipV="1">
          <a:off x="5238751" y="7407520"/>
          <a:ext cx="14654" cy="79057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251573</xdr:colOff>
      <xdr:row>8</xdr:row>
      <xdr:rowOff>25265</xdr:rowOff>
    </xdr:from>
    <xdr:to>
      <xdr:col>5</xdr:col>
      <xdr:colOff>280907</xdr:colOff>
      <xdr:row>31</xdr:row>
      <xdr:rowOff>127509</xdr:rowOff>
    </xdr:to>
    <xdr:cxnSp macro="">
      <xdr:nvCxnSpPr>
        <xdr:cNvPr id="346" name="Straight Connector 345">
          <a:extLst>
            <a:ext uri="{FF2B5EF4-FFF2-40B4-BE49-F238E27FC236}">
              <a16:creationId xmlns:a16="http://schemas.microsoft.com/office/drawing/2014/main" id="{0E69B120-C782-41F3-863B-49AB63B72943}"/>
            </a:ext>
          </a:extLst>
        </xdr:cNvPr>
        <xdr:cNvCxnSpPr>
          <a:stCxn id="209" idx="3"/>
          <a:endCxn id="46" idx="2"/>
        </xdr:cNvCxnSpPr>
      </xdr:nvCxnSpPr>
      <xdr:spPr>
        <a:xfrm flipH="1">
          <a:off x="1709312" y="1251091"/>
          <a:ext cx="29334" cy="353952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326998</xdr:colOff>
      <xdr:row>8</xdr:row>
      <xdr:rowOff>25265</xdr:rowOff>
    </xdr:from>
    <xdr:to>
      <xdr:col>5</xdr:col>
      <xdr:colOff>343391</xdr:colOff>
      <xdr:row>31</xdr:row>
      <xdr:rowOff>92019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FBA5C7F4-BE4F-40E1-B884-91FEE1CA8511}"/>
            </a:ext>
          </a:extLst>
        </xdr:cNvPr>
        <xdr:cNvCxnSpPr>
          <a:stCxn id="209" idx="5"/>
          <a:endCxn id="46" idx="7"/>
        </xdr:cNvCxnSpPr>
      </xdr:nvCxnSpPr>
      <xdr:spPr>
        <a:xfrm flipH="1">
          <a:off x="1784737" y="1251091"/>
          <a:ext cx="16393" cy="3504037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64956</xdr:colOff>
      <xdr:row>71</xdr:row>
      <xdr:rowOff>57017</xdr:rowOff>
    </xdr:from>
    <xdr:to>
      <xdr:col>15</xdr:col>
      <xdr:colOff>57150</xdr:colOff>
      <xdr:row>88</xdr:row>
      <xdr:rowOff>47625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798756" y="11039342"/>
          <a:ext cx="1516194" cy="258140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47</xdr:row>
      <xdr:rowOff>152400</xdr:rowOff>
    </xdr:from>
    <xdr:to>
      <xdr:col>18</xdr:col>
      <xdr:colOff>266700</xdr:colOff>
      <xdr:row>48</xdr:row>
      <xdr:rowOff>47625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1990725" y="7353300"/>
          <a:ext cx="4676775" cy="5715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78872</xdr:colOff>
      <xdr:row>6</xdr:row>
      <xdr:rowOff>44825</xdr:rowOff>
    </xdr:from>
    <xdr:to>
      <xdr:col>8</xdr:col>
      <xdr:colOff>212913</xdr:colOff>
      <xdr:row>37</xdr:row>
      <xdr:rowOff>22412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01A9A37-FFDB-5C06-7CD1-C80BA8836188}"/>
            </a:ext>
          </a:extLst>
        </xdr:cNvPr>
        <xdr:cNvGrpSpPr/>
      </xdr:nvGrpSpPr>
      <xdr:grpSpPr>
        <a:xfrm>
          <a:off x="1145672" y="978275"/>
          <a:ext cx="1658041" cy="4711512"/>
          <a:chOff x="426254" y="1030942"/>
          <a:chExt cx="1658041" cy="4829734"/>
        </a:xfrm>
      </xdr:grpSpPr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55663F0D-54C9-48A3-9BDA-485C0206CA10}"/>
              </a:ext>
            </a:extLst>
          </xdr:cNvPr>
          <xdr:cNvCxnSpPr>
            <a:cxnSpLocks/>
          </xdr:cNvCxnSpPr>
        </xdr:nvCxnSpPr>
        <xdr:spPr>
          <a:xfrm flipH="1" flipV="1">
            <a:off x="1233939" y="1087077"/>
            <a:ext cx="21120" cy="4773599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AD30155D-B870-4C0D-8AD9-9436592A7986}"/>
              </a:ext>
            </a:extLst>
          </xdr:cNvPr>
          <xdr:cNvCxnSpPr>
            <a:cxnSpLocks/>
          </xdr:cNvCxnSpPr>
        </xdr:nvCxnSpPr>
        <xdr:spPr>
          <a:xfrm flipH="1">
            <a:off x="426254" y="1030942"/>
            <a:ext cx="1658041" cy="12931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142875</xdr:colOff>
      <xdr:row>35</xdr:row>
      <xdr:rowOff>142875</xdr:rowOff>
    </xdr:from>
    <xdr:to>
      <xdr:col>6</xdr:col>
      <xdr:colOff>171450</xdr:colOff>
      <xdr:row>49</xdr:row>
      <xdr:rowOff>9525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9E26534-F1A3-4A6C-83C8-4B6CBE406AA5}"/>
            </a:ext>
          </a:extLst>
        </xdr:cNvPr>
        <xdr:cNvCxnSpPr>
          <a:cxnSpLocks/>
        </xdr:cNvCxnSpPr>
      </xdr:nvCxnSpPr>
      <xdr:spPr>
        <a:xfrm flipH="1" flipV="1">
          <a:off x="1971675" y="5495925"/>
          <a:ext cx="28575" cy="20288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68792</xdr:colOff>
      <xdr:row>32</xdr:row>
      <xdr:rowOff>122740</xdr:rowOff>
    </xdr:from>
    <xdr:to>
      <xdr:col>15</xdr:col>
      <xdr:colOff>57150</xdr:colOff>
      <xdr:row>32</xdr:row>
      <xdr:rowOff>133350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8B07A6A-A72A-4FFE-8ACA-8E5082D4F70B}"/>
            </a:ext>
          </a:extLst>
        </xdr:cNvPr>
        <xdr:cNvCxnSpPr>
          <a:cxnSpLocks/>
        </xdr:cNvCxnSpPr>
      </xdr:nvCxnSpPr>
      <xdr:spPr>
        <a:xfrm flipH="1" flipV="1">
          <a:off x="1897592" y="5018590"/>
          <a:ext cx="3417358" cy="1061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364472</xdr:colOff>
      <xdr:row>4</xdr:row>
      <xdr:rowOff>123265</xdr:rowOff>
    </xdr:from>
    <xdr:to>
      <xdr:col>7</xdr:col>
      <xdr:colOff>246530</xdr:colOff>
      <xdr:row>4</xdr:row>
      <xdr:rowOff>131499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endCxn id="195" idx="6"/>
        </xdr:cNvCxnSpPr>
      </xdr:nvCxnSpPr>
      <xdr:spPr>
        <a:xfrm flipH="1">
          <a:off x="1440237" y="750794"/>
          <a:ext cx="1025058" cy="8234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337822</xdr:colOff>
      <xdr:row>52</xdr:row>
      <xdr:rowOff>111545</xdr:rowOff>
    </xdr:from>
    <xdr:to>
      <xdr:col>15</xdr:col>
      <xdr:colOff>310493</xdr:colOff>
      <xdr:row>54</xdr:row>
      <xdr:rowOff>98768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5214622" y="8179220"/>
          <a:ext cx="353671" cy="30154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5</xdr:col>
      <xdr:colOff>343728</xdr:colOff>
      <xdr:row>31</xdr:row>
      <xdr:rowOff>77993</xdr:rowOff>
    </xdr:from>
    <xdr:to>
      <xdr:col>6</xdr:col>
      <xdr:colOff>104879</xdr:colOff>
      <xdr:row>32</xdr:row>
      <xdr:rowOff>87796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1791528" y="4821443"/>
          <a:ext cx="142151" cy="16220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44900</xdr:colOff>
      <xdr:row>31</xdr:row>
      <xdr:rowOff>22733</xdr:rowOff>
    </xdr:from>
    <xdr:to>
      <xdr:col>8</xdr:col>
      <xdr:colOff>133266</xdr:colOff>
      <xdr:row>31</xdr:row>
      <xdr:rowOff>115407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2635700" y="4766183"/>
          <a:ext cx="88366" cy="92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276106</xdr:colOff>
      <xdr:row>4</xdr:row>
      <xdr:rowOff>81457</xdr:rowOff>
    </xdr:from>
    <xdr:to>
      <xdr:col>4</xdr:col>
      <xdr:colOff>364472</xdr:colOff>
      <xdr:row>5</xdr:row>
      <xdr:rowOff>24658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1342906" y="710107"/>
          <a:ext cx="88366" cy="956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66697</xdr:colOff>
      <xdr:row>7</xdr:row>
      <xdr:rowOff>145171</xdr:rowOff>
    </xdr:from>
    <xdr:to>
      <xdr:col>5</xdr:col>
      <xdr:colOff>155063</xdr:colOff>
      <xdr:row>8</xdr:row>
      <xdr:rowOff>91151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1514497" y="1231021"/>
          <a:ext cx="88366" cy="983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31215</xdr:colOff>
      <xdr:row>31</xdr:row>
      <xdr:rowOff>69070</xdr:rowOff>
    </xdr:from>
    <xdr:to>
      <xdr:col>8</xdr:col>
      <xdr:colOff>44900</xdr:colOff>
      <xdr:row>32</xdr:row>
      <xdr:rowOff>65355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91" idx="2"/>
          <a:endCxn id="189" idx="3"/>
        </xdr:cNvCxnSpPr>
      </xdr:nvCxnSpPr>
      <xdr:spPr>
        <a:xfrm flipH="1">
          <a:off x="1479015" y="4812520"/>
          <a:ext cx="1156685" cy="14868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309563</xdr:colOff>
      <xdr:row>7</xdr:row>
      <xdr:rowOff>26305</xdr:rowOff>
    </xdr:from>
    <xdr:to>
      <xdr:col>8</xdr:col>
      <xdr:colOff>220069</xdr:colOff>
      <xdr:row>16</xdr:row>
      <xdr:rowOff>124166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3640500" flipH="1" flipV="1">
          <a:off x="1735123" y="1515395"/>
          <a:ext cx="1478986" cy="672506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9</xdr:col>
      <xdr:colOff>213905</xdr:colOff>
      <xdr:row>30</xdr:row>
      <xdr:rowOff>125853</xdr:rowOff>
    </xdr:from>
    <xdr:to>
      <xdr:col>10</xdr:col>
      <xdr:colOff>165296</xdr:colOff>
      <xdr:row>32</xdr:row>
      <xdr:rowOff>12182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247112">
          <a:off x="3185705" y="4716903"/>
          <a:ext cx="332391" cy="19112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8</xdr:col>
      <xdr:colOff>138709</xdr:colOff>
      <xdr:row>28</xdr:row>
      <xdr:rowOff>95250</xdr:rowOff>
    </xdr:from>
    <xdr:to>
      <xdr:col>9</xdr:col>
      <xdr:colOff>302292</xdr:colOff>
      <xdr:row>31</xdr:row>
      <xdr:rowOff>31273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2729509" y="4391025"/>
          <a:ext cx="544583" cy="383698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MUSHOLLA</a:t>
          </a:r>
        </a:p>
      </xdr:txBody>
    </xdr:sp>
    <xdr:clientData/>
  </xdr:twoCellAnchor>
  <xdr:twoCellAnchor>
    <xdr:from>
      <xdr:col>5</xdr:col>
      <xdr:colOff>54133</xdr:colOff>
      <xdr:row>13</xdr:row>
      <xdr:rowOff>92319</xdr:rowOff>
    </xdr:from>
    <xdr:to>
      <xdr:col>5</xdr:col>
      <xdr:colOff>142499</xdr:colOff>
      <xdr:row>14</xdr:row>
      <xdr:rowOff>36987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1501933" y="2102094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351531</xdr:colOff>
      <xdr:row>5</xdr:row>
      <xdr:rowOff>11143</xdr:rowOff>
    </xdr:from>
    <xdr:to>
      <xdr:col>5</xdr:col>
      <xdr:colOff>312149</xdr:colOff>
      <xdr:row>7</xdr:row>
      <xdr:rowOff>88673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51A49F52-CBEF-417F-AB87-A66DFB9B399C}"/>
            </a:ext>
          </a:extLst>
        </xdr:cNvPr>
        <xdr:cNvCxnSpPr>
          <a:stCxn id="195" idx="5"/>
          <a:endCxn id="209" idx="0"/>
        </xdr:cNvCxnSpPr>
      </xdr:nvCxnSpPr>
      <xdr:spPr>
        <a:xfrm>
          <a:off x="1428270" y="789708"/>
          <a:ext cx="341618" cy="375704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289047</xdr:colOff>
      <xdr:row>5</xdr:row>
      <xdr:rowOff>10001</xdr:rowOff>
    </xdr:from>
    <xdr:to>
      <xdr:col>5</xdr:col>
      <xdr:colOff>79638</xdr:colOff>
      <xdr:row>8</xdr:row>
      <xdr:rowOff>3352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28672CFA-11B5-445D-A1EC-8C9E8A836493}"/>
            </a:ext>
          </a:extLst>
        </xdr:cNvPr>
        <xdr:cNvCxnSpPr>
          <a:stCxn id="195" idx="3"/>
          <a:endCxn id="199" idx="1"/>
        </xdr:cNvCxnSpPr>
      </xdr:nvCxnSpPr>
      <xdr:spPr>
        <a:xfrm>
          <a:off x="1364812" y="794413"/>
          <a:ext cx="171591" cy="46399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282916</xdr:colOff>
      <xdr:row>8</xdr:row>
      <xdr:rowOff>57191</xdr:rowOff>
    </xdr:from>
    <xdr:to>
      <xdr:col>4</xdr:col>
      <xdr:colOff>371475</xdr:colOff>
      <xdr:row>10</xdr:row>
      <xdr:rowOff>38100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E617BF3E-AA3B-477D-B54B-7CD72AC69967}"/>
            </a:ext>
          </a:extLst>
        </xdr:cNvPr>
        <xdr:cNvSpPr/>
      </xdr:nvSpPr>
      <xdr:spPr>
        <a:xfrm>
          <a:off x="968716" y="1295441"/>
          <a:ext cx="469559" cy="2857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 strike="noStrike">
              <a:solidFill>
                <a:sysClr val="windowText" lastClr="000000"/>
              </a:solidFill>
            </a:rPr>
          </a:br>
          <a:endParaRPr lang="en-US" sz="600" strike="noStrike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307001</xdr:colOff>
      <xdr:row>45</xdr:row>
      <xdr:rowOff>149514</xdr:rowOff>
    </xdr:from>
    <xdr:to>
      <xdr:col>19</xdr:col>
      <xdr:colOff>14367</xdr:colOff>
      <xdr:row>46</xdr:row>
      <xdr:rowOff>88474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F707C5D1-5DF3-43A9-AB70-9552ED0704B3}"/>
            </a:ext>
          </a:extLst>
        </xdr:cNvPr>
        <xdr:cNvGrpSpPr/>
      </xdr:nvGrpSpPr>
      <xdr:grpSpPr>
        <a:xfrm>
          <a:off x="6707801" y="7045614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DF7364C4-3C06-8626-8CDD-02D8388C22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DC2FA017-53ED-188E-4925-E121945F0C98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87715E31-F12E-C82C-F268-6D4DCA5AEF1D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239388</xdr:colOff>
      <xdr:row>49</xdr:row>
      <xdr:rowOff>32263</xdr:rowOff>
    </xdr:from>
    <xdr:to>
      <xdr:col>15</xdr:col>
      <xdr:colOff>327754</xdr:colOff>
      <xdr:row>49</xdr:row>
      <xdr:rowOff>124937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2658A588-8ADE-47C5-A1A5-8A94F8C7D9ED}"/>
            </a:ext>
          </a:extLst>
        </xdr:cNvPr>
        <xdr:cNvGrpSpPr/>
      </xdr:nvGrpSpPr>
      <xdr:grpSpPr>
        <a:xfrm>
          <a:off x="5497188" y="7547488"/>
          <a:ext cx="88366" cy="92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" name="Oval 73">
            <a:extLst>
              <a:ext uri="{FF2B5EF4-FFF2-40B4-BE49-F238E27FC236}">
                <a16:creationId xmlns:a16="http://schemas.microsoft.com/office/drawing/2014/main" id="{6E7082CF-4A90-5698-F509-1037B5B97FD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DE9CF8C9-907E-8AFE-3CB4-F5C844FA555E}"/>
              </a:ext>
            </a:extLst>
          </xdr:cNvPr>
          <xdr:cNvCxnSpPr>
            <a:stCxn id="74" idx="1"/>
            <a:endCxn id="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26ACCECD-1A5E-7D94-02C3-9A84114516BE}"/>
              </a:ext>
            </a:extLst>
          </xdr:cNvPr>
          <xdr:cNvCxnSpPr>
            <a:stCxn id="74" idx="3"/>
            <a:endCxn id="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89186</xdr:colOff>
      <xdr:row>49</xdr:row>
      <xdr:rowOff>47651</xdr:rowOff>
    </xdr:from>
    <xdr:to>
      <xdr:col>18</xdr:col>
      <xdr:colOff>177552</xdr:colOff>
      <xdr:row>49</xdr:row>
      <xdr:rowOff>139011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B98CF98-B9DF-48D8-8E46-CAC533E2CA83}"/>
            </a:ext>
          </a:extLst>
        </xdr:cNvPr>
        <xdr:cNvGrpSpPr/>
      </xdr:nvGrpSpPr>
      <xdr:grpSpPr>
        <a:xfrm>
          <a:off x="6489986" y="7562876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60E15966-BED4-0C2F-EF18-AC6CEEBEFE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FD5B914-71A4-A230-59F9-DC0955B3BAE1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EAD16FA-9712-4F9B-0686-0C4D02AD3D2D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73398</xdr:colOff>
      <xdr:row>2</xdr:row>
      <xdr:rowOff>112059</xdr:rowOff>
    </xdr:from>
    <xdr:to>
      <xdr:col>23</xdr:col>
      <xdr:colOff>73398</xdr:colOff>
      <xdr:row>56</xdr:row>
      <xdr:rowOff>98052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16A6BCC3-E1A3-496D-A301-141CEC9D15A2}"/>
            </a:ext>
          </a:extLst>
        </xdr:cNvPr>
        <xdr:cNvCxnSpPr/>
      </xdr:nvCxnSpPr>
      <xdr:spPr>
        <a:xfrm flipV="1">
          <a:off x="8388163" y="425824"/>
          <a:ext cx="0" cy="853608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213298</xdr:colOff>
      <xdr:row>6</xdr:row>
      <xdr:rowOff>98726</xdr:rowOff>
    </xdr:from>
    <xdr:to>
      <xdr:col>5</xdr:col>
      <xdr:colOff>177722</xdr:colOff>
      <xdr:row>7</xdr:row>
      <xdr:rowOff>134528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263A3A1D-545A-4D60-9B68-393CF917F78A}"/>
            </a:ext>
          </a:extLst>
        </xdr:cNvPr>
        <xdr:cNvSpPr/>
      </xdr:nvSpPr>
      <xdr:spPr>
        <a:xfrm rot="2131308">
          <a:off x="1280098" y="1032176"/>
          <a:ext cx="345424" cy="18820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6</xdr:col>
      <xdr:colOff>84410</xdr:colOff>
      <xdr:row>31</xdr:row>
      <xdr:rowOff>36458</xdr:rowOff>
    </xdr:from>
    <xdr:to>
      <xdr:col>7</xdr:col>
      <xdr:colOff>48834</xdr:colOff>
      <xdr:row>32</xdr:row>
      <xdr:rowOff>66462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24B06B3C-7EE3-444E-BB47-EBE2B43CD452}"/>
            </a:ext>
          </a:extLst>
        </xdr:cNvPr>
        <xdr:cNvSpPr/>
      </xdr:nvSpPr>
      <xdr:spPr>
        <a:xfrm>
          <a:off x="1913210" y="4779908"/>
          <a:ext cx="345424" cy="18240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15</xdr:col>
      <xdr:colOff>262446</xdr:colOff>
      <xdr:row>34</xdr:row>
      <xdr:rowOff>10823</xdr:rowOff>
    </xdr:from>
    <xdr:to>
      <xdr:col>16</xdr:col>
      <xdr:colOff>73888</xdr:colOff>
      <xdr:row>36</xdr:row>
      <xdr:rowOff>38414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7DBF3B55-1E06-412A-9EDA-09BF8E948A55}"/>
            </a:ext>
          </a:extLst>
        </xdr:cNvPr>
        <xdr:cNvSpPr/>
      </xdr:nvSpPr>
      <xdr:spPr>
        <a:xfrm rot="5400000">
          <a:off x="5450271" y="5281448"/>
          <a:ext cx="332391" cy="19244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13</xdr:col>
      <xdr:colOff>193456</xdr:colOff>
      <xdr:row>31</xdr:row>
      <xdr:rowOff>8539</xdr:rowOff>
    </xdr:from>
    <xdr:to>
      <xdr:col>14</xdr:col>
      <xdr:colOff>144847</xdr:colOff>
      <xdr:row>32</xdr:row>
      <xdr:rowOff>44312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B2D3134E-6E2C-4E11-B4CB-BB8B74982A16}"/>
            </a:ext>
          </a:extLst>
        </xdr:cNvPr>
        <xdr:cNvSpPr/>
      </xdr:nvSpPr>
      <xdr:spPr>
        <a:xfrm rot="408359">
          <a:off x="4689256" y="4751989"/>
          <a:ext cx="332391" cy="18817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14</xdr:col>
      <xdr:colOff>333375</xdr:colOff>
      <xdr:row>32</xdr:row>
      <xdr:rowOff>76200</xdr:rowOff>
    </xdr:from>
    <xdr:to>
      <xdr:col>19</xdr:col>
      <xdr:colOff>295275</xdr:colOff>
      <xdr:row>51</xdr:row>
      <xdr:rowOff>114300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970AF74-2BE2-49AB-8D6A-4C9251A2891C}"/>
            </a:ext>
          </a:extLst>
        </xdr:cNvPr>
        <xdr:cNvCxnSpPr>
          <a:cxnSpLocks/>
        </xdr:cNvCxnSpPr>
      </xdr:nvCxnSpPr>
      <xdr:spPr>
        <a:xfrm flipH="1" flipV="1">
          <a:off x="5210175" y="4972050"/>
          <a:ext cx="1866900" cy="3057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267966</xdr:colOff>
      <xdr:row>7</xdr:row>
      <xdr:rowOff>88673</xdr:rowOff>
    </xdr:from>
    <xdr:to>
      <xdr:col>5</xdr:col>
      <xdr:colOff>356332</xdr:colOff>
      <xdr:row>8</xdr:row>
      <xdr:rowOff>39965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CF778B5B-01AA-4C1D-AEA4-3E42863C6AB0}"/>
            </a:ext>
          </a:extLst>
        </xdr:cNvPr>
        <xdr:cNvGrpSpPr/>
      </xdr:nvGrpSpPr>
      <xdr:grpSpPr>
        <a:xfrm>
          <a:off x="1715766" y="1174523"/>
          <a:ext cx="88366" cy="103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90B59226-F89B-C0B3-BD7A-488DBD5002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827907DA-987D-E213-6F48-6C71FF157FA0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03304924-EAA3-D9CA-C375-6B77219FF97D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48407</xdr:colOff>
      <xdr:row>7</xdr:row>
      <xdr:rowOff>122641</xdr:rowOff>
    </xdr:from>
    <xdr:to>
      <xdr:col>5</xdr:col>
      <xdr:colOff>195652</xdr:colOff>
      <xdr:row>9</xdr:row>
      <xdr:rowOff>38355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6014A0D8-CA09-47EE-AAF7-D386EAAA8E3B}"/>
            </a:ext>
          </a:extLst>
        </xdr:cNvPr>
        <xdr:cNvGrpSpPr/>
      </xdr:nvGrpSpPr>
      <xdr:grpSpPr>
        <a:xfrm rot="1229398">
          <a:off x="1496207" y="1208491"/>
          <a:ext cx="147245" cy="220514"/>
          <a:chOff x="4197569" y="4644259"/>
          <a:chExt cx="137948" cy="144517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4C208E7E-37EC-42DA-A70D-F7D9D4E76479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C28201C-3C63-A9BF-C16F-4E676518322D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220965</xdr:colOff>
      <xdr:row>23</xdr:row>
      <xdr:rowOff>134191</xdr:rowOff>
    </xdr:from>
    <xdr:to>
      <xdr:col>7</xdr:col>
      <xdr:colOff>358914</xdr:colOff>
      <xdr:row>27</xdr:row>
      <xdr:rowOff>67796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D6AA9678-557B-4C04-8779-166AF0E37A06}"/>
            </a:ext>
          </a:extLst>
        </xdr:cNvPr>
        <xdr:cNvSpPr/>
      </xdr:nvSpPr>
      <xdr:spPr>
        <a:xfrm>
          <a:off x="2058730" y="3742485"/>
          <a:ext cx="518949" cy="56113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272653</xdr:colOff>
      <xdr:row>32</xdr:row>
      <xdr:rowOff>38100</xdr:rowOff>
    </xdr:from>
    <xdr:to>
      <xdr:col>9</xdr:col>
      <xdr:colOff>80596</xdr:colOff>
      <xdr:row>34</xdr:row>
      <xdr:rowOff>109904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4E86CCA-472B-4DC7-B67D-52FC649B9C31}"/>
            </a:ext>
          </a:extLst>
        </xdr:cNvPr>
        <xdr:cNvSpPr/>
      </xdr:nvSpPr>
      <xdr:spPr>
        <a:xfrm>
          <a:off x="2485384" y="4976446"/>
          <a:ext cx="569943" cy="37953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ysClr val="windowText" lastClr="000000"/>
              </a:solidFill>
            </a:rPr>
            <a:t>Resagging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285750</xdr:colOff>
      <xdr:row>32</xdr:row>
      <xdr:rowOff>28612</xdr:rowOff>
    </xdr:from>
    <xdr:to>
      <xdr:col>5</xdr:col>
      <xdr:colOff>295756</xdr:colOff>
      <xdr:row>33</xdr:row>
      <xdr:rowOff>114300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60C3EB01-572E-4D10-AD51-863790DA5798}"/>
            </a:ext>
          </a:extLst>
        </xdr:cNvPr>
        <xdr:cNvCxnSpPr>
          <a:stCxn id="46" idx="4"/>
        </xdr:cNvCxnSpPr>
      </xdr:nvCxnSpPr>
      <xdr:spPr>
        <a:xfrm flipH="1">
          <a:off x="1733550" y="4924462"/>
          <a:ext cx="10006" cy="23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299358</xdr:colOff>
      <xdr:row>0</xdr:row>
      <xdr:rowOff>122464</xdr:rowOff>
    </xdr:from>
    <xdr:to>
      <xdr:col>42</xdr:col>
      <xdr:colOff>270529</xdr:colOff>
      <xdr:row>35</xdr:row>
      <xdr:rowOff>105905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C989A-C7EB-5787-5E84-F5E875985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42965" y="122464"/>
          <a:ext cx="4162171" cy="5263012"/>
        </a:xfrm>
        <a:prstGeom prst="rect">
          <a:avLst/>
        </a:prstGeom>
      </xdr:spPr>
    </xdr:pic>
    <xdr:clientData/>
  </xdr:twoCellAnchor>
  <xdr:twoCellAnchor editAs="oneCell">
    <xdr:from>
      <xdr:col>29</xdr:col>
      <xdr:colOff>342900</xdr:colOff>
      <xdr:row>55</xdr:row>
      <xdr:rowOff>38100</xdr:rowOff>
    </xdr:from>
    <xdr:to>
      <xdr:col>58</xdr:col>
      <xdr:colOff>49123</xdr:colOff>
      <xdr:row>105</xdr:row>
      <xdr:rowOff>128973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2C2C7D-0478-8761-8F11-6B93BB29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8534400"/>
          <a:ext cx="10755223" cy="7710873"/>
        </a:xfrm>
        <a:prstGeom prst="rect">
          <a:avLst/>
        </a:prstGeom>
      </xdr:spPr>
    </xdr:pic>
    <xdr:clientData/>
  </xdr:twoCellAnchor>
  <xdr:twoCellAnchor>
    <xdr:from>
      <xdr:col>5</xdr:col>
      <xdr:colOff>248211</xdr:colOff>
      <xdr:row>13</xdr:row>
      <xdr:rowOff>62193</xdr:rowOff>
    </xdr:from>
    <xdr:to>
      <xdr:col>5</xdr:col>
      <xdr:colOff>336577</xdr:colOff>
      <xdr:row>14</xdr:row>
      <xdr:rowOff>17968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4C20A0C8-88A9-4943-930F-89753B1146CB}"/>
            </a:ext>
          </a:extLst>
        </xdr:cNvPr>
        <xdr:cNvGrpSpPr/>
      </xdr:nvGrpSpPr>
      <xdr:grpSpPr>
        <a:xfrm>
          <a:off x="1696011" y="2071968"/>
          <a:ext cx="88366" cy="1081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9D13A79C-9E3C-65C4-A891-0585AB874F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B5D3514-4DC3-2265-88AF-6D8D11440F16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9DA27394-3836-E0EB-6D4A-67B272BFD590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252693</xdr:colOff>
      <xdr:row>19</xdr:row>
      <xdr:rowOff>15127</xdr:rowOff>
    </xdr:from>
    <xdr:to>
      <xdr:col>5</xdr:col>
      <xdr:colOff>341059</xdr:colOff>
      <xdr:row>19</xdr:row>
      <xdr:rowOff>118819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BC0E5BA-FD3D-47F7-99ED-848589A53ACE}"/>
            </a:ext>
          </a:extLst>
        </xdr:cNvPr>
        <xdr:cNvGrpSpPr/>
      </xdr:nvGrpSpPr>
      <xdr:grpSpPr>
        <a:xfrm>
          <a:off x="1700493" y="2939302"/>
          <a:ext cx="88366" cy="103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EC06DF47-A099-2A2C-B6CF-6CE055E3F9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293EF0E9-5AB2-0EEB-8806-4837BAE2CAF5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B51F5D6-273A-3850-B5A2-0BEFF01F1657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257736</xdr:colOff>
      <xdr:row>24</xdr:row>
      <xdr:rowOff>121583</xdr:rowOff>
    </xdr:from>
    <xdr:to>
      <xdr:col>5</xdr:col>
      <xdr:colOff>346102</xdr:colOff>
      <xdr:row>25</xdr:row>
      <xdr:rowOff>72875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59095C70-768F-4B62-B50F-24CA535DE749}"/>
            </a:ext>
          </a:extLst>
        </xdr:cNvPr>
        <xdr:cNvGrpSpPr/>
      </xdr:nvGrpSpPr>
      <xdr:grpSpPr>
        <a:xfrm>
          <a:off x="1705536" y="3807758"/>
          <a:ext cx="88366" cy="103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604CA54F-1030-749A-A7B3-FD108752A8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106D1468-93F3-C5E5-02EF-70234D3B26B8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5C26F06B-72C9-B530-D554-2CAE576155B5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251573</xdr:colOff>
      <xdr:row>31</xdr:row>
      <xdr:rowOff>77319</xdr:rowOff>
    </xdr:from>
    <xdr:to>
      <xdr:col>5</xdr:col>
      <xdr:colOff>339939</xdr:colOff>
      <xdr:row>32</xdr:row>
      <xdr:rowOff>28612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8B00D479-7817-4549-8B52-FCD438EFA02C}"/>
            </a:ext>
          </a:extLst>
        </xdr:cNvPr>
        <xdr:cNvGrpSpPr/>
      </xdr:nvGrpSpPr>
      <xdr:grpSpPr>
        <a:xfrm>
          <a:off x="1699373" y="4820769"/>
          <a:ext cx="88366" cy="1036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" name="Oval 45">
            <a:extLst>
              <a:ext uri="{FF2B5EF4-FFF2-40B4-BE49-F238E27FC236}">
                <a16:creationId xmlns:a16="http://schemas.microsoft.com/office/drawing/2014/main" id="{1CDF5AAC-CD1F-0968-4F72-5DE59A4DB9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5C6B948-F42A-5B78-4BFC-C0251D8F48A9}"/>
              </a:ext>
            </a:extLst>
          </xdr:cNvPr>
          <xdr:cNvCxnSpPr>
            <a:stCxn id="46" idx="1"/>
            <a:endCxn id="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4088C3F4-BBA0-CAF6-D229-AB4108075047}"/>
              </a:ext>
            </a:extLst>
          </xdr:cNvPr>
          <xdr:cNvCxnSpPr>
            <a:stCxn id="46" idx="3"/>
            <a:endCxn id="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254582</xdr:colOff>
      <xdr:row>17</xdr:row>
      <xdr:rowOff>84324</xdr:rowOff>
    </xdr:from>
    <xdr:to>
      <xdr:col>8</xdr:col>
      <xdr:colOff>11531</xdr:colOff>
      <xdr:row>21</xdr:row>
      <xdr:rowOff>22412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806AD0D0-051B-4D53-A30E-3F05F20BAFC7}"/>
            </a:ext>
          </a:extLst>
        </xdr:cNvPr>
        <xdr:cNvSpPr/>
      </xdr:nvSpPr>
      <xdr:spPr>
        <a:xfrm>
          <a:off x="2092347" y="2751324"/>
          <a:ext cx="518949" cy="56561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241696</xdr:colOff>
      <xdr:row>12</xdr:row>
      <xdr:rowOff>82084</xdr:rowOff>
    </xdr:from>
    <xdr:to>
      <xdr:col>7</xdr:col>
      <xdr:colOff>379645</xdr:colOff>
      <xdr:row>16</xdr:row>
      <xdr:rowOff>10646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8334DF6C-0F25-4EA2-80D5-98726DA4025F}"/>
            </a:ext>
          </a:extLst>
        </xdr:cNvPr>
        <xdr:cNvSpPr/>
      </xdr:nvSpPr>
      <xdr:spPr>
        <a:xfrm>
          <a:off x="2079461" y="1964672"/>
          <a:ext cx="518949" cy="55609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217394</xdr:colOff>
      <xdr:row>7</xdr:row>
      <xdr:rowOff>63314</xdr:rowOff>
    </xdr:from>
    <xdr:to>
      <xdr:col>7</xdr:col>
      <xdr:colOff>355343</xdr:colOff>
      <xdr:row>11</xdr:row>
      <xdr:rowOff>1401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A8615A82-28CD-4C32-AB7F-C54FED72559F}"/>
            </a:ext>
          </a:extLst>
        </xdr:cNvPr>
        <xdr:cNvSpPr/>
      </xdr:nvSpPr>
      <xdr:spPr>
        <a:xfrm>
          <a:off x="2055159" y="1161490"/>
          <a:ext cx="518949" cy="56561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93699</xdr:colOff>
      <xdr:row>8</xdr:row>
      <xdr:rowOff>91151</xdr:rowOff>
    </xdr:from>
    <xdr:to>
      <xdr:col>5</xdr:col>
      <xdr:colOff>110880</xdr:colOff>
      <xdr:row>31</xdr:row>
      <xdr:rowOff>149774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0A8B8C86-263C-4F6C-B3BB-3BF3A4DDAFE3}"/>
            </a:ext>
          </a:extLst>
        </xdr:cNvPr>
        <xdr:cNvCxnSpPr>
          <a:stCxn id="199" idx="4"/>
          <a:endCxn id="189" idx="7"/>
        </xdr:cNvCxnSpPr>
      </xdr:nvCxnSpPr>
      <xdr:spPr>
        <a:xfrm flipH="1">
          <a:off x="1550464" y="1346210"/>
          <a:ext cx="17181" cy="365571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38445</xdr:colOff>
      <xdr:row>19</xdr:row>
      <xdr:rowOff>87837</xdr:rowOff>
    </xdr:from>
    <xdr:to>
      <xdr:col>5</xdr:col>
      <xdr:colOff>126811</xdr:colOff>
      <xdr:row>20</xdr:row>
      <xdr:rowOff>32505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EAA18999-F192-46EE-A8D3-CCF97F033F26}"/>
            </a:ext>
          </a:extLst>
        </xdr:cNvPr>
        <xdr:cNvGrpSpPr/>
      </xdr:nvGrpSpPr>
      <xdr:grpSpPr>
        <a:xfrm>
          <a:off x="1486245" y="3012012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D1D0FBF5-CBBC-1976-6733-E64C06C072B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C0B1FDCD-C7CD-8BF3-D273-9EDC01DF7560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970D5897-4AF8-CFF8-739F-38D3C3833A1A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22757</xdr:colOff>
      <xdr:row>26</xdr:row>
      <xdr:rowOff>16120</xdr:rowOff>
    </xdr:from>
    <xdr:to>
      <xdr:col>5</xdr:col>
      <xdr:colOff>111123</xdr:colOff>
      <xdr:row>26</xdr:row>
      <xdr:rowOff>117670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DD702E68-E4B3-4091-81AA-F6DC207A8896}"/>
            </a:ext>
          </a:extLst>
        </xdr:cNvPr>
        <xdr:cNvGrpSpPr/>
      </xdr:nvGrpSpPr>
      <xdr:grpSpPr>
        <a:xfrm>
          <a:off x="1470557" y="4007095"/>
          <a:ext cx="88366" cy="1015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9" name="Oval 178">
            <a:extLst>
              <a:ext uri="{FF2B5EF4-FFF2-40B4-BE49-F238E27FC236}">
                <a16:creationId xmlns:a16="http://schemas.microsoft.com/office/drawing/2014/main" id="{4A673C08-E5B3-A986-55DD-1D9EC22FB4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01C91759-1341-46AB-0551-8C2E7AB21210}"/>
              </a:ext>
            </a:extLst>
          </xdr:cNvPr>
          <xdr:cNvCxnSpPr>
            <a:stCxn id="179" idx="1"/>
            <a:endCxn id="1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BBD811A3-3BDF-4FCF-A0A6-F2A04526065A}"/>
              </a:ext>
            </a:extLst>
          </xdr:cNvPr>
          <xdr:cNvCxnSpPr>
            <a:stCxn id="179" idx="3"/>
            <a:endCxn id="1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18274</xdr:colOff>
      <xdr:row>31</xdr:row>
      <xdr:rowOff>134902</xdr:rowOff>
    </xdr:from>
    <xdr:to>
      <xdr:col>5</xdr:col>
      <xdr:colOff>106640</xdr:colOff>
      <xdr:row>32</xdr:row>
      <xdr:rowOff>79570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70A077BF-32C6-4ABE-BB1B-D4A4B691D6F3}"/>
            </a:ext>
          </a:extLst>
        </xdr:cNvPr>
        <xdr:cNvGrpSpPr/>
      </xdr:nvGrpSpPr>
      <xdr:grpSpPr>
        <a:xfrm>
          <a:off x="1466074" y="4878352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9" name="Oval 188">
            <a:extLst>
              <a:ext uri="{FF2B5EF4-FFF2-40B4-BE49-F238E27FC236}">
                <a16:creationId xmlns:a16="http://schemas.microsoft.com/office/drawing/2014/main" id="{327EA313-9F47-CBDE-B260-EB32FAE6594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2233FD3D-CDFF-F8FF-780A-531A47A3E5D9}"/>
              </a:ext>
            </a:extLst>
          </xdr:cNvPr>
          <xdr:cNvCxnSpPr>
            <a:stCxn id="189" idx="1"/>
            <a:endCxn id="1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AC4DD6A6-7703-65A2-53E4-EA1C39F1EA52}"/>
              </a:ext>
            </a:extLst>
          </xdr:cNvPr>
          <xdr:cNvCxnSpPr>
            <a:stCxn id="189" idx="3"/>
            <a:endCxn id="1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15684</xdr:colOff>
      <xdr:row>10</xdr:row>
      <xdr:rowOff>58215</xdr:rowOff>
    </xdr:from>
    <xdr:to>
      <xdr:col>5</xdr:col>
      <xdr:colOff>203886</xdr:colOff>
      <xdr:row>12</xdr:row>
      <xdr:rowOff>98839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77AE6B62-51C3-4D23-85D2-53CE26174495}"/>
            </a:ext>
          </a:extLst>
        </xdr:cNvPr>
        <xdr:cNvSpPr/>
      </xdr:nvSpPr>
      <xdr:spPr>
        <a:xfrm rot="5400000">
          <a:off x="1384873" y="1679876"/>
          <a:ext cx="345424" cy="18820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4</xdr:col>
      <xdr:colOff>354635</xdr:colOff>
      <xdr:row>16</xdr:row>
      <xdr:rowOff>9913</xdr:rowOff>
    </xdr:from>
    <xdr:to>
      <xdr:col>5</xdr:col>
      <xdr:colOff>201279</xdr:colOff>
      <xdr:row>18</xdr:row>
      <xdr:rowOff>50537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DD73EA4B-5023-4D97-9CD0-1902CBDBA748}"/>
            </a:ext>
          </a:extLst>
        </xdr:cNvPr>
        <xdr:cNvSpPr/>
      </xdr:nvSpPr>
      <xdr:spPr>
        <a:xfrm rot="5889725">
          <a:off x="1362545" y="2535778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4</xdr:col>
      <xdr:colOff>354635</xdr:colOff>
      <xdr:row>22</xdr:row>
      <xdr:rowOff>9913</xdr:rowOff>
    </xdr:from>
    <xdr:to>
      <xdr:col>5</xdr:col>
      <xdr:colOff>201279</xdr:colOff>
      <xdr:row>24</xdr:row>
      <xdr:rowOff>50537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777B1003-880E-469C-A883-A697C8E4C5C1}"/>
            </a:ext>
          </a:extLst>
        </xdr:cNvPr>
        <xdr:cNvSpPr/>
      </xdr:nvSpPr>
      <xdr:spPr>
        <a:xfrm rot="5889725">
          <a:off x="1362545" y="3450178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4</xdr:col>
      <xdr:colOff>342900</xdr:colOff>
      <xdr:row>28</xdr:row>
      <xdr:rowOff>28576</xdr:rowOff>
    </xdr:from>
    <xdr:to>
      <xdr:col>5</xdr:col>
      <xdr:colOff>189544</xdr:colOff>
      <xdr:row>30</xdr:row>
      <xdr:rowOff>78725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CC7B111C-7B2D-4DEC-8584-352308B6B276}"/>
            </a:ext>
          </a:extLst>
        </xdr:cNvPr>
        <xdr:cNvSpPr/>
      </xdr:nvSpPr>
      <xdr:spPr>
        <a:xfrm rot="5889725">
          <a:off x="1350810" y="4383241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3</xdr:col>
      <xdr:colOff>266700</xdr:colOff>
      <xdr:row>13</xdr:row>
      <xdr:rowOff>57150</xdr:rowOff>
    </xdr:from>
    <xdr:to>
      <xdr:col>4</xdr:col>
      <xdr:colOff>355259</xdr:colOff>
      <xdr:row>15</xdr:row>
      <xdr:rowOff>38059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A96055E9-3EDB-495C-94C2-C8B89E822114}"/>
            </a:ext>
          </a:extLst>
        </xdr:cNvPr>
        <xdr:cNvSpPr/>
      </xdr:nvSpPr>
      <xdr:spPr>
        <a:xfrm>
          <a:off x="952500" y="2066925"/>
          <a:ext cx="469559" cy="2857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 strike="noStrike">
              <a:solidFill>
                <a:sysClr val="windowText" lastClr="000000"/>
              </a:solidFill>
            </a:rPr>
          </a:br>
          <a:endParaRPr lang="en-US" sz="600" strike="noStrik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19</xdr:row>
      <xdr:rowOff>9525</xdr:rowOff>
    </xdr:from>
    <xdr:to>
      <xdr:col>4</xdr:col>
      <xdr:colOff>317159</xdr:colOff>
      <xdr:row>20</xdr:row>
      <xdr:rowOff>142834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269B5E70-004D-4401-A4A0-4AF0E44AB45B}"/>
            </a:ext>
          </a:extLst>
        </xdr:cNvPr>
        <xdr:cNvSpPr/>
      </xdr:nvSpPr>
      <xdr:spPr>
        <a:xfrm>
          <a:off x="914400" y="2933700"/>
          <a:ext cx="469559" cy="2857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 strike="noStrike">
              <a:solidFill>
                <a:sysClr val="windowText" lastClr="000000"/>
              </a:solidFill>
            </a:rPr>
          </a:br>
          <a:endParaRPr lang="en-US" sz="600" strike="noStrik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219075</xdr:colOff>
      <xdr:row>25</xdr:row>
      <xdr:rowOff>104775</xdr:rowOff>
    </xdr:from>
    <xdr:to>
      <xdr:col>4</xdr:col>
      <xdr:colOff>307634</xdr:colOff>
      <xdr:row>27</xdr:row>
      <xdr:rowOff>85684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F5670030-BB2F-4F9E-B4F8-7BBD5937E9C6}"/>
            </a:ext>
          </a:extLst>
        </xdr:cNvPr>
        <xdr:cNvSpPr/>
      </xdr:nvSpPr>
      <xdr:spPr>
        <a:xfrm>
          <a:off x="904875" y="3943350"/>
          <a:ext cx="469559" cy="2857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 strike="noStrike">
              <a:solidFill>
                <a:sysClr val="windowText" lastClr="000000"/>
              </a:solidFill>
            </a:rPr>
          </a:br>
          <a:endParaRPr lang="en-US" sz="600" strike="noStrik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266700</xdr:colOff>
      <xdr:row>31</xdr:row>
      <xdr:rowOff>85725</xdr:rowOff>
    </xdr:from>
    <xdr:to>
      <xdr:col>4</xdr:col>
      <xdr:colOff>355259</xdr:colOff>
      <xdr:row>33</xdr:row>
      <xdr:rowOff>66634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DA066249-1577-48D0-A1DF-70927AA9B2BA}"/>
            </a:ext>
          </a:extLst>
        </xdr:cNvPr>
        <xdr:cNvSpPr/>
      </xdr:nvSpPr>
      <xdr:spPr>
        <a:xfrm>
          <a:off x="952500" y="4829175"/>
          <a:ext cx="469559" cy="2857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2 CJ6-T</a:t>
          </a:r>
          <a:br>
            <a:rPr lang="en-US" sz="600" strike="noStrike">
              <a:solidFill>
                <a:sysClr val="windowText" lastClr="000000"/>
              </a:solidFill>
            </a:rPr>
          </a:br>
          <a:endParaRPr lang="en-US" sz="600" strike="noStrik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170321</xdr:colOff>
      <xdr:row>30</xdr:row>
      <xdr:rowOff>61940</xdr:rowOff>
    </xdr:from>
    <xdr:to>
      <xdr:col>5</xdr:col>
      <xdr:colOff>35637</xdr:colOff>
      <xdr:row>34</xdr:row>
      <xdr:rowOff>32379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CEBA1C73-14A5-438A-AFF8-E0843DE15184}"/>
            </a:ext>
          </a:extLst>
        </xdr:cNvPr>
        <xdr:cNvGrpSpPr/>
      </xdr:nvGrpSpPr>
      <xdr:grpSpPr>
        <a:xfrm rot="20697883">
          <a:off x="856121" y="4652990"/>
          <a:ext cx="627316" cy="580039"/>
          <a:chOff x="4197569" y="4644259"/>
          <a:chExt cx="137948" cy="144517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FF59627E-7ACF-2A01-3D32-A9AD0F84D7B2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D6C2B7EE-271F-3E58-02CD-DAED5C7BD6F9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56020</xdr:colOff>
      <xdr:row>24</xdr:row>
      <xdr:rowOff>128615</xdr:rowOff>
    </xdr:from>
    <xdr:to>
      <xdr:col>4</xdr:col>
      <xdr:colOff>302336</xdr:colOff>
      <xdr:row>28</xdr:row>
      <xdr:rowOff>99054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95517687-0DAD-40AE-BB08-F3F9C018841F}"/>
            </a:ext>
          </a:extLst>
        </xdr:cNvPr>
        <xdr:cNvGrpSpPr/>
      </xdr:nvGrpSpPr>
      <xdr:grpSpPr>
        <a:xfrm rot="20697883">
          <a:off x="741820" y="3814790"/>
          <a:ext cx="627316" cy="580039"/>
          <a:chOff x="4197569" y="4644259"/>
          <a:chExt cx="137948" cy="144517"/>
        </a:xfrm>
      </xdr:grpSpPr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358A08AC-2FA7-13BE-B8AA-CA1CA0951E8C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94FC396F-3CF7-1D7F-AC6A-E86B3637FF98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94120</xdr:colOff>
      <xdr:row>18</xdr:row>
      <xdr:rowOff>61941</xdr:rowOff>
    </xdr:from>
    <xdr:to>
      <xdr:col>4</xdr:col>
      <xdr:colOff>340436</xdr:colOff>
      <xdr:row>22</xdr:row>
      <xdr:rowOff>32380</xdr:rowOff>
    </xdr:to>
    <xdr:grpSp>
      <xdr:nvGrpSpPr>
        <xdr:cNvPr id="266" name="Group 265">
          <a:extLst>
            <a:ext uri="{FF2B5EF4-FFF2-40B4-BE49-F238E27FC236}">
              <a16:creationId xmlns:a16="http://schemas.microsoft.com/office/drawing/2014/main" id="{ABAB5DBF-A1D5-4231-92E1-2A3ECC8D914E}"/>
            </a:ext>
          </a:extLst>
        </xdr:cNvPr>
        <xdr:cNvGrpSpPr/>
      </xdr:nvGrpSpPr>
      <xdr:grpSpPr>
        <a:xfrm rot="20697883">
          <a:off x="779920" y="2833716"/>
          <a:ext cx="627316" cy="580039"/>
          <a:chOff x="4197569" y="4644259"/>
          <a:chExt cx="137948" cy="144517"/>
        </a:xfrm>
      </xdr:grpSpPr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B5A3F1B0-7C00-04D8-F1B0-757D42E567AA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E6495714-B000-BDC1-547D-9D14C637ACC8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122695</xdr:colOff>
      <xdr:row>12</xdr:row>
      <xdr:rowOff>119092</xdr:rowOff>
    </xdr:from>
    <xdr:to>
      <xdr:col>4</xdr:col>
      <xdr:colOff>369011</xdr:colOff>
      <xdr:row>16</xdr:row>
      <xdr:rowOff>80006</xdr:rowOff>
    </xdr:to>
    <xdr:grpSp>
      <xdr:nvGrpSpPr>
        <xdr:cNvPr id="269" name="Group 268">
          <a:extLst>
            <a:ext uri="{FF2B5EF4-FFF2-40B4-BE49-F238E27FC236}">
              <a16:creationId xmlns:a16="http://schemas.microsoft.com/office/drawing/2014/main" id="{FB8D1BC7-2FF4-4ABF-936E-E28E0A260EC3}"/>
            </a:ext>
          </a:extLst>
        </xdr:cNvPr>
        <xdr:cNvGrpSpPr/>
      </xdr:nvGrpSpPr>
      <xdr:grpSpPr>
        <a:xfrm rot="20697883">
          <a:off x="808495" y="1966942"/>
          <a:ext cx="627316" cy="580039"/>
          <a:chOff x="4197569" y="4644259"/>
          <a:chExt cx="137948" cy="144517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89D8A48F-5FF2-5947-9E93-27660661C8BD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4FF1455E-A203-D30F-0213-816A31F792BF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122695</xdr:colOff>
      <xdr:row>7</xdr:row>
      <xdr:rowOff>119092</xdr:rowOff>
    </xdr:from>
    <xdr:to>
      <xdr:col>4</xdr:col>
      <xdr:colOff>369011</xdr:colOff>
      <xdr:row>11</xdr:row>
      <xdr:rowOff>89531</xdr:rowOff>
    </xdr:to>
    <xdr:grpSp>
      <xdr:nvGrpSpPr>
        <xdr:cNvPr id="272" name="Group 271">
          <a:extLst>
            <a:ext uri="{FF2B5EF4-FFF2-40B4-BE49-F238E27FC236}">
              <a16:creationId xmlns:a16="http://schemas.microsoft.com/office/drawing/2014/main" id="{F94978AA-D2CB-443E-B2BA-F19093D125FE}"/>
            </a:ext>
          </a:extLst>
        </xdr:cNvPr>
        <xdr:cNvGrpSpPr/>
      </xdr:nvGrpSpPr>
      <xdr:grpSpPr>
        <a:xfrm rot="20697883">
          <a:off x="808495" y="1204942"/>
          <a:ext cx="627316" cy="580039"/>
          <a:chOff x="4197569" y="4644259"/>
          <a:chExt cx="137948" cy="144517"/>
        </a:xfrm>
      </xdr:grpSpPr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74E24AE5-90A4-E41F-876D-2C82B79E8942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FF1550B6-C4EA-2171-2AFE-419233E9806D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48407</xdr:colOff>
      <xdr:row>13</xdr:row>
      <xdr:rowOff>36917</xdr:rowOff>
    </xdr:from>
    <xdr:to>
      <xdr:col>5</xdr:col>
      <xdr:colOff>195652</xdr:colOff>
      <xdr:row>14</xdr:row>
      <xdr:rowOff>105031</xdr:rowOff>
    </xdr:to>
    <xdr:grpSp>
      <xdr:nvGrpSpPr>
        <xdr:cNvPr id="275" name="Group 274">
          <a:extLst>
            <a:ext uri="{FF2B5EF4-FFF2-40B4-BE49-F238E27FC236}">
              <a16:creationId xmlns:a16="http://schemas.microsoft.com/office/drawing/2014/main" id="{22270E36-AEED-4C8B-A7A0-B2E75C8FF587}"/>
            </a:ext>
          </a:extLst>
        </xdr:cNvPr>
        <xdr:cNvGrpSpPr/>
      </xdr:nvGrpSpPr>
      <xdr:grpSpPr>
        <a:xfrm rot="1229398">
          <a:off x="1496207" y="2046692"/>
          <a:ext cx="147245" cy="220514"/>
          <a:chOff x="4197569" y="4644259"/>
          <a:chExt cx="137948" cy="144517"/>
        </a:xfrm>
      </xdr:grpSpPr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64FF9E3F-F31E-49A0-4E09-4249829100DA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7568A61C-B833-A3C3-B3B5-06CCB7D54C59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10307</xdr:colOff>
      <xdr:row>19</xdr:row>
      <xdr:rowOff>55967</xdr:rowOff>
    </xdr:from>
    <xdr:to>
      <xdr:col>5</xdr:col>
      <xdr:colOff>157552</xdr:colOff>
      <xdr:row>20</xdr:row>
      <xdr:rowOff>124081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ECB0C103-2E9C-4E60-970A-9539A648BD5B}"/>
            </a:ext>
          </a:extLst>
        </xdr:cNvPr>
        <xdr:cNvGrpSpPr/>
      </xdr:nvGrpSpPr>
      <xdr:grpSpPr>
        <a:xfrm rot="1229398">
          <a:off x="1458107" y="2980142"/>
          <a:ext cx="147245" cy="220514"/>
          <a:chOff x="4197569" y="4644259"/>
          <a:chExt cx="137948" cy="144517"/>
        </a:xfrm>
      </xdr:grpSpPr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8B1E1C92-6CD7-2999-7663-B9A17EB34DE0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AB72DDEF-F0B8-94D3-4A47-E961B0543154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19833</xdr:colOff>
      <xdr:row>25</xdr:row>
      <xdr:rowOff>132167</xdr:rowOff>
    </xdr:from>
    <xdr:to>
      <xdr:col>5</xdr:col>
      <xdr:colOff>167078</xdr:colOff>
      <xdr:row>27</xdr:row>
      <xdr:rowOff>47881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77381F32-F2FD-4D75-9FE3-7E11A37E94E3}"/>
            </a:ext>
          </a:extLst>
        </xdr:cNvPr>
        <xdr:cNvGrpSpPr/>
      </xdr:nvGrpSpPr>
      <xdr:grpSpPr>
        <a:xfrm rot="1229398">
          <a:off x="1467633" y="3970742"/>
          <a:ext cx="147245" cy="220514"/>
          <a:chOff x="4197569" y="4644259"/>
          <a:chExt cx="137948" cy="14451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BDE870D3-685E-3125-14D1-4C305CD124D1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AA34D1A7-7083-3952-9EE0-24E6D0994FFF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19834</xdr:colOff>
      <xdr:row>31</xdr:row>
      <xdr:rowOff>103592</xdr:rowOff>
    </xdr:from>
    <xdr:to>
      <xdr:col>5</xdr:col>
      <xdr:colOff>167079</xdr:colOff>
      <xdr:row>33</xdr:row>
      <xdr:rowOff>19306</xdr:rowOff>
    </xdr:to>
    <xdr:grpSp>
      <xdr:nvGrpSpPr>
        <xdr:cNvPr id="284" name="Group 283">
          <a:extLst>
            <a:ext uri="{FF2B5EF4-FFF2-40B4-BE49-F238E27FC236}">
              <a16:creationId xmlns:a16="http://schemas.microsoft.com/office/drawing/2014/main" id="{1BE815BF-C7AB-4EA9-B022-C88E22C7189B}"/>
            </a:ext>
          </a:extLst>
        </xdr:cNvPr>
        <xdr:cNvGrpSpPr/>
      </xdr:nvGrpSpPr>
      <xdr:grpSpPr>
        <a:xfrm rot="1229398">
          <a:off x="1467634" y="4847042"/>
          <a:ext cx="147245" cy="220514"/>
          <a:chOff x="4197569" y="4644259"/>
          <a:chExt cx="137948" cy="144517"/>
        </a:xfrm>
      </xdr:grpSpPr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11A97014-21F1-AA9E-9F71-49E5692525E8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97E4FE49-E13B-88B5-AB7C-68AC09FED68D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244925</xdr:colOff>
      <xdr:row>31</xdr:row>
      <xdr:rowOff>32258</xdr:rowOff>
    </xdr:from>
    <xdr:to>
      <xdr:col>11</xdr:col>
      <xdr:colOff>333291</xdr:colOff>
      <xdr:row>31</xdr:row>
      <xdr:rowOff>124932</xdr:rowOff>
    </xdr:to>
    <xdr:grpSp>
      <xdr:nvGrpSpPr>
        <xdr:cNvPr id="289" name="Group 288">
          <a:extLst>
            <a:ext uri="{FF2B5EF4-FFF2-40B4-BE49-F238E27FC236}">
              <a16:creationId xmlns:a16="http://schemas.microsoft.com/office/drawing/2014/main" id="{159DD8CC-19B5-4423-A124-D613BA5EC33B}"/>
            </a:ext>
          </a:extLst>
        </xdr:cNvPr>
        <xdr:cNvGrpSpPr/>
      </xdr:nvGrpSpPr>
      <xdr:grpSpPr>
        <a:xfrm>
          <a:off x="3978725" y="4775708"/>
          <a:ext cx="88366" cy="92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0" name="Oval 289">
            <a:extLst>
              <a:ext uri="{FF2B5EF4-FFF2-40B4-BE49-F238E27FC236}">
                <a16:creationId xmlns:a16="http://schemas.microsoft.com/office/drawing/2014/main" id="{43E6CD13-4E98-AF46-874C-EFAA007861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DD4C6751-C27C-5242-816F-D5765B361714}"/>
              </a:ext>
            </a:extLst>
          </xdr:cNvPr>
          <xdr:cNvCxnSpPr>
            <a:stCxn id="290" idx="1"/>
            <a:endCxn id="2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291">
            <a:extLst>
              <a:ext uri="{FF2B5EF4-FFF2-40B4-BE49-F238E27FC236}">
                <a16:creationId xmlns:a16="http://schemas.microsoft.com/office/drawing/2014/main" id="{412440C5-2EE1-7810-FBDD-9FCFB9254D46}"/>
              </a:ext>
            </a:extLst>
          </xdr:cNvPr>
          <xdr:cNvCxnSpPr>
            <a:stCxn id="290" idx="3"/>
            <a:endCxn id="2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133266</xdr:colOff>
      <xdr:row>31</xdr:row>
      <xdr:rowOff>69070</xdr:rowOff>
    </xdr:from>
    <xdr:to>
      <xdr:col>11</xdr:col>
      <xdr:colOff>244925</xdr:colOff>
      <xdr:row>31</xdr:row>
      <xdr:rowOff>78595</xdr:rowOff>
    </xdr:to>
    <xdr:cxnSp macro="">
      <xdr:nvCxnSpPr>
        <xdr:cNvPr id="293" name="Straight Connector 292">
          <a:extLst>
            <a:ext uri="{FF2B5EF4-FFF2-40B4-BE49-F238E27FC236}">
              <a16:creationId xmlns:a16="http://schemas.microsoft.com/office/drawing/2014/main" id="{A91BF3D0-E8A7-4576-A9B0-C0664295E277}"/>
            </a:ext>
          </a:extLst>
        </xdr:cNvPr>
        <xdr:cNvCxnSpPr>
          <a:stCxn id="290" idx="2"/>
          <a:endCxn id="191" idx="6"/>
        </xdr:cNvCxnSpPr>
      </xdr:nvCxnSpPr>
      <xdr:spPr>
        <a:xfrm flipH="1" flipV="1">
          <a:off x="2724066" y="4812520"/>
          <a:ext cx="1254659" cy="952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31</xdr:row>
      <xdr:rowOff>114300</xdr:rowOff>
    </xdr:from>
    <xdr:to>
      <xdr:col>15</xdr:col>
      <xdr:colOff>269341</xdr:colOff>
      <xdr:row>32</xdr:row>
      <xdr:rowOff>54574</xdr:rowOff>
    </xdr:to>
    <xdr:grpSp>
      <xdr:nvGrpSpPr>
        <xdr:cNvPr id="296" name="Group 295">
          <a:extLst>
            <a:ext uri="{FF2B5EF4-FFF2-40B4-BE49-F238E27FC236}">
              <a16:creationId xmlns:a16="http://schemas.microsoft.com/office/drawing/2014/main" id="{4F01168C-4996-4360-BA7C-3F3B49946BC4}"/>
            </a:ext>
          </a:extLst>
        </xdr:cNvPr>
        <xdr:cNvGrpSpPr/>
      </xdr:nvGrpSpPr>
      <xdr:grpSpPr>
        <a:xfrm>
          <a:off x="5438775" y="4857750"/>
          <a:ext cx="88366" cy="92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7" name="Oval 296">
            <a:extLst>
              <a:ext uri="{FF2B5EF4-FFF2-40B4-BE49-F238E27FC236}">
                <a16:creationId xmlns:a16="http://schemas.microsoft.com/office/drawing/2014/main" id="{4AD39C8C-8805-D086-A9B8-F808F082703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AE25FC38-2286-4A3F-0966-E7F855071CA3}"/>
              </a:ext>
            </a:extLst>
          </xdr:cNvPr>
          <xdr:cNvCxnSpPr>
            <a:stCxn id="297" idx="1"/>
            <a:endCxn id="2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82E1A3DE-809C-30CE-8359-1E7A7ADF33C6}"/>
              </a:ext>
            </a:extLst>
          </xdr:cNvPr>
          <xdr:cNvCxnSpPr>
            <a:stCxn id="297" idx="3"/>
            <a:endCxn id="2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39</xdr:row>
      <xdr:rowOff>104775</xdr:rowOff>
    </xdr:from>
    <xdr:to>
      <xdr:col>16</xdr:col>
      <xdr:colOff>116941</xdr:colOff>
      <xdr:row>40</xdr:row>
      <xdr:rowOff>45049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86838A09-9A4F-4F1A-AC87-FADA3264830D}"/>
            </a:ext>
          </a:extLst>
        </xdr:cNvPr>
        <xdr:cNvGrpSpPr/>
      </xdr:nvGrpSpPr>
      <xdr:grpSpPr>
        <a:xfrm>
          <a:off x="5667375" y="6086475"/>
          <a:ext cx="88366" cy="92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4" name="Oval 303">
            <a:extLst>
              <a:ext uri="{FF2B5EF4-FFF2-40B4-BE49-F238E27FC236}">
                <a16:creationId xmlns:a16="http://schemas.microsoft.com/office/drawing/2014/main" id="{9F24F3F7-8D3C-485F-32D8-022AF5F602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A30E0523-345D-3231-5BF9-C42A62E6652A}"/>
              </a:ext>
            </a:extLst>
          </xdr:cNvPr>
          <xdr:cNvCxnSpPr>
            <a:stCxn id="304" idx="1"/>
            <a:endCxn id="3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BD8C26A4-7098-1578-CFA4-7DEA70ECEE57}"/>
              </a:ext>
            </a:extLst>
          </xdr:cNvPr>
          <xdr:cNvCxnSpPr>
            <a:stCxn id="304" idx="3"/>
            <a:endCxn id="3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333291</xdr:colOff>
      <xdr:row>31</xdr:row>
      <xdr:rowOff>78595</xdr:rowOff>
    </xdr:from>
    <xdr:to>
      <xdr:col>15</xdr:col>
      <xdr:colOff>193916</xdr:colOff>
      <xdr:row>31</xdr:row>
      <xdr:rowOff>127872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DE71FC98-384A-4138-B66C-A03B5C96D880}"/>
            </a:ext>
          </a:extLst>
        </xdr:cNvPr>
        <xdr:cNvCxnSpPr>
          <a:stCxn id="297" idx="1"/>
          <a:endCxn id="290" idx="6"/>
        </xdr:cNvCxnSpPr>
      </xdr:nvCxnSpPr>
      <xdr:spPr>
        <a:xfrm flipH="1" flipV="1">
          <a:off x="4067091" y="4822045"/>
          <a:ext cx="1384625" cy="4927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256400</xdr:colOff>
      <xdr:row>32</xdr:row>
      <xdr:rowOff>41002</xdr:rowOff>
    </xdr:from>
    <xdr:to>
      <xdr:col>16</xdr:col>
      <xdr:colOff>72758</xdr:colOff>
      <xdr:row>39</xdr:row>
      <xdr:rowOff>104775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CA513F61-AEDE-41F2-828C-1144F074055F}"/>
            </a:ext>
          </a:extLst>
        </xdr:cNvPr>
        <xdr:cNvCxnSpPr>
          <a:stCxn id="297" idx="5"/>
          <a:endCxn id="304" idx="0"/>
        </xdr:cNvCxnSpPr>
      </xdr:nvCxnSpPr>
      <xdr:spPr>
        <a:xfrm>
          <a:off x="5514200" y="4936852"/>
          <a:ext cx="197358" cy="1149623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104000</xdr:colOff>
      <xdr:row>40</xdr:row>
      <xdr:rowOff>31477</xdr:rowOff>
    </xdr:from>
    <xdr:to>
      <xdr:col>18</xdr:col>
      <xdr:colOff>307001</xdr:colOff>
      <xdr:row>46</xdr:row>
      <xdr:rowOff>42794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2DB9C2EC-3AC3-4442-B9A2-32E7221271B5}"/>
            </a:ext>
          </a:extLst>
        </xdr:cNvPr>
        <xdr:cNvCxnSpPr>
          <a:stCxn id="68" idx="2"/>
          <a:endCxn id="304" idx="5"/>
        </xdr:cNvCxnSpPr>
      </xdr:nvCxnSpPr>
      <xdr:spPr>
        <a:xfrm flipH="1" flipV="1">
          <a:off x="5742800" y="6165577"/>
          <a:ext cx="965001" cy="92571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164611</xdr:colOff>
      <xdr:row>46</xdr:row>
      <xdr:rowOff>88474</xdr:rowOff>
    </xdr:from>
    <xdr:to>
      <xdr:col>18</xdr:col>
      <xdr:colOff>351184</xdr:colOff>
      <xdr:row>49</xdr:row>
      <xdr:rowOff>61030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5313435F-4A86-4E18-9C74-05862C6E1C29}"/>
            </a:ext>
          </a:extLst>
        </xdr:cNvPr>
        <xdr:cNvCxnSpPr>
          <a:stCxn id="68" idx="4"/>
          <a:endCxn id="79" idx="7"/>
        </xdr:cNvCxnSpPr>
      </xdr:nvCxnSpPr>
      <xdr:spPr>
        <a:xfrm flipH="1">
          <a:off x="6565411" y="7136974"/>
          <a:ext cx="186573" cy="43928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327754</xdr:colOff>
      <xdr:row>49</xdr:row>
      <xdr:rowOff>78600</xdr:rowOff>
    </xdr:from>
    <xdr:to>
      <xdr:col>18</xdr:col>
      <xdr:colOff>102127</xdr:colOff>
      <xdr:row>49</xdr:row>
      <xdr:rowOff>125632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E596CB84-FE7D-4C51-8BB2-6DEAF370772F}"/>
            </a:ext>
          </a:extLst>
        </xdr:cNvPr>
        <xdr:cNvCxnSpPr>
          <a:stCxn id="74" idx="6"/>
          <a:endCxn id="79" idx="3"/>
        </xdr:cNvCxnSpPr>
      </xdr:nvCxnSpPr>
      <xdr:spPr>
        <a:xfrm>
          <a:off x="5585554" y="7593825"/>
          <a:ext cx="917373" cy="47032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7785</xdr:colOff>
      <xdr:row>42</xdr:row>
      <xdr:rowOff>77940</xdr:rowOff>
    </xdr:from>
    <xdr:to>
      <xdr:col>17</xdr:col>
      <xdr:colOff>353209</xdr:colOff>
      <xdr:row>44</xdr:row>
      <xdr:rowOff>784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3FADAD52-FF70-46FE-AC59-4F703C7A1E7D}"/>
            </a:ext>
          </a:extLst>
        </xdr:cNvPr>
        <xdr:cNvSpPr/>
      </xdr:nvSpPr>
      <xdr:spPr>
        <a:xfrm rot="2241469">
          <a:off x="6027585" y="6516840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18</xdr:col>
      <xdr:colOff>116040</xdr:colOff>
      <xdr:row>46</xdr:row>
      <xdr:rowOff>150660</xdr:rowOff>
    </xdr:from>
    <xdr:to>
      <xdr:col>18</xdr:col>
      <xdr:colOff>343684</xdr:colOff>
      <xdr:row>49</xdr:row>
      <xdr:rowOff>29359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id="{D6D41A5F-F453-434C-8202-78223D667298}"/>
            </a:ext>
          </a:extLst>
        </xdr:cNvPr>
        <xdr:cNvSpPr/>
      </xdr:nvSpPr>
      <xdr:spPr>
        <a:xfrm rot="7180426">
          <a:off x="6457950" y="7258050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16</xdr:col>
      <xdr:colOff>295275</xdr:colOff>
      <xdr:row>49</xdr:row>
      <xdr:rowOff>0</xdr:rowOff>
    </xdr:from>
    <xdr:to>
      <xdr:col>17</xdr:col>
      <xdr:colOff>259699</xdr:colOff>
      <xdr:row>50</xdr:row>
      <xdr:rowOff>75244</xdr:rowOff>
    </xdr:to>
    <xdr:sp macro="" textlink="">
      <xdr:nvSpPr>
        <xdr:cNvPr id="326" name="Rectangle 325">
          <a:extLst>
            <a:ext uri="{FF2B5EF4-FFF2-40B4-BE49-F238E27FC236}">
              <a16:creationId xmlns:a16="http://schemas.microsoft.com/office/drawing/2014/main" id="{A6CBD82D-D3F0-41B1-A645-CFC993A4541A}"/>
            </a:ext>
          </a:extLst>
        </xdr:cNvPr>
        <xdr:cNvSpPr/>
      </xdr:nvSpPr>
      <xdr:spPr>
        <a:xfrm rot="253560">
          <a:off x="5934075" y="7515225"/>
          <a:ext cx="345424" cy="22764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15</xdr:col>
      <xdr:colOff>95250</xdr:colOff>
      <xdr:row>49</xdr:row>
      <xdr:rowOff>78600</xdr:rowOff>
    </xdr:from>
    <xdr:to>
      <xdr:col>15</xdr:col>
      <xdr:colOff>239388</xdr:colOff>
      <xdr:row>49</xdr:row>
      <xdr:rowOff>133350</xdr:rowOff>
    </xdr:to>
    <xdr:cxnSp macro="">
      <xdr:nvCxnSpPr>
        <xdr:cNvPr id="327" name="Straight Arrow Connector 326">
          <a:extLst>
            <a:ext uri="{FF2B5EF4-FFF2-40B4-BE49-F238E27FC236}">
              <a16:creationId xmlns:a16="http://schemas.microsoft.com/office/drawing/2014/main" id="{134DAD27-9B38-4FF8-823A-1E67C40FCD57}"/>
            </a:ext>
          </a:extLst>
        </xdr:cNvPr>
        <xdr:cNvCxnSpPr>
          <a:stCxn id="74" idx="2"/>
        </xdr:cNvCxnSpPr>
      </xdr:nvCxnSpPr>
      <xdr:spPr>
        <a:xfrm flipH="1">
          <a:off x="5353050" y="7593825"/>
          <a:ext cx="144138" cy="5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321657</xdr:colOff>
      <xdr:row>42</xdr:row>
      <xdr:rowOff>126937</xdr:rowOff>
    </xdr:from>
    <xdr:to>
      <xdr:col>15</xdr:col>
      <xdr:colOff>134687</xdr:colOff>
      <xdr:row>48</xdr:row>
      <xdr:rowOff>114300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40C98DF1-C044-4F16-A340-16EF723729A1}"/>
            </a:ext>
          </a:extLst>
        </xdr:cNvPr>
        <xdr:cNvSpPr/>
      </xdr:nvSpPr>
      <xdr:spPr>
        <a:xfrm>
          <a:off x="4817457" y="6565837"/>
          <a:ext cx="575030" cy="91128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C9-200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76201</xdr:colOff>
      <xdr:row>45</xdr:row>
      <xdr:rowOff>66675</xdr:rowOff>
    </xdr:from>
    <xdr:to>
      <xdr:col>17</xdr:col>
      <xdr:colOff>283243</xdr:colOff>
      <xdr:row>47</xdr:row>
      <xdr:rowOff>85725</xdr:rowOff>
    </xdr:to>
    <xdr:sp macro="" textlink="">
      <xdr:nvSpPr>
        <xdr:cNvPr id="330" name="Rectangle 329">
          <a:extLst>
            <a:ext uri="{FF2B5EF4-FFF2-40B4-BE49-F238E27FC236}">
              <a16:creationId xmlns:a16="http://schemas.microsoft.com/office/drawing/2014/main" id="{D6800F4F-6996-43A7-A5E3-12EC25381270}"/>
            </a:ext>
          </a:extLst>
        </xdr:cNvPr>
        <xdr:cNvSpPr/>
      </xdr:nvSpPr>
      <xdr:spPr>
        <a:xfrm>
          <a:off x="5715001" y="6962775"/>
          <a:ext cx="588042" cy="323850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MUSHOLLA</a:t>
          </a:r>
        </a:p>
      </xdr:txBody>
    </xdr:sp>
    <xdr:clientData/>
  </xdr:twoCellAnchor>
  <xdr:twoCellAnchor>
    <xdr:from>
      <xdr:col>11</xdr:col>
      <xdr:colOff>92</xdr:colOff>
      <xdr:row>32</xdr:row>
      <xdr:rowOff>29308</xdr:rowOff>
    </xdr:from>
    <xdr:to>
      <xdr:col>12</xdr:col>
      <xdr:colOff>189035</xdr:colOff>
      <xdr:row>34</xdr:row>
      <xdr:rowOff>101112</xdr:rowOff>
    </xdr:to>
    <xdr:sp macro="" textlink="">
      <xdr:nvSpPr>
        <xdr:cNvPr id="331" name="Rectangle 330">
          <a:extLst>
            <a:ext uri="{FF2B5EF4-FFF2-40B4-BE49-F238E27FC236}">
              <a16:creationId xmlns:a16="http://schemas.microsoft.com/office/drawing/2014/main" id="{836EE4C7-C275-4BC8-B8F8-CA3394B0C1E4}"/>
            </a:ext>
          </a:extLst>
        </xdr:cNvPr>
        <xdr:cNvSpPr/>
      </xdr:nvSpPr>
      <xdr:spPr>
        <a:xfrm>
          <a:off x="3736823" y="4967654"/>
          <a:ext cx="569943" cy="37953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ysClr val="windowText" lastClr="000000"/>
              </a:solidFill>
            </a:rPr>
            <a:t>Resagging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328338</xdr:colOff>
      <xdr:row>30</xdr:row>
      <xdr:rowOff>79131</xdr:rowOff>
    </xdr:from>
    <xdr:to>
      <xdr:col>17</xdr:col>
      <xdr:colOff>136281</xdr:colOff>
      <xdr:row>32</xdr:row>
      <xdr:rowOff>150935</xdr:rowOff>
    </xdr:to>
    <xdr:sp macro="" textlink="">
      <xdr:nvSpPr>
        <xdr:cNvPr id="332" name="Rectangle 331">
          <a:extLst>
            <a:ext uri="{FF2B5EF4-FFF2-40B4-BE49-F238E27FC236}">
              <a16:creationId xmlns:a16="http://schemas.microsoft.com/office/drawing/2014/main" id="{01068D7D-354A-479C-B7BE-ED860CC94E6F}"/>
            </a:ext>
          </a:extLst>
        </xdr:cNvPr>
        <xdr:cNvSpPr/>
      </xdr:nvSpPr>
      <xdr:spPr>
        <a:xfrm>
          <a:off x="5589069" y="4709746"/>
          <a:ext cx="569943" cy="37953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CJ7-T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ysClr val="windowText" lastClr="000000"/>
              </a:solidFill>
            </a:rPr>
            <a:t>Resagging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143700</xdr:colOff>
      <xdr:row>37</xdr:row>
      <xdr:rowOff>106973</xdr:rowOff>
    </xdr:from>
    <xdr:to>
      <xdr:col>15</xdr:col>
      <xdr:colOff>332643</xdr:colOff>
      <xdr:row>40</xdr:row>
      <xdr:rowOff>17585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77A421FD-CBF8-4453-9BE7-703590958D77}"/>
            </a:ext>
          </a:extLst>
        </xdr:cNvPr>
        <xdr:cNvSpPr/>
      </xdr:nvSpPr>
      <xdr:spPr>
        <a:xfrm>
          <a:off x="5023431" y="5821973"/>
          <a:ext cx="569943" cy="37953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C7-200</a:t>
          </a:r>
        </a:p>
        <a:p>
          <a:pPr algn="l"/>
          <a:r>
            <a:rPr lang="en-US" sz="600" strike="no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ysClr val="windowText" lastClr="000000"/>
              </a:solidFill>
            </a:rPr>
            <a:t>Resagging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235628</xdr:colOff>
      <xdr:row>30</xdr:row>
      <xdr:rowOff>38094</xdr:rowOff>
    </xdr:from>
    <xdr:to>
      <xdr:col>8</xdr:col>
      <xdr:colOff>95249</xdr:colOff>
      <xdr:row>31</xdr:row>
      <xdr:rowOff>65941</xdr:rowOff>
    </xdr:to>
    <xdr:sp macro="" textlink="">
      <xdr:nvSpPr>
        <xdr:cNvPr id="335" name="Rectangle 334">
          <a:extLst>
            <a:ext uri="{FF2B5EF4-FFF2-40B4-BE49-F238E27FC236}">
              <a16:creationId xmlns:a16="http://schemas.microsoft.com/office/drawing/2014/main" id="{04704802-7BC7-4191-834D-2586CB2AC64D}"/>
            </a:ext>
          </a:extLst>
        </xdr:cNvPr>
        <xdr:cNvSpPr/>
      </xdr:nvSpPr>
      <xdr:spPr>
        <a:xfrm>
          <a:off x="2067359" y="4668709"/>
          <a:ext cx="621621" cy="1817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lvtc 2x35+N</a:t>
          </a:r>
        </a:p>
      </xdr:txBody>
    </xdr:sp>
    <xdr:clientData/>
  </xdr:twoCellAnchor>
  <xdr:twoCellAnchor>
    <xdr:from>
      <xdr:col>11</xdr:col>
      <xdr:colOff>248816</xdr:colOff>
      <xdr:row>30</xdr:row>
      <xdr:rowOff>58610</xdr:rowOff>
    </xdr:from>
    <xdr:to>
      <xdr:col>13</xdr:col>
      <xdr:colOff>108437</xdr:colOff>
      <xdr:row>31</xdr:row>
      <xdr:rowOff>86457</xdr:rowOff>
    </xdr:to>
    <xdr:sp macro="" textlink="">
      <xdr:nvSpPr>
        <xdr:cNvPr id="336" name="Rectangle 335">
          <a:extLst>
            <a:ext uri="{FF2B5EF4-FFF2-40B4-BE49-F238E27FC236}">
              <a16:creationId xmlns:a16="http://schemas.microsoft.com/office/drawing/2014/main" id="{E48B89D5-4CF7-4C5F-9AB3-AEB0B0CB460D}"/>
            </a:ext>
          </a:extLst>
        </xdr:cNvPr>
        <xdr:cNvSpPr/>
      </xdr:nvSpPr>
      <xdr:spPr>
        <a:xfrm>
          <a:off x="3985547" y="4689225"/>
          <a:ext cx="621621" cy="1817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lvtc 2x35+N</a:t>
          </a:r>
        </a:p>
      </xdr:txBody>
    </xdr:sp>
    <xdr:clientData/>
  </xdr:twoCellAnchor>
  <xdr:twoCellAnchor>
    <xdr:from>
      <xdr:col>15</xdr:col>
      <xdr:colOff>293077</xdr:colOff>
      <xdr:row>35</xdr:row>
      <xdr:rowOff>58616</xdr:rowOff>
    </xdr:from>
    <xdr:to>
      <xdr:col>17</xdr:col>
      <xdr:colOff>152698</xdr:colOff>
      <xdr:row>36</xdr:row>
      <xdr:rowOff>86463</xdr:rowOff>
    </xdr:to>
    <xdr:sp macro="" textlink="">
      <xdr:nvSpPr>
        <xdr:cNvPr id="337" name="Rectangle 336">
          <a:extLst>
            <a:ext uri="{FF2B5EF4-FFF2-40B4-BE49-F238E27FC236}">
              <a16:creationId xmlns:a16="http://schemas.microsoft.com/office/drawing/2014/main" id="{A38BAB10-4122-4BCE-8CB0-8AE8FCD3399C}"/>
            </a:ext>
          </a:extLst>
        </xdr:cNvPr>
        <xdr:cNvSpPr/>
      </xdr:nvSpPr>
      <xdr:spPr>
        <a:xfrm rot="171176">
          <a:off x="5553808" y="5458558"/>
          <a:ext cx="621621" cy="1817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lvtc 2x35+N</a:t>
          </a:r>
        </a:p>
      </xdr:txBody>
    </xdr:sp>
    <xdr:clientData/>
  </xdr:twoCellAnchor>
  <xdr:twoCellAnchor>
    <xdr:from>
      <xdr:col>4</xdr:col>
      <xdr:colOff>293553</xdr:colOff>
      <xdr:row>5</xdr:row>
      <xdr:rowOff>27708</xdr:rowOff>
    </xdr:from>
    <xdr:to>
      <xdr:col>5</xdr:col>
      <xdr:colOff>267966</xdr:colOff>
      <xdr:row>7</xdr:row>
      <xdr:rowOff>138863</xdr:rowOff>
    </xdr:to>
    <xdr:cxnSp macro="">
      <xdr:nvCxnSpPr>
        <xdr:cNvPr id="338" name="Straight Connector 337">
          <a:extLst>
            <a:ext uri="{FF2B5EF4-FFF2-40B4-BE49-F238E27FC236}">
              <a16:creationId xmlns:a16="http://schemas.microsoft.com/office/drawing/2014/main" id="{D196E032-8BBF-4BEE-BF72-7005FDE6B481}"/>
            </a:ext>
          </a:extLst>
        </xdr:cNvPr>
        <xdr:cNvCxnSpPr>
          <a:endCxn id="209" idx="2"/>
        </xdr:cNvCxnSpPr>
      </xdr:nvCxnSpPr>
      <xdr:spPr>
        <a:xfrm>
          <a:off x="1370292" y="806273"/>
          <a:ext cx="355413" cy="40932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58319</xdr:colOff>
      <xdr:row>5</xdr:row>
      <xdr:rowOff>123900</xdr:rowOff>
    </xdr:from>
    <xdr:to>
      <xdr:col>5</xdr:col>
      <xdr:colOff>237410</xdr:colOff>
      <xdr:row>8</xdr:row>
      <xdr:rowOff>22063</xdr:rowOff>
    </xdr:to>
    <xdr:sp macro="" textlink="">
      <xdr:nvSpPr>
        <xdr:cNvPr id="350" name="Rectangle 349">
          <a:extLst>
            <a:ext uri="{FF2B5EF4-FFF2-40B4-BE49-F238E27FC236}">
              <a16:creationId xmlns:a16="http://schemas.microsoft.com/office/drawing/2014/main" id="{B4B79F23-42C7-44FA-8505-D874197BCF46}"/>
            </a:ext>
          </a:extLst>
        </xdr:cNvPr>
        <xdr:cNvSpPr/>
      </xdr:nvSpPr>
      <xdr:spPr>
        <a:xfrm rot="3422738">
          <a:off x="1432892" y="985631"/>
          <a:ext cx="345424" cy="179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5</xdr:col>
      <xdr:colOff>185871</xdr:colOff>
      <xdr:row>9</xdr:row>
      <xdr:rowOff>85801</xdr:rowOff>
    </xdr:from>
    <xdr:to>
      <xdr:col>5</xdr:col>
      <xdr:colOff>364962</xdr:colOff>
      <xdr:row>11</xdr:row>
      <xdr:rowOff>133051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25D76C8E-5EF0-45A2-97BC-CC2823ED0FDB}"/>
            </a:ext>
          </a:extLst>
        </xdr:cNvPr>
        <xdr:cNvSpPr/>
      </xdr:nvSpPr>
      <xdr:spPr>
        <a:xfrm rot="5400000">
          <a:off x="1560444" y="1543880"/>
          <a:ext cx="345424" cy="179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5</xdr:col>
      <xdr:colOff>180902</xdr:colOff>
      <xdr:row>15</xdr:row>
      <xdr:rowOff>22855</xdr:rowOff>
    </xdr:from>
    <xdr:to>
      <xdr:col>5</xdr:col>
      <xdr:colOff>359993</xdr:colOff>
      <xdr:row>17</xdr:row>
      <xdr:rowOff>70105</xdr:rowOff>
    </xdr:to>
    <xdr:sp macro="" textlink="">
      <xdr:nvSpPr>
        <xdr:cNvPr id="352" name="Rectangle 351">
          <a:extLst>
            <a:ext uri="{FF2B5EF4-FFF2-40B4-BE49-F238E27FC236}">
              <a16:creationId xmlns:a16="http://schemas.microsoft.com/office/drawing/2014/main" id="{73AFA393-01F1-4368-81FD-3E30A28F2C04}"/>
            </a:ext>
          </a:extLst>
        </xdr:cNvPr>
        <xdr:cNvSpPr/>
      </xdr:nvSpPr>
      <xdr:spPr>
        <a:xfrm rot="5400000">
          <a:off x="1555475" y="2392021"/>
          <a:ext cx="345424" cy="179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5</xdr:col>
      <xdr:colOff>200781</xdr:colOff>
      <xdr:row>21</xdr:row>
      <xdr:rowOff>1321</xdr:rowOff>
    </xdr:from>
    <xdr:to>
      <xdr:col>5</xdr:col>
      <xdr:colOff>379872</xdr:colOff>
      <xdr:row>23</xdr:row>
      <xdr:rowOff>48571</xdr:rowOff>
    </xdr:to>
    <xdr:sp macro="" textlink="">
      <xdr:nvSpPr>
        <xdr:cNvPr id="353" name="Rectangle 352">
          <a:extLst>
            <a:ext uri="{FF2B5EF4-FFF2-40B4-BE49-F238E27FC236}">
              <a16:creationId xmlns:a16="http://schemas.microsoft.com/office/drawing/2014/main" id="{B01EF753-720C-452E-9E48-4D426850EB6E}"/>
            </a:ext>
          </a:extLst>
        </xdr:cNvPr>
        <xdr:cNvSpPr/>
      </xdr:nvSpPr>
      <xdr:spPr>
        <a:xfrm rot="5400000">
          <a:off x="1575354" y="3265009"/>
          <a:ext cx="345424" cy="179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5</xdr:col>
      <xdr:colOff>170964</xdr:colOff>
      <xdr:row>27</xdr:row>
      <xdr:rowOff>4635</xdr:rowOff>
    </xdr:from>
    <xdr:to>
      <xdr:col>5</xdr:col>
      <xdr:colOff>350055</xdr:colOff>
      <xdr:row>29</xdr:row>
      <xdr:rowOff>51885</xdr:rowOff>
    </xdr:to>
    <xdr:sp macro="" textlink="">
      <xdr:nvSpPr>
        <xdr:cNvPr id="354" name="Rectangle 353">
          <a:extLst>
            <a:ext uri="{FF2B5EF4-FFF2-40B4-BE49-F238E27FC236}">
              <a16:creationId xmlns:a16="http://schemas.microsoft.com/office/drawing/2014/main" id="{5628E239-3813-45B1-8B81-0A9E53A97B67}"/>
            </a:ext>
          </a:extLst>
        </xdr:cNvPr>
        <xdr:cNvSpPr/>
      </xdr:nvSpPr>
      <xdr:spPr>
        <a:xfrm rot="5400000">
          <a:off x="1545537" y="4162844"/>
          <a:ext cx="345424" cy="179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19</xdr:col>
      <xdr:colOff>117230</xdr:colOff>
      <xdr:row>45</xdr:row>
      <xdr:rowOff>36635</xdr:rowOff>
    </xdr:from>
    <xdr:to>
      <xdr:col>20</xdr:col>
      <xdr:colOff>219807</xdr:colOff>
      <xdr:row>47</xdr:row>
      <xdr:rowOff>36634</xdr:rowOff>
    </xdr:to>
    <xdr:sp macro="" textlink="">
      <xdr:nvSpPr>
        <xdr:cNvPr id="355" name="Rectangle 354">
          <a:extLst>
            <a:ext uri="{FF2B5EF4-FFF2-40B4-BE49-F238E27FC236}">
              <a16:creationId xmlns:a16="http://schemas.microsoft.com/office/drawing/2014/main" id="{1DBF576C-768B-4FDB-BF73-6D60D1B7044D}"/>
            </a:ext>
          </a:extLst>
        </xdr:cNvPr>
        <xdr:cNvSpPr/>
      </xdr:nvSpPr>
      <xdr:spPr>
        <a:xfrm>
          <a:off x="6901961" y="6989885"/>
          <a:ext cx="483577" cy="30773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C9-200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CJ7-T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212481</xdr:colOff>
      <xdr:row>50</xdr:row>
      <xdr:rowOff>124557</xdr:rowOff>
    </xdr:from>
    <xdr:to>
      <xdr:col>19</xdr:col>
      <xdr:colOff>315058</xdr:colOff>
      <xdr:row>52</xdr:row>
      <xdr:rowOff>36634</xdr:rowOff>
    </xdr:to>
    <xdr:sp macro="" textlink="">
      <xdr:nvSpPr>
        <xdr:cNvPr id="356" name="Rectangle 355">
          <a:extLst>
            <a:ext uri="{FF2B5EF4-FFF2-40B4-BE49-F238E27FC236}">
              <a16:creationId xmlns:a16="http://schemas.microsoft.com/office/drawing/2014/main" id="{B2F464E8-86A9-4DAB-AA28-C42D3702A252}"/>
            </a:ext>
          </a:extLst>
        </xdr:cNvPr>
        <xdr:cNvSpPr/>
      </xdr:nvSpPr>
      <xdr:spPr>
        <a:xfrm>
          <a:off x="6616212" y="7854461"/>
          <a:ext cx="483577" cy="31505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C9-200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344365</xdr:colOff>
      <xdr:row>43</xdr:row>
      <xdr:rowOff>14655</xdr:rowOff>
    </xdr:from>
    <xdr:to>
      <xdr:col>19</xdr:col>
      <xdr:colOff>203986</xdr:colOff>
      <xdr:row>44</xdr:row>
      <xdr:rowOff>42502</xdr:rowOff>
    </xdr:to>
    <xdr:sp macro="" textlink="">
      <xdr:nvSpPr>
        <xdr:cNvPr id="360" name="Rectangle 359">
          <a:extLst>
            <a:ext uri="{FF2B5EF4-FFF2-40B4-BE49-F238E27FC236}">
              <a16:creationId xmlns:a16="http://schemas.microsoft.com/office/drawing/2014/main" id="{592145F4-98F8-46E9-B148-B8250E68FA5B}"/>
            </a:ext>
          </a:extLst>
        </xdr:cNvPr>
        <xdr:cNvSpPr/>
      </xdr:nvSpPr>
      <xdr:spPr>
        <a:xfrm rot="171176">
          <a:off x="6367096" y="6660174"/>
          <a:ext cx="621621" cy="1817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lvtc 2x35+N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571501</xdr:colOff>
      <xdr:row>9</xdr:row>
      <xdr:rowOff>13608</xdr:rowOff>
    </xdr:from>
    <xdr:to>
      <xdr:col>18</xdr:col>
      <xdr:colOff>204107</xdr:colOff>
      <xdr:row>52</xdr:row>
      <xdr:rowOff>21450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0171B-2497-F304-B5AE-37D895EC9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072" y="1632858"/>
          <a:ext cx="7592785" cy="70291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8" t="s">
        <v>1134</v>
      </c>
      <c r="C4" s="538"/>
      <c r="D4" s="538"/>
      <c r="E4" s="538"/>
      <c r="F4" s="538"/>
      <c r="G4" s="538"/>
      <c r="H4" s="53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9" t="s">
        <v>0</v>
      </c>
      <c r="C7" s="539" t="s">
        <v>1</v>
      </c>
      <c r="D7" s="540" t="s">
        <v>42</v>
      </c>
      <c r="E7" s="540" t="s">
        <v>43</v>
      </c>
      <c r="F7" s="540" t="s">
        <v>1135</v>
      </c>
      <c r="G7" s="541" t="s">
        <v>41</v>
      </c>
      <c r="H7" s="537" t="s">
        <v>1042</v>
      </c>
      <c r="I7" s="537" t="s">
        <v>1137</v>
      </c>
      <c r="J7" s="537" t="s">
        <v>1026</v>
      </c>
      <c r="K7" s="531" t="s">
        <v>1024</v>
      </c>
      <c r="L7" s="532"/>
    </row>
    <row r="8" spans="1:12" ht="15" customHeight="1">
      <c r="B8" s="539"/>
      <c r="C8" s="539"/>
      <c r="D8" s="540"/>
      <c r="E8" s="540"/>
      <c r="F8" s="540"/>
      <c r="G8" s="541"/>
      <c r="H8" s="537"/>
      <c r="I8" s="537"/>
      <c r="J8" s="537"/>
      <c r="K8" s="533"/>
      <c r="L8" s="534"/>
    </row>
    <row r="9" spans="1:12" ht="15" customHeight="1">
      <c r="B9" s="539"/>
      <c r="C9" s="539"/>
      <c r="D9" s="540"/>
      <c r="E9" s="540"/>
      <c r="F9" s="540"/>
      <c r="G9" s="541"/>
      <c r="H9" s="537"/>
      <c r="I9" s="537"/>
      <c r="J9" s="537"/>
      <c r="K9" s="535"/>
      <c r="L9" s="53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4</v>
      </c>
      <c r="G16" s="41">
        <f ca="1">IF(ISERROR(OFFSET('HARGA SATUAN'!$I$6,MATCH(C16,'HARGA SATUAN'!$C$7:$C$1492,0),0)),"",OFFSET('HARGA SATUAN'!$I$6,MATCH(C16,'HARGA SATUAN'!$C$7:$C$1492,0),0))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Strainkap Porcelain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430000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150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480</v>
      </c>
      <c r="G19" s="41">
        <f ca="1">IF(ISERROR(OFFSET('HARGA SATUAN'!$I$6,MATCH(C19,'HARGA SATUAN'!$C$7:$C$1492,0),0)),"",OFFSET('HARGA SATUAN'!$I$6,MATCH(C19,'HARGA SATUAN'!$C$7:$C$1492,0),0))</f>
        <v>25300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3x35+1x35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120</v>
      </c>
      <c r="G20" s="41">
        <f ca="1">IF(ISERROR(OFFSET('HARGA SATUAN'!$I$6,MATCH(C20,'HARGA SATUAN'!$C$7:$C$1492,0),0)),"",OFFSET('HARGA SATUAN'!$I$6,MATCH(C20,'HARGA SATUAN'!$C$7:$C$1492,0),0))</f>
        <v>30400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SUMIFS(RAB!$F$14:$F$152,RAB!$C$14:$C$152,C714)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SUMIFS(RAB!$F$14:$F$152,RAB!$C$14:$C$152,C715)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SUMIFS(RAB!$F$14:$F$152,RAB!$C$14:$C$152,C716)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SUMIFS(RAB!$F$14:$F$152,RAB!$C$14:$C$152,C717)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SUMIFS(RAB!$F$14:$F$152,RAB!$C$14:$C$152,C718)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SUMIFS(RAB!$F$14:$F$152,RAB!$C$14:$C$152,C719)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SUMIFS(RAB!$F$14:$F$152,RAB!$C$14:$C$152,C720)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SUMIFS(RAB!$F$14:$F$152,RAB!$C$14:$C$152,C721)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SUMIFS(RAB!$F$14:$F$152,RAB!$C$14:$C$152,C722)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SUMIFS(RAB!$F$14:$F$152,RAB!$C$14:$C$152,C723)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SUMIFS(RAB!$F$14:$F$152,RAB!$C$14:$C$152,C724)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SUMIFS(RAB!$F$14:$F$152,RAB!$C$14:$C$152,C725)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SUMIFS(RAB!$F$14:$F$152,RAB!$C$14:$C$152,C726)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SUMIFS(RAB!$F$14:$F$152,RAB!$C$14:$C$152,C727)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SUMIFS(RAB!$F$14:$F$152,RAB!$C$14:$C$152,C728)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SUMIFS(RAB!$F$14:$F$152,RAB!$C$14:$C$152,C729)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SUMIFS(RAB!$F$14:$F$152,RAB!$C$14:$C$152,C730)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SUMIFS(RAB!$F$14:$F$152,RAB!$C$14:$C$152,C731)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SUMIFS(RAB!$F$14:$F$152,RAB!$C$14:$C$152,C732)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SUMIFS(RAB!$F$14:$F$152,RAB!$C$14:$C$152,C733)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SUMIFS(RAB!$F$14:$F$152,RAB!$C$14:$C$152,C734)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SUMIFS(RAB!$F$14:$F$152,RAB!$C$14:$C$152,C735)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SUMIFS(RAB!$F$14:$F$152,RAB!$C$14:$C$152,C736)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SUMIFS(RAB!$F$14:$F$152,RAB!$C$14:$C$152,C737)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SUMIFS(RAB!$F$14:$F$152,RAB!$C$14:$C$152,C738)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SUMIFS(RAB!$F$14:$F$152,RAB!$C$14:$C$152,C739)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SUMIFS(RAB!$F$14:$F$152,RAB!$C$14:$C$152,C740)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SUMIFS(RAB!$F$14:$F$152,RAB!$C$14:$C$152,C741)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SUMIFS(RAB!$F$14:$F$152,RAB!$C$14:$C$152,C742)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SUMIFS(RAB!$F$14:$F$152,RAB!$C$14:$C$152,C743)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SUMIFS(RAB!$F$14:$F$152,RAB!$C$14:$C$152,C744)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SUMIFS(RAB!$F$14:$F$152,RAB!$C$14:$C$152,C745)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SUMIFS(RAB!$F$14:$F$152,RAB!$C$14:$C$152,C746)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SUMIFS(RAB!$F$14:$F$152,RAB!$C$14:$C$152,C747)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SUMIFS(RAB!$F$14:$F$152,RAB!$C$14:$C$152,C748)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SUMIFS(RAB!$F$14:$F$152,RAB!$C$14:$C$152,C749)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SUMIFS(RAB!$F$14:$F$152,RAB!$C$14:$C$152,C750)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SUMIFS(RAB!$F$14:$F$152,RAB!$C$14:$C$152,C751)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SUMIFS(RAB!$F$14:$F$152,RAB!$C$14:$C$152,C752)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SUMIFS(RAB!$F$14:$F$152,RAB!$C$14:$C$152,C753)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SUMIFS(RAB!$F$14:$F$152,RAB!$C$14:$C$152,C754)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SUMIFS(RAB!$F$14:$F$152,RAB!$C$14:$C$152,C755)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SUMIFS(RAB!$F$14:$F$152,RAB!$C$14:$C$152,C756)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SUMIFS(RAB!$F$14:$F$152,RAB!$C$14:$C$152,C757)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SUMIFS(RAB!$F$14:$F$152,RAB!$C$14:$C$152,C758)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SUMIFS(RAB!$F$14:$F$152,RAB!$C$14:$C$152,C759)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SUMIFS(RAB!$F$14:$F$152,RAB!$C$14:$C$152,C760)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SUMIFS(RAB!$F$14:$F$152,RAB!$C$14:$C$152,C761)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SUMIFS(RAB!$F$14:$F$152,RAB!$C$14:$C$152,C762)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SUMIFS(RAB!$F$14:$F$152,RAB!$C$14:$C$152,C763)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SUMIFS(RAB!$F$14:$F$152,RAB!$C$14:$C$152,C764)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SUMIFS(RAB!$F$14:$F$152,RAB!$C$14:$C$152,C765)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SUMIFS(RAB!$F$14:$F$152,RAB!$C$14:$C$152,C766)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SUMIFS(RAB!$F$14:$F$152,RAB!$C$14:$C$152,C767)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SUMIFS(RAB!$F$14:$F$152,RAB!$C$14:$C$152,C768)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SUMIFS(RAB!$F$14:$F$152,RAB!$C$14:$C$152,C769)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SUMIFS(RAB!$F$14:$F$152,RAB!$C$14:$C$152,C770)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SUMIFS(RAB!$F$14:$F$152,RAB!$C$14:$C$152,C771)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SUMIFS(RAB!$F$14:$F$152,RAB!$C$14:$C$152,C772)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SUMIFS(RAB!$F$14:$F$152,RAB!$C$14:$C$152,C773)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SUMIFS(RAB!$F$14:$F$152,RAB!$C$14:$C$152,C774)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SUMIFS(RAB!$F$14:$F$152,RAB!$C$14:$C$152,C775)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SUMIFS(RAB!$F$14:$F$152,RAB!$C$14:$C$152,C776)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SUMIFS(RAB!$F$14:$F$152,RAB!$C$14:$C$152,C777)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SUMIFS(RAB!$F$14:$F$152,RAB!$C$14:$C$152,C778)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SUMIFS(RAB!$F$14:$F$152,RAB!$C$14:$C$152,C779)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SUMIFS(RAB!$F$14:$F$152,RAB!$C$14:$C$152,C780)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SUMIFS(RAB!$F$14:$F$152,RAB!$C$14:$C$152,C781)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SUMIFS(RAB!$F$14:$F$152,RAB!$C$14:$C$152,C782)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SUMIFS(RAB!$F$14:$F$152,RAB!$C$14:$C$152,C783)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SUMIFS(RAB!$F$14:$F$152,RAB!$C$14:$C$152,C784)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SUMIFS(RAB!$F$14:$F$152,RAB!$C$14:$C$152,C785)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SUMIFS(RAB!$F$14:$F$152,RAB!$C$14:$C$152,C786)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SUMIFS(RAB!$F$14:$F$152,RAB!$C$14:$C$152,C787)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SUMIFS(RAB!$F$14:$F$152,RAB!$C$14:$C$152,C788)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SUMIFS(RAB!$F$14:$F$152,RAB!$C$14:$C$152,C789)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SUMIFS(RAB!$F$14:$F$152,RAB!$C$14:$C$152,C790)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SUMIFS(RAB!$F$14:$F$152,RAB!$C$14:$C$152,C791)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SUMIFS(RAB!$F$14:$F$152,RAB!$C$14:$C$152,C792)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SUMIFS(RAB!$F$14:$F$152,RAB!$C$14:$C$152,C793)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SUMIFS(RAB!$F$14:$F$152,RAB!$C$14:$C$152,C794)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SUMIFS(RAB!$F$14:$F$152,RAB!$C$14:$C$152,C795)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SUMIFS(RAB!$F$14:$F$152,RAB!$C$14:$C$152,C796)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SUMIFS(RAB!$F$14:$F$152,RAB!$C$14:$C$152,C797)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SUMIFS(RAB!$F$14:$F$152,RAB!$C$14:$C$152,C798)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SUMIFS(RAB!$F$14:$F$152,RAB!$C$14:$C$152,C799)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SUMIFS(RAB!$F$14:$F$152,RAB!$C$14:$C$152,C800)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SUMIFS(RAB!$F$14:$F$152,RAB!$C$14:$C$152,C801)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SUMIFS(RAB!$F$14:$F$152,RAB!$C$14:$C$152,C802)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SUMIFS(RAB!$F$14:$F$152,RAB!$C$14:$C$152,C803)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SUMIFS(RAB!$F$14:$F$152,RAB!$C$14:$C$152,C804)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SUMIFS(RAB!$F$14:$F$152,RAB!$C$14:$C$152,C805)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SUMIFS(RAB!$F$14:$F$152,RAB!$C$14:$C$152,C806)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SUMIFS(RAB!$F$14:$F$152,RAB!$C$14:$C$152,C807)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SUMIFS(RAB!$F$14:$F$152,RAB!$C$14:$C$152,C808)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SUMIFS(RAB!$F$14:$F$152,RAB!$C$14:$C$152,C809)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SUMIFS(RAB!$F$14:$F$152,RAB!$C$14:$C$152,C810)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SUMIFS(RAB!$F$14:$F$152,RAB!$C$14:$C$152,C811)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SUMIFS(RAB!$F$14:$F$152,RAB!$C$14:$C$152,C812)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SUMIFS(RAB!$F$14:$F$152,RAB!$C$14:$C$152,C813)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SUMIFS(RAB!$F$14:$F$152,RAB!$C$14:$C$152,C814)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SUMIFS(RAB!$F$14:$F$152,RAB!$C$14:$C$152,C815)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SUMIFS(RAB!$F$14:$F$152,RAB!$C$14:$C$152,C816)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SUMIFS(RAB!$F$14:$F$152,RAB!$C$14:$C$152,C817)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SUMIFS(RAB!$F$14:$F$152,RAB!$C$14:$C$152,C818)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SUMIFS(RAB!$F$14:$F$152,RAB!$C$14:$C$152,C819)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SUMIFS(RAB!$F$14:$F$152,RAB!$C$14:$C$152,C820)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SUMIFS(RAB!$F$14:$F$152,RAB!$C$14:$C$152,C821)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SUMIFS(RAB!$F$14:$F$152,RAB!$C$14:$C$152,C822)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SUMIFS(RAB!$F$14:$F$152,RAB!$C$14:$C$152,C823)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SUMIFS(RAB!$F$14:$F$152,RAB!$C$14:$C$152,C824)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SUMIFS(RAB!$F$14:$F$152,RAB!$C$14:$C$152,C825)</f>
        <v>4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SUMIFS(RAB!$F$14:$F$152,RAB!$C$14:$C$152,C826)</f>
        <v>2</v>
      </c>
      <c r="E826" s="26">
        <f t="shared" ca="1" si="34"/>
        <v>1</v>
      </c>
      <c r="F826" s="26">
        <f ca="1">IF(D826=0,0,SUM($E$713:E826))</f>
        <v>6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SUMIFS(RAB!$F$14:$F$152,RAB!$C$14:$C$152,C827)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SUMIFS(RAB!$F$14:$F$152,RAB!$C$14:$C$152,C828)</f>
        <v>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SUMIFS(RAB!$F$14:$F$152,RAB!$C$14:$C$152,C829)</f>
        <v>480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SUMIFS(RAB!$F$14:$F$152,RAB!$C$14:$C$152,C830)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SUMIFS(RAB!$F$14:$F$152,RAB!$C$14:$C$152,C831)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SUMIFS(RAB!$F$14:$F$152,RAB!$C$14:$C$152,C832)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SUMIFS(RAB!$F$14:$F$152,RAB!$C$14:$C$152,C833)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SUMIFS(RAB!$F$14:$F$152,RAB!$C$14:$C$152,C834)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SUMIFS(RAB!$F$14:$F$152,RAB!$C$14:$C$152,C835)</f>
        <v>120</v>
      </c>
      <c r="E835" s="26">
        <f t="shared" ca="1" si="34"/>
        <v>1</v>
      </c>
      <c r="F835" s="26">
        <f ca="1">IF(D835=0,0,SUM($E$713:E835))</f>
        <v>9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SUMIFS(RAB!$F$14:$F$152,RAB!$C$14:$C$152,C836)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SUMIFS(RAB!$F$14:$F$152,RAB!$C$14:$C$152,C837)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SUMIFS(RAB!$F$14:$F$152,RAB!$C$14:$C$152,C838)</f>
        <v>35</v>
      </c>
      <c r="E838" s="26">
        <f t="shared" ca="1" si="34"/>
        <v>1</v>
      </c>
      <c r="F838" s="26">
        <f ca="1">IF(D838=0,0,SUM($E$713:E838))</f>
        <v>10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SUMIFS(RAB!$F$14:$F$152,RAB!$C$14:$C$152,C839)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SUMIFS(RAB!$F$14:$F$152,RAB!$C$14:$C$152,C840)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SUMIFS(RAB!$F$14:$F$152,RAB!$C$14:$C$152,C841)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SUMIFS(RAB!$F$14:$F$152,RAB!$C$14:$C$152,C842)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SUMIFS(RAB!$F$14:$F$152,RAB!$C$14:$C$152,C843)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SUMIFS(RAB!$F$14:$F$152,RAB!$C$14:$C$152,C844)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SUMIFS(RAB!$F$14:$F$152,RAB!$C$14:$C$152,C845)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SUMIFS(RAB!$F$14:$F$152,RAB!$C$14:$C$152,C846)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SUMIFS(RAB!$F$14:$F$152,RAB!$C$14:$C$152,C847)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SUMIFS(RAB!$F$14:$F$152,RAB!$C$14:$C$152,C848)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SUMIFS(RAB!$F$14:$F$152,RAB!$C$14:$C$152,C849)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SUMIFS(RAB!$F$14:$F$152,RAB!$C$14:$C$152,C850)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SUMIFS(RAB!$F$14:$F$152,RAB!$C$14:$C$152,C851)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SUMIFS(RAB!$F$14:$F$152,RAB!$C$14:$C$152,C852)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SUMIFS(RAB!$F$14:$F$152,RAB!$C$14:$C$152,C853)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SUMIFS(RAB!$F$14:$F$152,RAB!$C$14:$C$152,C854)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SUMIFS(RAB!$F$14:$F$152,RAB!$C$14:$C$152,C855)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SUMIFS(RAB!$F$14:$F$152,RAB!$C$14:$C$152,C856)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SUMIFS(RAB!$F$14:$F$152,RAB!$C$14:$C$152,C857)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SUMIFS(RAB!$F$14:$F$152,RAB!$C$14:$C$152,C858)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SUMIFS(RAB!$F$14:$F$152,RAB!$C$14:$C$152,C859)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SUMIFS(RAB!$F$14:$F$152,RAB!$C$14:$C$152,C860)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SUMIFS(RAB!$F$14:$F$152,RAB!$C$14:$C$152,C861)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SUMIFS(RAB!$F$14:$F$152,RAB!$C$14:$C$152,C862)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SUMIFS(RAB!$F$14:$F$152,RAB!$C$14:$C$152,C863)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SUMIFS(RAB!$F$14:$F$152,RAB!$C$14:$C$152,C864)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SUMIFS(RAB!$F$14:$F$152,RAB!$C$14:$C$152,C865)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SUMIFS(RAB!$F$14:$F$152,RAB!$C$14:$C$152,C866)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SUMIFS(RAB!$F$14:$F$152,RAB!$C$14:$C$152,C867)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SUMIFS(RAB!$F$14:$F$152,RAB!$C$14:$C$152,C868)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SUMIFS(RAB!$F$14:$F$152,RAB!$C$14:$C$152,C869)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SUMIFS(RAB!$F$14:$F$152,RAB!$C$14:$C$152,C870)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SUMIFS(RAB!$F$14:$F$152,RAB!$C$14:$C$152,C871)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SUMIFS(RAB!$F$14:$F$152,RAB!$C$14:$C$152,C872)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SUMIFS(RAB!$F$14:$F$152,RAB!$C$14:$C$152,C873)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SUMIFS(RAB!$F$14:$F$152,RAB!$C$14:$C$152,C874)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SUMIFS(RAB!$F$14:$F$152,RAB!$C$14:$C$152,C875)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SUMIFS(RAB!$F$14:$F$152,RAB!$C$14:$C$152,C876)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SUMIFS(RAB!$F$14:$F$152,RAB!$C$14:$C$152,C877)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SUMIFS(RAB!$F$14:$F$152,RAB!$C$14:$C$152,C878)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SUMIFS(RAB!$F$14:$F$152,RAB!$C$14:$C$152,C879)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SUMIFS(RAB!$F$14:$F$152,RAB!$C$14:$C$152,C880)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SUMIFS(RAB!$F$14:$F$152,RAB!$C$14:$C$152,C881)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SUMIFS(RAB!$F$14:$F$152,RAB!$C$14:$C$152,C882)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SUMIFS(RAB!$F$14:$F$152,RAB!$C$14:$C$152,C883)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SUMIFS(RAB!$F$14:$F$152,RAB!$C$14:$C$152,C884)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SUMIFS(RAB!$F$14:$F$152,RAB!$C$14:$C$152,C885)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SUMIFS(RAB!$F$14:$F$152,RAB!$C$14:$C$152,C886)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SUMIFS(RAB!$F$14:$F$152,RAB!$C$14:$C$152,C887)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SUMIFS(RAB!$F$14:$F$152,RAB!$C$14:$C$152,C888)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SUMIFS(RAB!$F$14:$F$152,RAB!$C$14:$C$152,C889)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SUMIFS(RAB!$F$14:$F$152,RAB!$C$14:$C$152,C890)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SUMIFS(RAB!$F$14:$F$152,RAB!$C$14:$C$152,C891)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SUMIFS(RAB!$F$14:$F$152,RAB!$C$14:$C$152,C892)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SUMIFS(RAB!$F$14:$F$152,RAB!$C$14:$C$152,C893)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SUMIFS(RAB!$F$14:$F$152,RAB!$C$14:$C$152,C894)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SUMIFS(RAB!$F$14:$F$152,RAB!$C$14:$C$152,C895)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SUMIFS(RAB!$F$14:$F$152,RAB!$C$14:$C$152,C896)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SUMIFS(RAB!$F$14:$F$152,RAB!$C$14:$C$152,C897)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SUMIFS(RAB!$F$14:$F$152,RAB!$C$14:$C$152,C898)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SUMIFS(RAB!$F$14:$F$152,RAB!$C$14:$C$152,C899)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SUMIFS(RAB!$F$14:$F$152,RAB!$C$14:$C$152,C900)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SUMIFS(RAB!$F$14:$F$152,RAB!$C$14:$C$152,C901)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SUMIFS(RAB!$F$14:$F$152,RAB!$C$14:$C$152,C902)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SUMIFS(RAB!$F$14:$F$152,RAB!$C$14:$C$152,C903)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SUMIFS(RAB!$F$14:$F$152,RAB!$C$14:$C$152,C904)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SUMIFS(RAB!$F$14:$F$152,RAB!$C$14:$C$152,C905)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SUMIFS(RAB!$F$14:$F$152,RAB!$C$14:$C$152,C906)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SUMIFS(RAB!$F$14:$F$152,RAB!$C$14:$C$152,C907)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SUMIFS(RAB!$F$14:$F$152,RAB!$C$14:$C$152,C908)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SUMIFS(RAB!$F$14:$F$152,RAB!$C$14:$C$152,C909)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SUMIFS(RAB!$F$14:$F$152,RAB!$C$14:$C$152,C910)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SUMIFS(RAB!$F$14:$F$152,RAB!$C$14:$C$152,C911)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SUMIFS(RAB!$F$14:$F$152,RAB!$C$14:$C$152,C912)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SUMIFS(RAB!$F$14:$F$152,RAB!$C$14:$C$152,C913)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SUMIFS(RAB!$F$14:$F$152,RAB!$C$14:$C$152,C914)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SUMIFS(RAB!$F$14:$F$152,RAB!$C$14:$C$152,C915)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SUMIFS(RAB!$F$14:$F$152,RAB!$C$14:$C$152,C916)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SUMIFS(RAB!$F$14:$F$152,RAB!$C$14:$C$152,C917)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SUMIFS(RAB!$F$14:$F$152,RAB!$C$14:$C$152,C918)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SUMIFS(RAB!$F$14:$F$152,RAB!$C$14:$C$152,C919)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SUMIFS(RAB!$F$14:$F$152,RAB!$C$14:$C$152,C920)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SUMIFS(RAB!$F$14:$F$152,RAB!$C$14:$C$152,C921)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SUMIFS(RAB!$F$14:$F$152,RAB!$C$14:$C$152,C922)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SUMIFS(RAB!$F$14:$F$152,RAB!$C$14:$C$152,C923)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SUMIFS(RAB!$F$14:$F$152,RAB!$C$14:$C$152,C924)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SUMIFS(RAB!$F$14:$F$152,RAB!$C$14:$C$152,C925)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SUMIFS(RAB!$F$14:$F$152,RAB!$C$14:$C$152,C926)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SUMIFS(RAB!$F$14:$F$152,RAB!$C$14:$C$152,C927)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SUMIFS(RAB!$F$14:$F$152,RAB!$C$14:$C$152,C928)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SUMIFS(RAB!$F$14:$F$152,RAB!$C$14:$C$152,C929)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SUMIFS(RAB!$F$14:$F$152,RAB!$C$14:$C$152,C930)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SUMIFS(RAB!$F$14:$F$152,RAB!$C$14:$C$152,C931)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SUMIFS(RAB!$F$14:$F$152,RAB!$C$14:$C$152,C932)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SUMIFS(RAB!$F$14:$F$152,RAB!$C$14:$C$152,C933)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SUMIFS(RAB!$F$14:$F$152,RAB!$C$14:$C$152,C934)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SUMIFS(RAB!$F$14:$F$152,RAB!$C$14:$C$152,C935)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SUMIFS(RAB!$F$14:$F$152,RAB!$C$14:$C$152,C936)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SUMIFS(RAB!$F$14:$F$152,RAB!$C$14:$C$152,C937)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SUMIFS(RAB!$F$14:$F$152,RAB!$C$14:$C$152,C938)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SUMIFS(RAB!$F$14:$F$152,RAB!$C$14:$C$152,C939)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SUMIFS(RAB!$F$14:$F$152,RAB!$C$14:$C$152,C940)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SUMIFS(RAB!$F$14:$F$152,RAB!$C$14:$C$152,C941)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SUMIFS(RAB!$F$14:$F$152,RAB!$C$14:$C$152,C942)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SUMIFS(RAB!$F$14:$F$152,RAB!$C$14:$C$152,C943)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SUMIFS(RAB!$F$14:$F$152,RAB!$C$14:$C$152,C944)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SUMIFS(RAB!$F$14:$F$152,RAB!$C$14:$C$152,C945)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SUMIFS(RAB!$F$14:$F$152,RAB!$C$14:$C$152,C946)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SUMIFS(RAB!$F$14:$F$152,RAB!$C$14:$C$152,C947)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SUMIFS(RAB!$F$14:$F$152,RAB!$C$14:$C$152,C948)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SUMIFS(RAB!$F$14:$F$152,RAB!$C$14:$C$152,C949)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SUMIFS(RAB!$F$14:$F$152,RAB!$C$14:$C$152,C950)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SUMIFS(RAB!$F$14:$F$152,RAB!$C$14:$C$152,C951)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SUMIFS(RAB!$F$14:$F$152,RAB!$C$14:$C$152,C952)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SUMIFS(RAB!$F$14:$F$152,RAB!$C$14:$C$152,C953)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SUMIFS(RAB!$F$14:$F$152,RAB!$C$14:$C$152,C954)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SUMIFS(RAB!$F$14:$F$152,RAB!$C$14:$C$152,C955)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SUMIFS(RAB!$F$14:$F$152,RAB!$C$14:$C$152,C956)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SUMIFS(RAB!$F$14:$F$152,RAB!$C$14:$C$152,C957)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SUMIFS(RAB!$F$14:$F$152,RAB!$C$14:$C$152,C958)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SUMIFS(RAB!$F$14:$F$152,RAB!$C$14:$C$152,C959)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SUMIFS(RAB!$F$14:$F$152,RAB!$C$14:$C$152,C960)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SUMIFS(RAB!$F$14:$F$152,RAB!$C$14:$C$152,C961)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SUMIFS(RAB!$F$14:$F$152,RAB!$C$14:$C$152,C962)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SUMIFS(RAB!$F$14:$F$152,RAB!$C$14:$C$152,C963)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SUMIFS(RAB!$F$14:$F$152,RAB!$C$14:$C$152,C964)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SUMIFS(RAB!$F$14:$F$152,RAB!$C$14:$C$152,C965)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SUMIFS(RAB!$F$14:$F$152,RAB!$C$14:$C$152,C966)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SUMIFS(RAB!$F$14:$F$152,RAB!$C$14:$C$152,C967)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SUMIFS(RAB!$F$14:$F$152,RAB!$C$14:$C$152,C968)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SUMIFS(RAB!$F$14:$F$152,RAB!$C$14:$C$152,C969)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SUMIFS(RAB!$F$14:$F$152,RAB!$C$14:$C$152,C970)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SUMIFS(RAB!$F$14:$F$152,RAB!$C$14:$C$152,C971)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SUMIFS(RAB!$F$14:$F$152,RAB!$C$14:$C$152,C972)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SUMIFS(RAB!$F$14:$F$152,RAB!$C$14:$C$152,C973)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SUMIFS(RAB!$F$14:$F$152,RAB!$C$14:$C$152,C974)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SUMIFS(RAB!$F$14:$F$152,RAB!$C$14:$C$152,C975)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SUMIFS(RAB!$F$14:$F$152,RAB!$C$14:$C$152,C976)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SUMIFS(RAB!$F$14:$F$152,RAB!$C$14:$C$152,C977)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SUMIFS(RAB!$F$14:$F$152,RAB!$C$14:$C$152,C978)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SUMIFS(RAB!$F$14:$F$152,RAB!$C$14:$C$152,C979)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SUMIFS(RAB!$F$14:$F$152,RAB!$C$14:$C$152,C980)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SUMIFS(RAB!$F$14:$F$152,RAB!$C$14:$C$152,C981)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SUMIFS(RAB!$F$14:$F$152,RAB!$C$14:$C$152,C982)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SUMIFS(RAB!$F$14:$F$152,RAB!$C$14:$C$152,C983)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SUMIFS(RAB!$F$14:$F$152,RAB!$C$14:$C$152,C984)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SUMIFS(RAB!$F$14:$F$152,RAB!$C$14:$C$152,C985)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SUMIFS(RAB!$F$14:$F$152,RAB!$C$14:$C$152,C986)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SUMIFS(RAB!$F$14:$F$152,RAB!$C$14:$C$152,C987)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SUMIFS(RAB!$F$14:$F$152,RAB!$C$14:$C$152,C988)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SUMIFS(RAB!$F$14:$F$152,RAB!$C$14:$C$152,C989)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SUMIFS(RAB!$F$14:$F$152,RAB!$C$14:$C$152,C990)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SUMIFS(RAB!$F$14:$F$152,RAB!$C$14:$C$152,C991)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SUMIFS(RAB!$F$14:$F$152,RAB!$C$14:$C$152,C992)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SUMIFS(RAB!$F$14:$F$152,RAB!$C$14:$C$152,C993)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SUMIFS(RAB!$F$14:$F$152,RAB!$C$14:$C$152,C994)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SUMIFS(RAB!$F$14:$F$152,RAB!$C$14:$C$152,C995)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SUMIFS(RAB!$F$14:$F$152,RAB!$C$14:$C$152,C996)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SUMIFS(RAB!$F$14:$F$152,RAB!$C$14:$C$152,C997)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SUMIFS(RAB!$F$14:$F$152,RAB!$C$14:$C$152,C998)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SUMIFS(RAB!$F$14:$F$152,RAB!$C$14:$C$152,C999)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SUMIFS(RAB!$F$14:$F$152,RAB!$C$14:$C$152,C1000)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SUMIFS(RAB!$F$14:$F$152,RAB!$C$14:$C$152,C1001)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SUMIFS(RAB!$F$14:$F$152,RAB!$C$14:$C$152,C1002)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SUMIFS(RAB!$F$14:$F$152,RAB!$C$14:$C$152,C1003)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SUMIFS(RAB!$F$14:$F$152,RAB!$C$14:$C$152,C1004)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SUMIFS(RAB!$F$14:$F$152,RAB!$C$14:$C$152,C1005)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SUMIFS(RAB!$F$14:$F$152,RAB!$C$14:$C$152,C1006)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SUMIFS(RAB!$F$14:$F$152,RAB!$C$14:$C$152,C1007)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SUMIFS(RAB!$F$14:$F$152,RAB!$C$14:$C$152,C1008)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SUMIFS(RAB!$F$14:$F$152,RAB!$C$14:$C$152,C1009)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SUMIFS(RAB!$F$14:$F$152,RAB!$C$14:$C$152,C1010)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SUMIFS(RAB!$F$14:$F$152,RAB!$C$14:$C$152,C1011)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SUMIFS(RAB!$F$14:$F$152,RAB!$C$14:$C$152,C1012)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SUMIFS(RAB!$F$14:$F$152,RAB!$C$14:$C$152,C1013)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SUMIFS(RAB!$F$14:$F$152,RAB!$C$14:$C$152,C1014)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SUMIFS(RAB!$F$14:$F$152,RAB!$C$14:$C$152,C1015)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SUMIFS(RAB!$F$14:$F$152,RAB!$C$14:$C$152,C1016)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SUMIFS(RAB!$F$14:$F$152,RAB!$C$14:$C$152,C1017)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SUMIFS(RAB!$F$14:$F$152,RAB!$C$14:$C$152,C1018)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SUMIFS(RAB!$F$14:$F$152,RAB!$C$14:$C$152,C1019)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SUMIFS(RAB!$F$14:$F$152,RAB!$C$14:$C$152,C1020)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SUMIFS(RAB!$F$14:$F$152,RAB!$C$14:$C$152,C1021)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SUMIFS(RAB!$F$14:$F$152,RAB!$C$14:$C$152,C1022)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SUMIFS(RAB!$F$14:$F$152,RAB!$C$14:$C$152,C1023)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SUMIFS(RAB!$F$14:$F$152,RAB!$C$14:$C$152,C1024)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SUMIFS(RAB!$F$14:$F$152,RAB!$C$14:$C$152,C1025)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SUMIFS(RAB!$F$14:$F$152,RAB!$C$14:$C$152,C1026)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SUMIFS(RAB!$F$14:$F$152,RAB!$C$14:$C$152,C1027)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SUMIFS(RAB!$F$14:$F$152,RAB!$C$14:$C$152,C1028)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SUMIFS(RAB!$F$14:$F$152,RAB!$C$14:$C$152,C1029)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SUMIFS(RAB!$F$14:$F$152,RAB!$C$14:$C$152,C1030)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SUMIFS(RAB!$F$14:$F$152,RAB!$C$14:$C$152,C1031)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SUMIFS(RAB!$F$14:$F$152,RAB!$C$14:$C$152,C1032)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SUMIFS(RAB!$F$14:$F$152,RAB!$C$14:$C$152,C1033)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SUMIFS(RAB!$F$14:$F$152,RAB!$C$14:$C$152,C1034)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SUMIFS(RAB!$F$14:$F$152,RAB!$C$14:$C$152,C1035)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SUMIFS(RAB!$F$14:$F$152,RAB!$C$14:$C$152,C1036)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SUMIFS(RAB!$F$14:$F$152,RAB!$C$14:$C$152,C1037)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SUMIFS(RAB!$F$14:$F$152,RAB!$C$14:$C$152,C1038)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SUMIFS(RAB!$F$14:$F$152,RAB!$C$14:$C$152,C1039)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SUMIFS(RAB!$F$14:$F$152,RAB!$C$14:$C$152,C1040)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SUMIFS(RAB!$F$14:$F$152,RAB!$C$14:$C$152,C1041)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SUMIFS(RAB!$F$14:$F$152,RAB!$C$14:$C$152,C1042)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SUMIFS(RAB!$F$14:$F$152,RAB!$C$14:$C$152,C1043)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SUMIFS(RAB!$F$14:$F$152,RAB!$C$14:$C$152,C1044)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SUMIFS(RAB!$F$14:$F$152,RAB!$C$14:$C$152,C1045)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SUMIFS(RAB!$F$14:$F$152,RAB!$C$14:$C$152,C1046)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SUMIFS(RAB!$F$14:$F$152,RAB!$C$14:$C$152,C1047)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SUMIFS(RAB!$F$14:$F$152,RAB!$C$14:$C$152,C1048)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SUMIFS(RAB!$F$14:$F$152,RAB!$C$14:$C$152,C1049)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SUMIFS(RAB!$F$14:$F$152,RAB!$C$14:$C$152,C1050)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SUMIFS(RAB!$F$14:$F$152,RAB!$C$14:$C$152,C1051)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SUMIFS(RAB!$F$14:$F$152,RAB!$C$14:$C$152,C1052)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SUMIFS(RAB!$F$14:$F$152,RAB!$C$14:$C$152,C1053)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SUMIFS(RAB!$F$14:$F$152,RAB!$C$14:$C$152,C1054)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SUMIFS(RAB!$F$14:$F$152,RAB!$C$14:$C$152,C1055)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SUMIFS(RAB!$F$14:$F$152,RAB!$C$14:$C$152,C1056)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SUMIFS(RAB!$F$14:$F$152,RAB!$C$14:$C$152,C1057)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SUMIFS(RAB!$F$14:$F$152,RAB!$C$14:$C$152,C1058)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SUMIFS(RAB!$F$14:$F$152,RAB!$C$14:$C$152,C1059)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SUMIFS(RAB!$F$14:$F$152,RAB!$C$14:$C$152,C1060)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SUMIFS(RAB!$F$14:$F$152,RAB!$C$14:$C$152,C1061)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SUMIFS(RAB!$F$14:$F$152,RAB!$C$14:$C$152,C1062)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SUMIFS(RAB!$F$14:$F$152,RAB!$C$14:$C$152,C1063)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SUMIFS(RAB!$F$14:$F$152,RAB!$C$14:$C$152,C1064)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SUMIFS(RAB!$F$14:$F$152,RAB!$C$14:$C$152,C1065)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SUMIFS(RAB!$F$14:$F$152,RAB!$C$14:$C$152,C1066)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SUMIFS(RAB!$F$14:$F$152,RAB!$C$14:$C$152,C1067)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SUMIFS(RAB!$F$14:$F$152,RAB!$C$14:$C$152,C1068)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SUMIFS(RAB!$F$14:$F$152,RAB!$C$14:$C$152,C1069)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SUMIFS(RAB!$F$14:$F$152,RAB!$C$14:$C$152,C1070)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SUMIFS(RAB!$F$14:$F$152,RAB!$C$14:$C$152,C1071)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SUMIFS(RAB!$F$14:$F$152,RAB!$C$14:$C$152,C1072)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SUMIFS(RAB!$F$14:$F$152,RAB!$C$14:$C$152,C1073)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SUMIFS(RAB!$F$14:$F$152,RAB!$C$14:$C$152,C1074)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SUMIFS(RAB!$F$14:$F$152,RAB!$C$14:$C$152,C1075)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SUMIFS(RAB!$F$14:$F$152,RAB!$C$14:$C$152,C1076)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SUMIFS(RAB!$F$14:$F$152,RAB!$C$14:$C$152,C1077)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SUMIFS(RAB!$F$14:$F$152,RAB!$C$14:$C$152,C1078)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SUMIFS(RAB!$F$14:$F$152,RAB!$C$14:$C$152,C1079)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SUMIFS(RAB!$F$14:$F$152,RAB!$C$14:$C$152,C1080)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SUMIFS(RAB!$F$14:$F$152,RAB!$C$14:$C$152,C1081)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SUMIFS(RAB!$F$14:$F$152,RAB!$C$14:$C$152,C1082)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SUMIFS(RAB!$F$14:$F$152,RAB!$C$14:$C$152,C1083)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SUMIFS(RAB!$F$14:$F$152,RAB!$C$14:$C$152,C1084)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SUMIFS(RAB!$F$14:$F$152,RAB!$C$14:$C$152,C1085)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SUMIFS(RAB!$F$14:$F$152,RAB!$C$14:$C$152,C1086)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SUMIFS(RAB!$F$14:$F$152,RAB!$C$14:$C$152,C1087)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SUMIFS(RAB!$F$14:$F$152,RAB!$C$14:$C$152,C1088)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SUMIFS(RAB!$F$14:$F$152,RAB!$C$14:$C$152,C1089)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SUMIFS(RAB!$F$14:$F$152,RAB!$C$14:$C$152,C1090)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SUMIFS(RAB!$F$14:$F$152,RAB!$C$14:$C$152,C1091)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SUMIFS(RAB!$F$14:$F$152,RAB!$C$14:$C$152,C1092)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SUMIFS(RAB!$F$14:$F$152,RAB!$C$14:$C$152,C1093)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SUMIFS(RAB!$F$14:$F$152,RAB!$C$14:$C$152,C1094)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SUMIFS(RAB!$F$14:$F$152,RAB!$C$14:$C$152,C1095)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SUMIFS(RAB!$F$14:$F$152,RAB!$C$14:$C$152,C1096)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SUMIFS(RAB!$F$14:$F$152,RAB!$C$14:$C$152,C1097)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SUMIFS(RAB!$F$14:$F$152,RAB!$C$14:$C$152,C1098)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SUMIFS(RAB!$F$14:$F$152,RAB!$C$14:$C$152,C1099)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SUMIFS(RAB!$F$14:$F$152,RAB!$C$14:$C$152,C1100)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SUMIFS(RAB!$F$14:$F$152,RAB!$C$14:$C$152,C1101)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SUMIFS(RAB!$F$14:$F$152,RAB!$C$14:$C$152,C1102)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SUMIFS(RAB!$F$14:$F$152,RAB!$C$14:$C$152,C1103)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SUMIFS(RAB!$F$14:$F$152,RAB!$C$14:$C$152,C1104)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SUMIFS(RAB!$F$14:$F$152,RAB!$C$14:$C$152,C1105)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SUMIFS(RAB!$F$14:$F$152,RAB!$C$14:$C$152,C1106)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SUMIFS(RAB!$F$14:$F$152,RAB!$C$14:$C$152,C1107)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SUMIFS(RAB!$F$14:$F$152,RAB!$C$14:$C$152,C1108)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SUMIFS(RAB!$F$14:$F$152,RAB!$C$14:$C$152,C1109)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SUMIFS(RAB!$F$14:$F$152,RAB!$C$14:$C$152,C1110)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SUMIFS(RAB!$F$14:$F$152,RAB!$C$14:$C$152,C1111)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SUMIFS(RAB!$F$14:$F$152,RAB!$C$14:$C$152,C1112)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SUMIFS(RAB!$F$14:$F$152,RAB!$C$14:$C$152,C1113)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SUMIFS(RAB!$F$14:$F$152,RAB!$C$14:$C$152,C1114)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SUMIFS(RAB!$F$14:$F$152,RAB!$C$14:$C$152,C1115)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SUMIFS(RAB!$F$14:$F$152,RAB!$C$14:$C$152,C1116)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SUMIFS(RAB!$F$14:$F$152,RAB!$C$14:$C$152,C1117)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SUMIFS(RAB!$F$14:$F$152,RAB!$C$14:$C$152,C1118)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SUMIFS(RAB!$F$14:$F$152,RAB!$C$14:$C$152,C1119)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SUMIFS(RAB!$F$14:$F$152,RAB!$C$14:$C$152,C1120)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SUMIFS(RAB!$F$14:$F$152,RAB!$C$14:$C$152,C1121)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SUMIFS(RAB!$F$14:$F$152,RAB!$C$14:$C$152,C1122)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SUMIFS(RAB!$F$14:$F$152,RAB!$C$14:$C$152,C1123)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SUMIFS(RAB!$F$14:$F$152,RAB!$C$14:$C$152,C1124)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SUMIFS(RAB!$F$14:$F$152,RAB!$C$14:$C$152,C1125)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SUMIFS(RAB!$F$14:$F$152,RAB!$C$14:$C$152,C1126)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SUMIFS(RAB!$F$14:$F$152,RAB!$C$14:$C$152,C1127)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SUMIFS(RAB!$F$14:$F$152,RAB!$C$14:$C$152,C1128)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SUMIFS(RAB!$F$14:$F$152,RAB!$C$14:$C$152,C1129)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SUMIFS(RAB!$F$14:$F$152,RAB!$C$14:$C$152,C1130)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SUMIFS(RAB!$F$14:$F$152,RAB!$C$14:$C$152,C1131)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SUMIFS(RAB!$F$14:$F$152,RAB!$C$14:$C$152,C1132)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SUMIFS(RAB!$F$14:$F$152,RAB!$C$14:$C$152,C1133)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SUMIFS(RAB!$F$14:$F$152,RAB!$C$14:$C$152,C1134)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SUMIFS(RAB!$F$14:$F$152,RAB!$C$14:$C$152,C1135)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SUMIFS(RAB!$F$14:$F$152,RAB!$C$14:$C$152,C1136)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SUMIFS(RAB!$F$14:$F$152,RAB!$C$14:$C$152,C1137)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SUMIFS(RAB!$F$14:$F$152,RAB!$C$14:$C$152,C1138)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SUMIFS(RAB!$F$14:$F$152,RAB!$C$14:$C$152,C1139)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SUMIFS(RAB!$F$14:$F$152,RAB!$C$14:$C$152,C1140)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SUMIFS(RAB!$F$14:$F$152,RAB!$C$14:$C$152,C1141)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SUMIFS(RAB!$F$14:$F$152,RAB!$C$14:$C$152,C1142)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SUMIFS(RAB!$F$14:$F$152,RAB!$C$14:$C$152,C1143)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SUMIFS(RAB!$F$14:$F$152,RAB!$C$14:$C$152,C1144)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SUMIFS(RAB!$F$14:$F$152,RAB!$C$14:$C$152,C1145)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SUMIFS(RAB!$F$14:$F$152,RAB!$C$14:$C$152,C1146)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SUMIFS(RAB!$F$14:$F$152,RAB!$C$14:$C$152,C1147)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SUMIFS(RAB!$F$14:$F$152,RAB!$C$14:$C$152,C1148)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SUMIFS(RAB!$F$14:$F$152,RAB!$C$14:$C$152,C1149)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SUMIFS(RAB!$F$14:$F$152,RAB!$C$14:$C$152,C1150)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SUMIFS(RAB!$F$14:$F$152,RAB!$C$14:$C$152,C1151)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SUMIFS(RAB!$F$14:$F$152,RAB!$C$14:$C$152,C1152)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SUMIFS(RAB!$F$14:$F$152,RAB!$C$14:$C$152,C1153)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SUMIFS(RAB!$F$14:$F$152,RAB!$C$14:$C$152,C1154)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SUMIFS(RAB!$F$14:$F$152,RAB!$C$14:$C$152,C1155)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SUMIFS(RAB!$F$14:$F$152,RAB!$C$14:$C$152,C1156)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SUMIFS(RAB!$F$14:$F$152,RAB!$C$14:$C$152,C1157)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SUMIFS(RAB!$F$14:$F$152,RAB!$C$14:$C$152,C1158)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SUMIFS(RAB!$F$14:$F$152,RAB!$C$14:$C$152,C1159)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SUMIFS(RAB!$F$14:$F$152,RAB!$C$14:$C$152,C1160)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SUMIFS(RAB!$F$14:$F$152,RAB!$C$14:$C$152,C1161)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SUMIFS(RAB!$F$14:$F$152,RAB!$C$14:$C$152,C1162)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SUMIFS(RAB!$F$14:$F$152,RAB!$C$14:$C$152,C1163)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SUMIFS(RAB!$F$14:$F$152,RAB!$C$14:$C$152,C1164)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SUMIFS(RAB!$F$14:$F$152,RAB!$C$14:$C$152,C1165)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SUMIFS(RAB!$F$14:$F$152,RAB!$C$14:$C$152,C1166)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SUMIFS(RAB!$F$14:$F$152,RAB!$C$14:$C$152,C1167)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SUMIFS(RAB!$F$14:$F$152,RAB!$C$14:$C$152,C1168)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SUMIFS(RAB!$F$14:$F$152,RAB!$C$14:$C$152,C1169)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SUMIFS(RAB!$F$14:$F$152,RAB!$C$14:$C$152,C1170)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SUMIFS(RAB!$F$14:$F$152,RAB!$C$14:$C$152,C1171)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SUMIFS(RAB!$F$14:$F$152,RAB!$C$14:$C$152,C1172)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SUMIFS(RAB!$F$14:$F$152,RAB!$C$14:$C$152,C1173)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SUMIFS(RAB!$F$14:$F$152,RAB!$C$14:$C$152,C1174)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SUMIFS(RAB!$F$14:$F$152,RAB!$C$14:$C$152,C1175)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SUMIFS(RAB!$F$14:$F$152,RAB!$C$14:$C$152,C1176)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SUMIFS(RAB!$F$14:$F$152,RAB!$C$14:$C$152,C1177)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SUMIFS(RAB!$F$14:$F$152,RAB!$C$14:$C$152,C1178)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SUMIFS(RAB!$F$14:$F$152,RAB!$C$14:$C$152,C1179)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SUMIFS(RAB!$F$14:$F$152,RAB!$C$14:$C$152,C1180)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SUMIFS(RAB!$F$14:$F$152,RAB!$C$14:$C$152,C1181)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SUMIFS(RAB!$F$14:$F$152,RAB!$C$14:$C$152,C1182)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SUMIFS(RAB!$F$14:$F$152,RAB!$C$14:$C$152,C1183)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SUMIFS(RAB!$F$14:$F$152,RAB!$C$14:$C$152,C1184)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SUMIFS(RAB!$F$14:$F$152,RAB!$C$14:$C$152,C1185)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SUMIFS(RAB!$F$14:$F$152,RAB!$C$14:$C$152,C1186)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SUMIFS(RAB!$F$14:$F$152,RAB!$C$14:$C$152,C1187)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SUMIFS(RAB!$F$14:$F$152,RAB!$C$14:$C$152,C1188)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SUMIFS(RAB!$F$14:$F$152,RAB!$C$14:$C$152,C1189)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SUMIFS(RAB!$F$14:$F$152,RAB!$C$14:$C$152,C1190)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SUMIFS(RAB!$F$14:$F$152,RAB!$C$14:$C$152,C1191)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SUMIFS(RAB!$F$14:$F$152,RAB!$C$14:$C$152,C1192)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SUMIFS(RAB!$F$14:$F$152,RAB!$C$14:$C$152,C1193)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SUMIFS(RAB!$F$14:$F$152,RAB!$C$14:$C$152,C1194)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SUMIFS(RAB!$F$14:$F$152,RAB!$C$14:$C$152,C1195)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SUMIFS(RAB!$F$14:$F$152,RAB!$C$14:$C$152,C1196)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SUMIFS(RAB!$F$14:$F$152,RAB!$C$14:$C$152,C1197)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SUMIFS(RAB!$F$14:$F$152,RAB!$C$14:$C$152,C1198)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SUMIFS(RAB!$F$14:$F$152,RAB!$C$14:$C$152,C1199)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SUMIFS(RAB!$F$14:$F$152,RAB!$C$14:$C$152,C1200)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SUMIFS(RAB!$F$14:$F$152,RAB!$C$14:$C$152,C1201)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SUMIFS(RAB!$F$14:$F$152,RAB!$C$14:$C$152,C1202)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SUMIFS(RAB!$F$14:$F$152,RAB!$C$14:$C$152,C1203)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SUMIFS(RAB!$F$14:$F$152,RAB!$C$14:$C$152,C1204)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SUMIFS(RAB!$F$14:$F$152,RAB!$C$14:$C$152,C1205)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SUMIFS(RAB!$F$14:$F$152,RAB!$C$14:$C$152,C1206)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SUMIFS(RAB!$F$14:$F$152,RAB!$C$14:$C$152,C1207)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SUMIFS(RAB!$F$14:$F$152,RAB!$C$14:$C$152,C1208)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SUMIFS(RAB!$F$14:$F$152,RAB!$C$14:$C$152,C1209)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SUMIFS(RAB!$F$14:$F$152,RAB!$C$14:$C$152,C1210)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SUMIFS(RAB!$F$14:$F$152,RAB!$C$14:$C$152,C1211)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SUMIFS(RAB!$F$14:$F$152,RAB!$C$14:$C$152,C1212)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SUMIFS(RAB!$F$14:$F$152,RAB!$C$14:$C$152,C1213)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SUMIFS(RAB!$F$14:$F$152,RAB!$C$14:$C$152,C1214)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SUMIFS(RAB!$F$14:$F$152,RAB!$C$14:$C$152,C1215)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SUMIFS(RAB!$F$14:$F$152,RAB!$C$14:$C$152,C1216)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SUMIFS(RAB!$F$14:$F$152,RAB!$C$14:$C$152,C1217)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SUMIFS(RAB!$F$14:$F$152,RAB!$C$14:$C$152,C1218)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SUMIFS(RAB!$F$14:$F$152,RAB!$C$14:$C$152,C1219)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SUMIFS(RAB!$F$14:$F$152,RAB!$C$14:$C$152,C1220)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SUMIFS(RAB!$F$14:$F$152,RAB!$C$14:$C$152,C1221)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SUMIFS(RAB!$F$14:$F$152,RAB!$C$14:$C$152,C1222)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SUMIFS(RAB!$F$14:$F$152,RAB!$C$14:$C$152,C1223)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SUMIFS(RAB!$F$14:$F$152,RAB!$C$14:$C$152,C1224)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SUMIFS(RAB!$F$14:$F$152,RAB!$C$14:$C$152,C1225)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SUMIFS(RAB!$F$14:$F$152,RAB!$C$14:$C$152,C1226)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SUMIFS(RAB!$F$14:$F$152,RAB!$C$14:$C$152,C1227)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SUMIFS(RAB!$F$14:$F$152,RAB!$C$14:$C$152,C1228)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SUMIFS(RAB!$F$14:$F$152,RAB!$C$14:$C$152,C1229)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SUMIFS(RAB!$F$14:$F$152,RAB!$C$14:$C$152,C1230)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SUMIFS(RAB!$F$14:$F$152,RAB!$C$14:$C$152,C1231)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SUMIFS(RAB!$F$14:$F$152,RAB!$C$14:$C$152,C1232)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SUMIFS(RAB!$F$14:$F$152,RAB!$C$14:$C$152,C1233)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SUMIFS(RAB!$F$14:$F$152,RAB!$C$14:$C$152,C1234)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SUMIFS(RAB!$F$14:$F$152,RAB!$C$14:$C$152,C1235)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SUMIFS(RAB!$F$14:$F$152,RAB!$C$14:$C$152,C1236)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SUMIFS(RAB!$F$14:$F$152,RAB!$C$14:$C$152,C1237)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SUMIFS(RAB!$F$14:$F$152,RAB!$C$14:$C$152,C1238)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SUMIFS(RAB!$F$14:$F$152,RAB!$C$14:$C$152,C1239)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SUMIFS(RAB!$F$14:$F$152,RAB!$C$14:$C$152,C1240)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SUMIFS(RAB!$F$14:$F$152,RAB!$C$14:$C$152,C1241)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SUMIFS(RAB!$F$14:$F$152,RAB!$C$14:$C$152,C1242)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SUMIFS(RAB!$F$14:$F$152,RAB!$C$14:$C$152,C1243)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SUMIFS(RAB!$F$14:$F$152,RAB!$C$14:$C$152,C1244)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SUMIFS(RAB!$F$14:$F$152,RAB!$C$14:$C$152,C1245)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SUMIFS(RAB!$F$14:$F$152,RAB!$C$14:$C$152,C1246)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SUMIFS(RAB!$F$14:$F$152,RAB!$C$14:$C$152,C1247)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SUMIFS(RAB!$F$14:$F$152,RAB!$C$14:$C$152,C1248)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SUMIFS(RAB!$F$14:$F$152,RAB!$C$14:$C$152,C1249)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SUMIFS(RAB!$F$14:$F$152,RAB!$C$14:$C$152,C1250)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SUMIFS(RAB!$F$14:$F$152,RAB!$C$14:$C$152,C1251)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SUMIFS(RAB!$F$14:$F$152,RAB!$C$14:$C$152,C1252)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SUMIFS(RAB!$F$14:$F$152,RAB!$C$14:$C$152,C1253)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SUMIFS(RAB!$F$14:$F$152,RAB!$C$14:$C$152,C1254)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SUMIFS(RAB!$F$14:$F$152,RAB!$C$14:$C$152,C1255)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SUMIFS(RAB!$F$14:$F$152,RAB!$C$14:$C$152,C1256)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SUMIFS(RAB!$F$14:$F$152,RAB!$C$14:$C$152,C1257)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SUMIFS(RAB!$F$14:$F$152,RAB!$C$14:$C$152,C1258)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SUMIFS(RAB!$F$14:$F$152,RAB!$C$14:$C$152,C1259)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SUMIFS(RAB!$F$14:$F$152,RAB!$C$14:$C$152,C1260)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SUMIFS(RAB!$F$14:$F$152,RAB!$C$14:$C$152,C1261)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SUMIFS(RAB!$F$14:$F$152,RAB!$C$14:$C$152,C1262)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SUMIFS(RAB!$F$14:$F$152,RAB!$C$14:$C$152,C1263)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SUMIFS(RAB!$F$14:$F$152,RAB!$C$14:$C$152,C1264)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SUMIFS(RAB!$F$14:$F$152,RAB!$C$14:$C$152,C1265)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SUMIFS(RAB!$F$14:$F$152,RAB!$C$14:$C$152,C1266)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SUMIFS(RAB!$F$14:$F$152,RAB!$C$14:$C$152,C1267)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SUMIFS(RAB!$F$14:$F$152,RAB!$C$14:$C$152,C1268)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SUMIFS(RAB!$F$14:$F$152,RAB!$C$14:$C$152,C1269)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SUMIFS(RAB!$F$14:$F$152,RAB!$C$14:$C$152,C1270)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SUMIFS(RAB!$F$14:$F$152,RAB!$C$14:$C$152,C1271)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SUMIFS(RAB!$F$14:$F$152,RAB!$C$14:$C$152,C1272)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SUMIFS(RAB!$F$14:$F$152,RAB!$C$14:$C$152,C1273)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SUMIFS(RAB!$F$14:$F$152,RAB!$C$14:$C$152,C1274)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SUMIFS(RAB!$F$14:$F$152,RAB!$C$14:$C$152,C1275)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SUMIFS(RAB!$F$14:$F$152,RAB!$C$14:$C$152,C1276)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SUMIFS(RAB!$F$14:$F$152,RAB!$C$14:$C$152,C1277)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SUMIFS(RAB!$F$14:$F$152,RAB!$C$14:$C$152,C1278)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SUMIFS(RAB!$F$14:$F$152,RAB!$C$14:$C$152,C1279)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SUMIFS(RAB!$F$14:$F$152,RAB!$C$14:$C$152,C1280)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SUMIFS(RAB!$F$14:$F$152,RAB!$C$14:$C$152,C1281)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SUMIFS(RAB!$F$14:$F$152,RAB!$C$14:$C$152,C1282)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SUMIFS(RAB!$F$14:$F$152,RAB!$C$14:$C$152,C1283)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SUMIFS(RAB!$F$14:$F$152,RAB!$C$14:$C$152,C1284)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SUMIFS(RAB!$F$14:$F$152,RAB!$C$14:$C$152,C1285)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SUMIFS(RAB!$F$14:$F$152,RAB!$C$14:$C$152,C1286)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SUMIFS(RAB!$F$14:$F$152,RAB!$C$14:$C$152,C1287)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SUMIFS(RAB!$F$14:$F$152,RAB!$C$14:$C$152,C1288)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SUMIFS(RAB!$F$14:$F$152,RAB!$C$14:$C$152,C1289)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SUMIFS(RAB!$F$14:$F$152,RAB!$C$14:$C$152,C1290)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SUMIFS(RAB!$F$14:$F$152,RAB!$C$14:$C$152,C1291)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SUMIFS(RAB!$F$14:$F$152,RAB!$C$14:$C$152,C1292)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SUMIFS(RAB!$F$14:$F$152,RAB!$C$14:$C$152,C1293)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SUMIFS(RAB!$F$14:$F$152,RAB!$C$14:$C$152,C1294)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SUMIFS(RAB!$F$14:$F$152,RAB!$C$14:$C$152,C1295)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SUMIFS(RAB!$F$14:$F$152,RAB!$C$14:$C$152,C1296)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SUMIFS(RAB!$F$14:$F$152,RAB!$C$14:$C$152,C1297)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SUMIFS(RAB!$F$14:$F$152,RAB!$C$14:$C$152,C1298)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SUMIFS(RAB!$F$14:$F$152,RAB!$C$14:$C$152,C1299)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SUMIFS(RAB!$F$14:$F$152,RAB!$C$14:$C$152,C1300)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SUMIFS(RAB!$F$14:$F$152,RAB!$C$14:$C$152,C1301)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SUMIFS(RAB!$F$14:$F$152,RAB!$C$14:$C$152,C1302)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SUMIFS(RAB!$F$14:$F$152,RAB!$C$14:$C$152,C1303)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SUMIFS(RAB!$F$14:$F$152,RAB!$C$14:$C$152,C1304)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SUMIFS(RAB!$F$14:$F$152,RAB!$C$14:$C$152,C1305)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SUMIFS(RAB!$F$14:$F$152,RAB!$C$14:$C$152,C1306)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SUMIFS(RAB!$F$14:$F$152,RAB!$C$14:$C$152,C1307)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SUMIFS(RAB!$F$14:$F$152,RAB!$C$14:$C$152,C1308)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SUMIFS(RAB!$F$14:$F$152,RAB!$C$14:$C$152,C1309)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SUMIFS(RAB!$F$14:$F$152,RAB!$C$14:$C$152,C1310)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SUMIFS(RAB!$F$14:$F$152,RAB!$C$14:$C$152,C1311)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SUMIFS(RAB!$F$14:$F$152,RAB!$C$14:$C$152,C1312)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SUMIFS(RAB!$F$14:$F$152,RAB!$C$14:$C$152,C1313)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SUMIFS(RAB!$F$14:$F$152,RAB!$C$14:$C$152,C1314)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SUMIFS(RAB!$F$14:$F$152,RAB!$C$14:$C$152,C1315)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SUMIFS(RAB!$F$14:$F$152,RAB!$C$14:$C$152,C1316)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SUMIFS(RAB!$F$14:$F$152,RAB!$C$14:$C$152,C1317)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SUMIFS(RAB!$F$14:$F$152,RAB!$C$14:$C$152,C1318)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SUMIFS(RAB!$F$14:$F$152,RAB!$C$14:$C$152,C1319)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SUMIFS(RAB!$F$14:$F$152,RAB!$C$14:$C$152,C1320)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1127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IOH GETAS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GETAS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50" t="s">
        <v>41</v>
      </c>
      <c r="H11" s="548" t="s">
        <v>3</v>
      </c>
      <c r="I11" s="548"/>
      <c r="J11" s="548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49"/>
      <c r="E12" s="549"/>
      <c r="F12" s="549"/>
      <c r="G12" s="551"/>
      <c r="H12" s="557" t="s">
        <v>46</v>
      </c>
      <c r="I12" s="557" t="s">
        <v>5</v>
      </c>
      <c r="J12" s="549" t="s">
        <v>47</v>
      </c>
      <c r="K12" s="55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49"/>
      <c r="E13" s="549"/>
      <c r="F13" s="549"/>
      <c r="G13" s="552"/>
      <c r="H13" s="558"/>
      <c r="I13" s="558"/>
      <c r="J13" s="549"/>
      <c r="K13" s="55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4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23200000</v>
      </c>
      <c r="J17" s="42">
        <f t="shared" ca="1" si="3"/>
        <v>0</v>
      </c>
      <c r="K17" s="43">
        <f t="shared" ca="1" si="0"/>
        <v>23200000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7" t="s">
        <v>1008</v>
      </c>
      <c r="D38" s="567"/>
      <c r="E38" s="567"/>
      <c r="F38" s="567"/>
      <c r="G38" s="77" t="s">
        <v>9</v>
      </c>
      <c r="H38" s="55">
        <f ca="1">SUM(H14:H37)</f>
        <v>0</v>
      </c>
      <c r="I38" s="55">
        <f ca="1">SUM(I14:I37)</f>
        <v>39422200</v>
      </c>
      <c r="J38" s="55">
        <f ca="1">SUM(J14:J37)</f>
        <v>0</v>
      </c>
      <c r="K38" s="55">
        <f ca="1">SUM(K14:K37)</f>
        <v>39422200</v>
      </c>
      <c r="L38" s="44"/>
      <c r="R38" s="99"/>
      <c r="S38" s="99"/>
      <c r="T38" s="99"/>
    </row>
    <row r="39" spans="1:20" s="36" customFormat="1">
      <c r="A39" s="30"/>
      <c r="B39" s="56"/>
      <c r="C39" s="568" t="s">
        <v>462</v>
      </c>
      <c r="D39" s="568"/>
      <c r="E39" s="568"/>
      <c r="F39" s="568"/>
      <c r="G39" s="59" t="s">
        <v>9</v>
      </c>
      <c r="H39" s="60">
        <f ca="1">H38*0.1</f>
        <v>0</v>
      </c>
      <c r="I39" s="60">
        <f ca="1">I38*0.1</f>
        <v>3942220</v>
      </c>
      <c r="J39" s="60">
        <f ca="1">J38*0.1</f>
        <v>0</v>
      </c>
      <c r="K39" s="60">
        <f ca="1">K38*0.1</f>
        <v>3942220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9" t="s">
        <v>463</v>
      </c>
      <c r="D40" s="559"/>
      <c r="E40" s="559"/>
      <c r="F40" s="559"/>
      <c r="G40" s="61" t="s">
        <v>9</v>
      </c>
      <c r="H40" s="78">
        <f ca="1">SUM(H38:H39)</f>
        <v>0</v>
      </c>
      <c r="I40" s="78">
        <f ca="1">SUM(I38:I39)</f>
        <v>43364420</v>
      </c>
      <c r="J40" s="61">
        <f ca="1">SUM(J38:J39)</f>
        <v>0</v>
      </c>
      <c r="K40" s="61">
        <f ca="1">SUM(K38:K39)</f>
        <v>43364420</v>
      </c>
      <c r="L40" s="44"/>
      <c r="R40" s="99"/>
      <c r="S40" s="99"/>
      <c r="T40" s="99"/>
    </row>
    <row r="41" spans="1:20" s="36" customFormat="1">
      <c r="A41" s="30"/>
      <c r="B41" s="560" t="e">
        <f ca="1">"Terbilang : ( "&amp;L42&amp;" Rupiah )"</f>
        <v>#NAME?</v>
      </c>
      <c r="C41" s="561"/>
      <c r="D41" s="561"/>
      <c r="E41" s="561"/>
      <c r="F41" s="561"/>
      <c r="G41" s="561"/>
      <c r="H41" s="561"/>
      <c r="I41" s="561"/>
      <c r="J41" s="561"/>
      <c r="K41" s="562"/>
      <c r="L41" s="44"/>
      <c r="R41" s="58"/>
      <c r="S41" s="58"/>
      <c r="T41" s="58"/>
    </row>
    <row r="42" spans="1:20" s="36" customFormat="1">
      <c r="A42" s="30"/>
      <c r="B42" s="563"/>
      <c r="C42" s="564"/>
      <c r="D42" s="564"/>
      <c r="E42" s="564"/>
      <c r="F42" s="564"/>
      <c r="G42" s="564"/>
      <c r="H42" s="564"/>
      <c r="I42" s="564"/>
      <c r="J42" s="564"/>
      <c r="K42" s="56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4"/>
      <c r="I45" s="554"/>
      <c r="J45" s="555"/>
      <c r="K45" s="55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4"/>
      <c r="I46" s="554"/>
      <c r="J46" s="555"/>
      <c r="K46" s="55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4"/>
      <c r="I47" s="554"/>
      <c r="J47" s="555"/>
      <c r="K47" s="55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4"/>
      <c r="I52" s="554"/>
      <c r="J52" s="555"/>
      <c r="K52" s="55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SUMIFS(RAB!$F$14:$F$152,RAB!$C$14:$C$152,'REKAP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SUMIFS(RAB!$F$14:$F$152,RAB!$C$14:$C$152,'REKAP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SUMIFS(RAB!$F$14:$F$152,RAB!$C$14:$C$152,'REKAP TIANG'!C59)</f>
        <v>4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SUMIFS(RAB!$F$14:$F$152,RAB!$C$14:$C$152,'REKAP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SUMIFS(RAB!$F$14:$F$152,RAB!$C$14:$C$152,'REKAP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SUMIFS(RAB!$F$14:$F$152,RAB!$C$14:$C$152,'REKAP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SUMIFS(RAB!$F$14:$F$152,RAB!$C$14:$C$152,'REKAP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SUMIFS(RAB!$F$14:$F$152,RAB!$C$14:$C$152,'REKAP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SUMIFS(RAB!$F$14:$F$152,RAB!$C$14:$C$152,'REKAP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SUMIFS(RAB!$F$14:$F$152,RAB!$C$14:$C$152,'REKAP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SUMIFS(RAB!$F$14:$F$152,RAB!$C$14:$C$152,'REKAP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SUMIFS(RAB!$F$14:$F$152,RAB!$C$14:$C$152,'REKAP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SUMIFS(RAB!$F$14:$F$152,RAB!$C$14:$C$152,'REKAP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SUMIFS(RAB!$F$14:$F$152,RAB!$C$14:$C$152,'REKAP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SUMIFS(RAB!$F$14:$F$152,RAB!$C$14:$C$152,'REKAP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SUMIFS(RAB!$F$14:$F$152,RAB!$C$14:$C$152,'REKAP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SUMIFS(RAB!$F$14:$F$152,RAB!$C$14:$C$152,'REKAP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SUMIFS(RAB!$F$14:$F$152,RAB!$C$14:$C$152,'REKAP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SUMIFS(RAB!$F$14:$F$152,RAB!$C$14:$C$152,'REKAP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SUMIFS(RAB!$F$14:$F$152,RAB!$C$14:$C$152,'REKAP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1034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IOH GETAS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GETAS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50" t="s">
        <v>41</v>
      </c>
      <c r="H11" s="548" t="s">
        <v>3</v>
      </c>
      <c r="I11" s="548"/>
      <c r="J11" s="548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49"/>
      <c r="E12" s="549"/>
      <c r="F12" s="549"/>
      <c r="G12" s="551"/>
      <c r="H12" s="557" t="s">
        <v>46</v>
      </c>
      <c r="I12" s="557" t="s">
        <v>5</v>
      </c>
      <c r="J12" s="549" t="s">
        <v>47</v>
      </c>
      <c r="K12" s="55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49"/>
      <c r="E13" s="549"/>
      <c r="F13" s="549"/>
      <c r="G13" s="552"/>
      <c r="H13" s="558"/>
      <c r="I13" s="558"/>
      <c r="J13" s="549"/>
      <c r="K13" s="55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4</v>
      </c>
      <c r="G20" s="41">
        <f ca="1">IF(ISERROR(OFFSET('HARGA SATUAN'!$I$6,MATCH(C20,'HARGA SATUAN'!$C$7:$C$1492,0),0)),"",OFFSET('HARGA SATUAN'!$I$6,MATCH(C20,'HARGA SATUAN'!$C$7:$C$1492,0),0))</f>
        <v>176900</v>
      </c>
      <c r="H20" s="42">
        <f t="shared" ca="1" si="1"/>
        <v>707600</v>
      </c>
      <c r="I20" s="42">
        <f t="shared" ca="1" si="2"/>
        <v>0</v>
      </c>
      <c r="J20" s="42">
        <f t="shared" ca="1" si="3"/>
        <v>0</v>
      </c>
      <c r="K20" s="43">
        <f t="shared" ca="1" si="0"/>
        <v>707600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Strainkap Porcelain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430000</v>
      </c>
      <c r="H21" s="42">
        <f t="shared" ca="1" si="1"/>
        <v>860000</v>
      </c>
      <c r="I21" s="42">
        <f t="shared" ca="1" si="2"/>
        <v>0</v>
      </c>
      <c r="J21" s="42">
        <f t="shared" ca="1" si="3"/>
        <v>0</v>
      </c>
      <c r="K21" s="43">
        <f t="shared" ca="1" si="0"/>
        <v>860000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28400</v>
      </c>
      <c r="I22" s="42">
        <f t="shared" ca="1" si="2"/>
        <v>0</v>
      </c>
      <c r="J22" s="42">
        <f t="shared" ca="1" si="3"/>
        <v>0</v>
      </c>
      <c r="K22" s="43">
        <f t="shared" ca="1" si="0"/>
        <v>28400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150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480</v>
      </c>
      <c r="G23" s="41">
        <f ca="1">IF(ISERROR(OFFSET('HARGA SATUAN'!$I$6,MATCH(C23,'HARGA SATUAN'!$C$7:$C$1492,0),0)),"",OFFSET('HARGA SATUAN'!$I$6,MATCH(C23,'HARGA SATUAN'!$C$7:$C$1492,0),0))</f>
        <v>25300</v>
      </c>
      <c r="H23" s="42">
        <f t="shared" ca="1" si="1"/>
        <v>12144000</v>
      </c>
      <c r="I23" s="42">
        <f t="shared" ca="1" si="2"/>
        <v>0</v>
      </c>
      <c r="J23" s="42">
        <f t="shared" ca="1" si="3"/>
        <v>0</v>
      </c>
      <c r="K23" s="43">
        <f t="shared" ca="1" si="0"/>
        <v>12144000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3x35+1x35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120</v>
      </c>
      <c r="G24" s="41">
        <f ca="1">IF(ISERROR(OFFSET('HARGA SATUAN'!$I$6,MATCH(C24,'HARGA SATUAN'!$C$7:$C$1492,0),0)),"",OFFSET('HARGA SATUAN'!$I$6,MATCH(C24,'HARGA SATUAN'!$C$7:$C$1492,0),0))</f>
        <v>30400</v>
      </c>
      <c r="H24" s="42">
        <f t="shared" ca="1" si="1"/>
        <v>3648000</v>
      </c>
      <c r="I24" s="42">
        <f t="shared" ca="1" si="2"/>
        <v>0</v>
      </c>
      <c r="J24" s="42">
        <f t="shared" ca="1" si="3"/>
        <v>0</v>
      </c>
      <c r="K24" s="43">
        <f t="shared" ca="1" si="0"/>
        <v>3648000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 2 x 16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35</v>
      </c>
      <c r="G25" s="41">
        <f ca="1">IF(ISERROR(OFFSET('HARGA SATUAN'!$I$6,MATCH(C25,'HARGA SATUAN'!$C$7:$C$1492,0),0)),"",OFFSET('HARGA SATUAN'!$I$6,MATCH(C25,'HARGA SATUAN'!$C$7:$C$1492,0),0))</f>
        <v>6600</v>
      </c>
      <c r="H25" s="42">
        <f t="shared" ca="1" si="1"/>
        <v>231000</v>
      </c>
      <c r="I25" s="42">
        <f t="shared" ca="1" si="2"/>
        <v>0</v>
      </c>
      <c r="J25" s="42">
        <f t="shared" ca="1" si="3"/>
        <v>0</v>
      </c>
      <c r="K25" s="43">
        <f t="shared" ca="1" si="0"/>
        <v>231000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7" t="s">
        <v>1008</v>
      </c>
      <c r="D168" s="567"/>
      <c r="E168" s="567"/>
      <c r="F168" s="567"/>
      <c r="G168" s="77" t="s">
        <v>9</v>
      </c>
      <c r="H168" s="55">
        <f ca="1">SUM(H14:H167)</f>
        <v>48092400</v>
      </c>
      <c r="I168" s="55">
        <f ca="1">SUM(I14:I167)</f>
        <v>0</v>
      </c>
      <c r="J168" s="55">
        <f ca="1">SUM(J14:J167)</f>
        <v>0</v>
      </c>
      <c r="K168" s="55">
        <f ca="1">SUM(K14:K167)</f>
        <v>48092400</v>
      </c>
      <c r="L168" s="44"/>
      <c r="R168" s="99"/>
      <c r="S168" s="99"/>
      <c r="T168" s="99"/>
    </row>
    <row r="169" spans="1:20" s="36" customFormat="1">
      <c r="A169" s="30"/>
      <c r="B169" s="56"/>
      <c r="C169" s="568" t="s">
        <v>462</v>
      </c>
      <c r="D169" s="568"/>
      <c r="E169" s="568"/>
      <c r="F169" s="568"/>
      <c r="G169" s="59" t="s">
        <v>9</v>
      </c>
      <c r="H169" s="60">
        <f ca="1">H168*0.1</f>
        <v>4809240</v>
      </c>
      <c r="I169" s="60">
        <f ca="1">I168*0.1</f>
        <v>0</v>
      </c>
      <c r="J169" s="60">
        <f ca="1">J168*0.1</f>
        <v>0</v>
      </c>
      <c r="K169" s="60">
        <f ca="1">K168*0.1</f>
        <v>4809240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9" t="s">
        <v>463</v>
      </c>
      <c r="D170" s="559"/>
      <c r="E170" s="559"/>
      <c r="F170" s="559"/>
      <c r="G170" s="61" t="s">
        <v>9</v>
      </c>
      <c r="H170" s="78">
        <f ca="1">SUM(H168:H169)</f>
        <v>52901640</v>
      </c>
      <c r="I170" s="78">
        <f ca="1">SUM(I168:I169)</f>
        <v>0</v>
      </c>
      <c r="J170" s="61">
        <f ca="1">SUM(J168:J169)</f>
        <v>0</v>
      </c>
      <c r="K170" s="61">
        <f ca="1">SUM(K168:K169)</f>
        <v>52901640</v>
      </c>
      <c r="L170" s="44"/>
      <c r="R170" s="99"/>
      <c r="S170" s="99"/>
      <c r="T170" s="99"/>
    </row>
    <row r="171" spans="1:20" s="36" customFormat="1">
      <c r="A171" s="30"/>
      <c r="B171" s="560" t="e">
        <f ca="1">"Terbilang : ( "&amp;L172&amp;" Rupiah )"</f>
        <v>#NAME?</v>
      </c>
      <c r="C171" s="561"/>
      <c r="D171" s="561"/>
      <c r="E171" s="561"/>
      <c r="F171" s="561"/>
      <c r="G171" s="561"/>
      <c r="H171" s="561"/>
      <c r="I171" s="561"/>
      <c r="J171" s="561"/>
      <c r="K171" s="562"/>
      <c r="L171" s="44"/>
      <c r="R171" s="58"/>
      <c r="S171" s="58"/>
      <c r="T171" s="58"/>
    </row>
    <row r="172" spans="1:20" s="36" customFormat="1">
      <c r="A172" s="30"/>
      <c r="B172" s="563"/>
      <c r="C172" s="564"/>
      <c r="D172" s="564"/>
      <c r="E172" s="564"/>
      <c r="F172" s="564"/>
      <c r="G172" s="564"/>
      <c r="H172" s="564"/>
      <c r="I172" s="564"/>
      <c r="J172" s="564"/>
      <c r="K172" s="56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4"/>
      <c r="I175" s="554"/>
      <c r="J175" s="555"/>
      <c r="K175" s="55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4"/>
      <c r="I176" s="554"/>
      <c r="J176" s="555"/>
      <c r="K176" s="55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4"/>
      <c r="I177" s="554"/>
      <c r="J177" s="555"/>
      <c r="K177" s="55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4"/>
      <c r="I182" s="554"/>
      <c r="J182" s="555"/>
      <c r="K182" s="55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SUMIFS(RAB!$F$14:$F$152,RAB!$C$14:$C$152,C224)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SUMIFS(RAB!$F$14:$F$152,RAB!$C$14:$C$152,C225)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SUMIFS(RAB!$F$14:$F$152,RAB!$C$14:$C$152,C226)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SUMIFS(RAB!$F$14:$F$152,RAB!$C$14:$C$152,C227)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SUMIFS(RAB!$F$14:$F$152,RAB!$C$14:$C$152,C228)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SUMIFS(RAB!$F$14:$F$152,RAB!$C$14:$C$152,C229)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SUMIFS(RAB!$F$14:$F$152,RAB!$C$14:$C$152,C230)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SUMIFS(RAB!$F$14:$F$152,RAB!$C$14:$C$152,C231)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SUMIFS(RAB!$F$14:$F$152,RAB!$C$14:$C$152,C232)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SUMIFS(RAB!$F$14:$F$152,RAB!$C$14:$C$152,C233)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SUMIFS(RAB!$F$14:$F$152,RAB!$C$14:$C$152,C234)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SUMIFS(RAB!$F$14:$F$152,RAB!$C$14:$C$152,C235)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SUMIFS(RAB!$F$14:$F$152,RAB!$C$14:$C$152,C236)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SUMIFS(RAB!$F$14:$F$152,RAB!$C$14:$C$152,C237)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SUMIFS(RAB!$F$14:$F$152,RAB!$C$14:$C$152,C238)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SUMIFS(RAB!$F$14:$F$152,RAB!$C$14:$C$152,C239)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SUMIFS(RAB!$F$14:$F$152,RAB!$C$14:$C$152,C240)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SUMIFS(RAB!$F$14:$F$152,RAB!$C$14:$C$152,C241)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SUMIFS(RAB!$F$14:$F$152,RAB!$C$14:$C$152,C242)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SUMIFS(RAB!$F$14:$F$152,RAB!$C$14:$C$152,C243)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SUMIFS(RAB!$F$14:$F$152,RAB!$C$14:$C$152,C244)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SUMIFS(RAB!$F$14:$F$152,RAB!$C$14:$C$152,C245)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SUMIFS(RAB!$F$14:$F$152,RAB!$C$14:$C$152,C246)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SUMIFS(RAB!$F$14:$F$152,RAB!$C$14:$C$152,C247)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SUMIFS(RAB!$F$14:$F$152,RAB!$C$14:$C$152,C248)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SUMIFS(RAB!$F$14:$F$152,RAB!$C$14:$C$152,C249)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SUMIFS(RAB!$F$14:$F$152,RAB!$C$14:$C$152,C250)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SUMIFS(RAB!$F$14:$F$152,RAB!$C$14:$C$152,C251)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SUMIFS(RAB!$F$14:$F$152,RAB!$C$14:$C$152,C252)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SUMIFS(RAB!$F$14:$F$152,RAB!$C$14:$C$152,C253)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SUMIFS(RAB!$F$14:$F$152,RAB!$C$14:$C$152,C254)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SUMIFS(RAB!$F$14:$F$152,RAB!$C$14:$C$152,C255)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SUMIFS(RAB!$F$14:$F$152,RAB!$C$14:$C$152,C256)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SUMIFS(RAB!$F$14:$F$152,RAB!$C$14:$C$152,C257)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SUMIFS(RAB!$F$14:$F$152,RAB!$C$14:$C$152,C258)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SUMIFS(RAB!$F$14:$F$152,RAB!$C$14:$C$152,C259)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SUMIFS(RAB!$F$14:$F$152,RAB!$C$14:$C$152,C260)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SUMIFS(RAB!$F$14:$F$152,RAB!$C$14:$C$152,C261)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SUMIFS(RAB!$F$14:$F$152,RAB!$C$14:$C$152,C262)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SUMIFS(RAB!$F$14:$F$152,RAB!$C$14:$C$152,C263)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SUMIFS(RAB!$F$14:$F$152,RAB!$C$14:$C$152,C264)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SUMIFS(RAB!$F$14:$F$152,RAB!$C$14:$C$152,C265)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SUMIFS(RAB!$F$14:$F$152,RAB!$C$14:$C$152,C266)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SUMIFS(RAB!$F$14:$F$152,RAB!$C$14:$C$152,C267)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SUMIFS(RAB!$F$14:$F$152,RAB!$C$14:$C$152,C268)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SUMIFS(RAB!$F$14:$F$152,RAB!$C$14:$C$152,C269)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SUMIFS(RAB!$F$14:$F$152,RAB!$C$14:$C$152,C270)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SUMIFS(RAB!$F$14:$F$152,RAB!$C$14:$C$152,C271)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SUMIFS(RAB!$F$14:$F$152,RAB!$C$14:$C$152,C272)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SUMIFS(RAB!$F$14:$F$152,RAB!$C$14:$C$152,C273)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SUMIFS(RAB!$F$14:$F$152,RAB!$C$14:$C$152,C274)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SUMIFS(RAB!$F$14:$F$152,RAB!$C$14:$C$152,C275)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SUMIFS(RAB!$F$14:$F$152,RAB!$C$14:$C$152,C276)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SUMIFS(RAB!$F$14:$F$152,RAB!$C$14:$C$152,C277)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SUMIFS(RAB!$F$14:$F$152,RAB!$C$14:$C$152,C278)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SUMIFS(RAB!$F$14:$F$152,RAB!$C$14:$C$152,C279)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SUMIFS(RAB!$F$14:$F$152,RAB!$C$14:$C$152,C280)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SUMIFS(RAB!$F$14:$F$152,RAB!$C$14:$C$152,C281)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SUMIFS(RAB!$F$14:$F$152,RAB!$C$14:$C$152,C282)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SUMIFS(RAB!$F$14:$F$152,RAB!$C$14:$C$152,C283)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SUMIFS(RAB!$F$14:$F$152,RAB!$C$14:$C$152,C284)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SUMIFS(RAB!$F$14:$F$152,RAB!$C$14:$C$152,C285)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SUMIFS(RAB!$F$14:$F$152,RAB!$C$14:$C$152,C286)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SUMIFS(RAB!$F$14:$F$152,RAB!$C$14:$C$152,C287)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SUMIFS(RAB!$F$14:$F$152,RAB!$C$14:$C$152,C288)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SUMIFS(RAB!$F$14:$F$152,RAB!$C$14:$C$152,C289)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SUMIFS(RAB!$F$14:$F$152,RAB!$C$14:$C$152,C290)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SUMIFS(RAB!$F$14:$F$152,RAB!$C$14:$C$152,C291)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SUMIFS(RAB!$F$14:$F$152,RAB!$C$14:$C$152,C292)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SUMIFS(RAB!$F$14:$F$152,RAB!$C$14:$C$152,C293)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SUMIFS(RAB!$F$14:$F$152,RAB!$C$14:$C$152,C294)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SUMIFS(RAB!$F$14:$F$152,RAB!$C$14:$C$152,C295)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SUMIFS(RAB!$F$14:$F$152,RAB!$C$14:$C$152,C296)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SUMIFS(RAB!$F$14:$F$152,RAB!$C$14:$C$152,C297)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SUMIFS(RAB!$F$14:$F$152,RAB!$C$14:$C$152,C298)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SUMIFS(RAB!$F$14:$F$152,RAB!$C$14:$C$152,C299)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SUMIFS(RAB!$F$14:$F$152,RAB!$C$14:$C$152,C300)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SUMIFS(RAB!$F$14:$F$152,RAB!$C$14:$C$152,C301)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SUMIFS(RAB!$F$14:$F$152,RAB!$C$14:$C$152,C302)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SUMIFS(RAB!$F$14:$F$152,RAB!$C$14:$C$152,C303)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SUMIFS(RAB!$F$14:$F$152,RAB!$C$14:$C$152,C304)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SUMIFS(RAB!$F$14:$F$152,RAB!$C$14:$C$152,C305)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SUMIFS(RAB!$F$14:$F$152,RAB!$C$14:$C$152,C306)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SUMIFS(RAB!$F$14:$F$152,RAB!$C$14:$C$152,C307)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SUMIFS(RAB!$F$14:$F$152,RAB!$C$14:$C$152,C308)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SUMIFS(RAB!$F$14:$F$152,RAB!$C$14:$C$152,C309)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SUMIFS(RAB!$F$14:$F$152,RAB!$C$14:$C$152,C310)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SUMIFS(RAB!$F$14:$F$152,RAB!$C$14:$C$152,C311)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SUMIFS(RAB!$F$14:$F$152,RAB!$C$14:$C$152,C312)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SUMIFS(RAB!$F$14:$F$152,RAB!$C$14:$C$152,C313)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SUMIFS(RAB!$F$14:$F$152,RAB!$C$14:$C$152,C314)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SUMIFS(RAB!$F$14:$F$152,RAB!$C$14:$C$152,C315)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SUMIFS(RAB!$F$14:$F$152,RAB!$C$14:$C$152,C316)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SUMIFS(RAB!$F$14:$F$152,RAB!$C$14:$C$152,C317)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SUMIFS(RAB!$F$14:$F$152,RAB!$C$14:$C$152,C318)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SUMIFS(RAB!$F$14:$F$152,RAB!$C$14:$C$152,C319)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SUMIFS(RAB!$F$14:$F$152,RAB!$C$14:$C$152,C320)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SUMIFS(RAB!$F$14:$F$152,RAB!$C$14:$C$152,C321)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SUMIFS(RAB!$F$14:$F$152,RAB!$C$14:$C$152,C322)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SUMIFS(RAB!$F$14:$F$152,RAB!$C$14:$C$152,C323)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SUMIFS(RAB!$F$14:$F$152,RAB!$C$14:$C$152,C324)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SUMIFS(RAB!$F$14:$F$152,RAB!$C$14:$C$152,C325)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SUMIFS(RAB!$F$14:$F$152,RAB!$C$14:$C$152,C326)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SUMIFS(RAB!$F$14:$F$152,RAB!$C$14:$C$152,C327)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SUMIFS(RAB!$F$14:$F$152,RAB!$C$14:$C$152,C328)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SUMIFS(RAB!$F$14:$F$152,RAB!$C$14:$C$152,C329)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SUMIFS(RAB!$F$14:$F$152,RAB!$C$14:$C$152,C330)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SUMIFS(RAB!$F$14:$F$152,RAB!$C$14:$C$152,C331)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SUMIFS(RAB!$F$14:$F$152,RAB!$C$14:$C$152,C332)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SUMIFS(RAB!$F$14:$F$152,RAB!$C$14:$C$152,C333)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SUMIFS(RAB!$F$14:$F$152,RAB!$C$14:$C$152,C334)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SUMIFS(RAB!$F$14:$F$152,RAB!$C$14:$C$152,C335)</f>
        <v>4</v>
      </c>
      <c r="E335" s="24">
        <f t="shared" ca="1" si="22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SUMIFS(RAB!$F$14:$F$152,RAB!$C$14:$C$152,C336)</f>
        <v>2</v>
      </c>
      <c r="E336" s="24">
        <f t="shared" ca="1" si="22"/>
        <v>1</v>
      </c>
      <c r="F336" s="24">
        <f ca="1">IF(D336=0,0,SUM($E$223:E336))</f>
        <v>6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SUMIFS(RAB!$F$14:$F$152,RAB!$C$14:$C$152,C337)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SUMIFS(RAB!$F$14:$F$152,RAB!$C$14:$C$152,C338)</f>
        <v>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SUMIFS(RAB!$F$14:$F$152,RAB!$C$14:$C$152,C339)</f>
        <v>480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SUMIFS(RAB!$F$14:$F$152,RAB!$C$14:$C$152,C340)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SUMIFS(RAB!$F$14:$F$152,RAB!$C$14:$C$152,C341)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SUMIFS(RAB!$F$14:$F$152,RAB!$C$14:$C$152,C342)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SUMIFS(RAB!$F$14:$F$152,RAB!$C$14:$C$152,C343)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SUMIFS(RAB!$F$14:$F$152,RAB!$C$14:$C$152,C344)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SUMIFS(RAB!$F$14:$F$152,RAB!$C$14:$C$152,C345)</f>
        <v>120</v>
      </c>
      <c r="E345" s="24">
        <f t="shared" ca="1" si="22"/>
        <v>1</v>
      </c>
      <c r="F345" s="24">
        <f ca="1">IF(D345=0,0,SUM($E$223:E345))</f>
        <v>9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SUMIFS(RAB!$F$14:$F$152,RAB!$C$14:$C$152,C346)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SUMIFS(RAB!$F$14:$F$152,RAB!$C$14:$C$152,C347)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SUMIFS(RAB!$F$14:$F$152,RAB!$C$14:$C$152,C348)</f>
        <v>35</v>
      </c>
      <c r="E348" s="24">
        <f t="shared" ca="1" si="22"/>
        <v>1</v>
      </c>
      <c r="F348" s="24">
        <f ca="1">IF(D348=0,0,SUM($E$223:E348))</f>
        <v>10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SUMIFS(RAB!$F$14:$F$152,RAB!$C$14:$C$152,C349)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SUMIFS(RAB!$F$14:$F$152,RAB!$C$14:$C$152,C350)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SUMIFS(RAB!$F$14:$F$152,RAB!$C$14:$C$152,C351)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SUMIFS(RAB!$F$14:$F$152,RAB!$C$14:$C$152,C352)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SUMIFS(RAB!$F$14:$F$152,RAB!$C$14:$C$152,C353)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SUMIFS(RAB!$F$14:$F$152,RAB!$C$14:$C$152,C354)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SUMIFS(RAB!$F$14:$F$152,RAB!$C$14:$C$152,C355)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SUMIFS(RAB!$F$14:$F$152,RAB!$C$14:$C$152,C356)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SUMIFS(RAB!$F$14:$F$152,RAB!$C$14:$C$152,C357)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SUMIFS(RAB!$F$14:$F$152,RAB!$C$14:$C$152,C358)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SUMIFS(RAB!$F$14:$F$152,RAB!$C$14:$C$152,C359)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SUMIFS(RAB!$F$14:$F$152,RAB!$C$14:$C$152,C360)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SUMIFS(RAB!$F$14:$F$152,RAB!$C$14:$C$152,C361)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SUMIFS(RAB!$F$14:$F$152,RAB!$C$14:$C$152,C362)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SUMIFS(RAB!$F$14:$F$152,RAB!$C$14:$C$152,C363)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SUMIFS(RAB!$F$14:$F$152,RAB!$C$14:$C$152,C364)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SUMIFS(RAB!$F$14:$F$152,RAB!$C$14:$C$152,C365)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SUMIFS(RAB!$F$14:$F$152,RAB!$C$14:$C$152,C366)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SUMIFS(RAB!$F$14:$F$152,RAB!$C$14:$C$152,C367)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SUMIFS(RAB!$F$14:$F$152,RAB!$C$14:$C$152,C368)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SUMIFS(RAB!$F$14:$F$152,RAB!$C$14:$C$152,C369)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SUMIFS(RAB!$F$14:$F$152,RAB!$C$14:$C$152,C370)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SUMIFS(RAB!$F$14:$F$152,RAB!$C$14:$C$152,C371)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SUMIFS(RAB!$F$14:$F$152,RAB!$C$14:$C$152,C372)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SUMIFS(RAB!$F$14:$F$152,RAB!$C$14:$C$152,C373)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7" activePane="bottomRight" state="frozen"/>
      <selection activeCell="D209" sqref="D209"/>
      <selection pane="topRight" activeCell="D209" sqref="D209"/>
      <selection pane="bottomLeft" activeCell="D209" sqref="D209"/>
      <selection pane="bottomRight" activeCell="C233" sqref="C23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0" t="s">
        <v>41</v>
      </c>
      <c r="C2" s="57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1" t="s">
        <v>23</v>
      </c>
      <c r="C4" s="572" t="s">
        <v>1012</v>
      </c>
      <c r="D4" s="572" t="s">
        <v>42</v>
      </c>
      <c r="E4" s="571" t="s">
        <v>43</v>
      </c>
      <c r="F4" s="108" t="s">
        <v>1609</v>
      </c>
      <c r="G4" s="108" t="s">
        <v>1608</v>
      </c>
      <c r="H4" s="56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1"/>
      <c r="C5" s="572"/>
      <c r="D5" s="572"/>
      <c r="E5" s="571"/>
      <c r="F5" s="93"/>
      <c r="G5" s="93"/>
      <c r="H5" s="56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zoomScale="55" zoomScaleNormal="55" zoomScaleSheetLayoutView="85" workbookViewId="0">
      <selection activeCell="S19" sqref="S1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04" t="s">
        <v>1454</v>
      </c>
      <c r="C2" s="604"/>
      <c r="D2" s="604"/>
      <c r="E2" s="60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9" t="s">
        <v>1532</v>
      </c>
      <c r="C4" s="610"/>
      <c r="D4" s="610"/>
      <c r="E4" s="611"/>
      <c r="F4" s="442"/>
      <c r="G4" s="442"/>
      <c r="H4" s="443"/>
      <c r="I4" s="573" t="s">
        <v>1533</v>
      </c>
      <c r="J4" s="574"/>
      <c r="K4" s="574"/>
      <c r="L4" s="575"/>
    </row>
    <row r="5" spans="1:12" ht="34.5" customHeight="1">
      <c r="A5" s="204"/>
      <c r="B5" s="445" t="s">
        <v>1379</v>
      </c>
      <c r="C5" s="277" t="s">
        <v>9</v>
      </c>
      <c r="D5" s="605" t="str">
        <f>DATA!D14</f>
        <v>IOH GETAS</v>
      </c>
      <c r="E5" s="606"/>
      <c r="F5" s="208"/>
      <c r="G5" s="208"/>
      <c r="I5" s="446" t="s">
        <v>1379</v>
      </c>
      <c r="J5" s="277" t="s">
        <v>9</v>
      </c>
      <c r="K5" s="576" t="str">
        <f>D5</f>
        <v>IOH GETAS</v>
      </c>
      <c r="L5" s="577"/>
    </row>
    <row r="6" spans="1:12" ht="31.5" customHeight="1">
      <c r="A6" s="204"/>
      <c r="B6" s="445" t="s">
        <v>1529</v>
      </c>
      <c r="C6" s="277" t="s">
        <v>9</v>
      </c>
      <c r="D6" s="614">
        <f>DATA!D17*1000</f>
        <v>0</v>
      </c>
      <c r="E6" s="615"/>
      <c r="F6" s="208"/>
      <c r="G6" s="208"/>
      <c r="I6" s="446" t="s">
        <v>1530</v>
      </c>
      <c r="J6" s="277" t="s">
        <v>9</v>
      </c>
      <c r="K6" s="578">
        <f>DATA!D20*1000</f>
        <v>11000</v>
      </c>
      <c r="L6" s="579"/>
    </row>
    <row r="7" spans="1:12" ht="30.75" customHeight="1">
      <c r="A7" s="204"/>
      <c r="B7" s="445" t="s">
        <v>1441</v>
      </c>
      <c r="C7" s="277" t="s">
        <v>9</v>
      </c>
      <c r="D7" s="612">
        <f>DATA!D18</f>
        <v>1</v>
      </c>
      <c r="E7" s="613"/>
      <c r="F7" s="444" t="s">
        <v>1453</v>
      </c>
      <c r="I7" s="446" t="s">
        <v>1441</v>
      </c>
      <c r="J7" s="277" t="s">
        <v>9</v>
      </c>
      <c r="K7" s="580">
        <f>DATA!D21</f>
        <v>1</v>
      </c>
      <c r="L7" s="581"/>
    </row>
    <row r="8" spans="1:12" ht="51" customHeight="1">
      <c r="A8" s="204"/>
      <c r="B8" s="445" t="s">
        <v>1442</v>
      </c>
      <c r="C8" s="277" t="s">
        <v>9</v>
      </c>
      <c r="D8" s="612">
        <f>DATA!D19</f>
        <v>220</v>
      </c>
      <c r="E8" s="613"/>
      <c r="F8" s="444" t="s">
        <v>1453</v>
      </c>
      <c r="G8" s="439">
        <v>220</v>
      </c>
      <c r="I8" s="446" t="s">
        <v>1442</v>
      </c>
      <c r="J8" s="277" t="s">
        <v>9</v>
      </c>
      <c r="K8" s="580">
        <f>DATA!D22</f>
        <v>220</v>
      </c>
      <c r="L8" s="581"/>
    </row>
    <row r="9" spans="1:12" ht="30" customHeight="1" thickBot="1">
      <c r="A9" s="204"/>
      <c r="B9" s="451" t="s">
        <v>1541</v>
      </c>
      <c r="C9" s="441" t="s">
        <v>9</v>
      </c>
      <c r="D9" s="607">
        <f>IF(D7=1,D6/(380/3^0.5),(D6/(380*3^0.5)))</f>
        <v>0</v>
      </c>
      <c r="E9" s="608"/>
      <c r="F9" s="207"/>
      <c r="G9" s="440">
        <v>380</v>
      </c>
      <c r="I9" s="452" t="s">
        <v>1541</v>
      </c>
      <c r="J9" s="441" t="s">
        <v>9</v>
      </c>
      <c r="K9" s="584">
        <f>IF(K7=1,K6/(380/3^0.5),(K6/(380*3^0.5)))</f>
        <v>50.138312850678027</v>
      </c>
      <c r="L9" s="585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16"/>
      <c r="E12" s="617"/>
      <c r="F12" s="208"/>
      <c r="G12" s="208"/>
      <c r="I12" s="468" t="s">
        <v>1534</v>
      </c>
      <c r="J12" s="469" t="s">
        <v>9</v>
      </c>
      <c r="K12" s="616"/>
      <c r="L12" s="617"/>
    </row>
    <row r="13" spans="1:12" ht="31.5" customHeight="1">
      <c r="A13" s="204"/>
      <c r="B13" s="476" t="s">
        <v>1380</v>
      </c>
      <c r="C13" s="456" t="s">
        <v>9</v>
      </c>
      <c r="D13" s="582"/>
      <c r="E13" s="583"/>
      <c r="F13" s="208"/>
      <c r="G13" s="208"/>
      <c r="I13" s="470" t="s">
        <v>1380</v>
      </c>
      <c r="J13" s="456" t="s">
        <v>9</v>
      </c>
      <c r="K13" s="582"/>
      <c r="L13" s="583"/>
    </row>
    <row r="14" spans="1:12" ht="30.75" customHeight="1">
      <c r="A14" s="204"/>
      <c r="B14" s="476" t="s">
        <v>1535</v>
      </c>
      <c r="C14" s="456" t="s">
        <v>9</v>
      </c>
      <c r="D14" s="586"/>
      <c r="E14" s="587"/>
      <c r="F14" s="444" t="s">
        <v>1453</v>
      </c>
      <c r="G14" s="448">
        <v>50</v>
      </c>
      <c r="I14" s="470" t="s">
        <v>1535</v>
      </c>
      <c r="J14" s="456" t="s">
        <v>9</v>
      </c>
      <c r="K14" s="588"/>
      <c r="L14" s="589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0">
        <v>0</v>
      </c>
      <c r="E16" s="591"/>
      <c r="F16" s="444"/>
      <c r="G16" s="448">
        <v>160</v>
      </c>
      <c r="I16" s="470" t="s">
        <v>1537</v>
      </c>
      <c r="J16" s="456" t="s">
        <v>9</v>
      </c>
      <c r="K16" s="594">
        <f>K9</f>
        <v>50.138312850678027</v>
      </c>
      <c r="L16" s="595"/>
    </row>
    <row r="17" spans="1:12" ht="34.5" customHeight="1">
      <c r="A17" s="204"/>
      <c r="B17" s="476" t="s">
        <v>1538</v>
      </c>
      <c r="C17" s="456" t="s">
        <v>9</v>
      </c>
      <c r="D17" s="592">
        <f>IF(D15=1,D14/(20/3^0.5),(D14/(20*3^0.5)))</f>
        <v>0</v>
      </c>
      <c r="E17" s="593"/>
      <c r="F17" s="444" t="s">
        <v>1453</v>
      </c>
      <c r="G17" s="449">
        <v>200</v>
      </c>
      <c r="I17" s="470" t="s">
        <v>1538</v>
      </c>
      <c r="J17" s="456" t="s">
        <v>9</v>
      </c>
      <c r="K17" s="598">
        <f>IF(K15=1,K14/(20/3^0.5),(K14/(20*3^0.5)))</f>
        <v>0</v>
      </c>
      <c r="L17" s="599"/>
    </row>
    <row r="18" spans="1:12" ht="34.5" customHeight="1">
      <c r="A18" s="204"/>
      <c r="B18" s="476" t="s">
        <v>1539</v>
      </c>
      <c r="C18" s="456" t="s">
        <v>9</v>
      </c>
      <c r="D18" s="592">
        <f>IF(D15=1,D14/(380/3^0.5),(D14/(380*3^0.5)))*1000</f>
        <v>0</v>
      </c>
      <c r="E18" s="593"/>
      <c r="F18" s="444" t="s">
        <v>1453</v>
      </c>
      <c r="G18" s="449">
        <v>250</v>
      </c>
      <c r="I18" s="470" t="s">
        <v>1539</v>
      </c>
      <c r="J18" s="456" t="s">
        <v>9</v>
      </c>
      <c r="K18" s="598">
        <f>IF(K15=1,K14/(380/3^0.5),(K14/(380*3^0.5)))*1000</f>
        <v>0</v>
      </c>
      <c r="L18" s="599"/>
    </row>
    <row r="19" spans="1:12" ht="30" customHeight="1">
      <c r="A19" s="204"/>
      <c r="B19" s="477" t="s">
        <v>1531</v>
      </c>
      <c r="C19" s="455" t="s">
        <v>9</v>
      </c>
      <c r="D19" s="592">
        <f>IF(D15=1,D14/(380/3^0.5),(D14/(380*3^0.5)))</f>
        <v>0</v>
      </c>
      <c r="E19" s="593"/>
      <c r="F19" s="207"/>
      <c r="G19" s="440"/>
      <c r="I19" s="472" t="s">
        <v>1531</v>
      </c>
      <c r="J19" s="455" t="s">
        <v>9</v>
      </c>
      <c r="K19" s="598">
        <f>IF(K15=1,K14/(380/3^0.5),(K14/(380*3^0.5)))</f>
        <v>0</v>
      </c>
      <c r="L19" s="599"/>
    </row>
    <row r="20" spans="1:12" ht="30" customHeight="1" thickBot="1">
      <c r="A20" s="204"/>
      <c r="B20" s="478" t="s">
        <v>1540</v>
      </c>
      <c r="C20" s="474" t="s">
        <v>9</v>
      </c>
      <c r="D20" s="618" t="e">
        <f>D16/D18</f>
        <v>#DIV/0!</v>
      </c>
      <c r="E20" s="619"/>
      <c r="F20" s="207"/>
      <c r="G20" s="440"/>
      <c r="I20" s="473" t="s">
        <v>1531</v>
      </c>
      <c r="J20" s="474" t="s">
        <v>9</v>
      </c>
      <c r="K20" s="596" t="e">
        <f>K16/K18</f>
        <v>#DIV/0!</v>
      </c>
      <c r="L20" s="597"/>
    </row>
    <row r="21" spans="1:12" ht="9.75" customHeight="1">
      <c r="A21" s="204"/>
      <c r="B21" s="463" t="s">
        <v>1540</v>
      </c>
      <c r="C21" s="464" t="s">
        <v>9</v>
      </c>
      <c r="D21" s="603">
        <v>1</v>
      </c>
      <c r="E21" s="603"/>
      <c r="F21" s="465"/>
      <c r="G21" s="466"/>
      <c r="H21" s="467"/>
      <c r="I21" s="463" t="s">
        <v>1531</v>
      </c>
      <c r="J21" s="464" t="s">
        <v>9</v>
      </c>
      <c r="K21" s="603">
        <v>1</v>
      </c>
      <c r="L21" s="60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600"/>
      <c r="C24" s="601"/>
      <c r="D24" s="601"/>
      <c r="E24" s="602"/>
      <c r="I24" s="600"/>
      <c r="J24" s="601"/>
      <c r="K24" s="601"/>
      <c r="L24" s="602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K20" sqref="K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20"/>
      <c r="C1" s="620"/>
      <c r="D1" s="62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RAB!K158</f>
        <v>110857397.29153658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2217147.9458307317</v>
      </c>
    </row>
    <row r="12" spans="2:11" ht="9" customHeight="1">
      <c r="B12" s="621"/>
      <c r="C12" s="621"/>
      <c r="D12" s="621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1639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1631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K22" sqref="K22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8" t="s">
        <v>1357</v>
      </c>
      <c r="C3" s="628"/>
      <c r="D3" s="628"/>
      <c r="E3" s="628"/>
      <c r="F3" s="305" t="str">
        <f>DATA!D14</f>
        <v>IOH GETAS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2" t="s">
        <v>1349</v>
      </c>
      <c r="C5" s="622" t="s">
        <v>1358</v>
      </c>
      <c r="D5" s="627" t="s">
        <v>1359</v>
      </c>
      <c r="E5" s="627" t="s">
        <v>1360</v>
      </c>
      <c r="F5" s="622" t="s">
        <v>1361</v>
      </c>
      <c r="G5" s="622"/>
      <c r="H5" s="622"/>
      <c r="I5" s="622"/>
      <c r="J5" s="622"/>
      <c r="K5" s="622" t="s">
        <v>1362</v>
      </c>
      <c r="L5" s="622"/>
      <c r="M5" s="307"/>
      <c r="N5" s="625" t="s">
        <v>1363</v>
      </c>
      <c r="O5" s="627" t="s">
        <v>1364</v>
      </c>
      <c r="P5" s="627" t="s">
        <v>1365</v>
      </c>
      <c r="Q5" s="627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2"/>
      <c r="C6" s="622"/>
      <c r="D6" s="622"/>
      <c r="E6" s="62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2"/>
      <c r="P6" s="622"/>
      <c r="Q6" s="622"/>
      <c r="R6" s="308"/>
      <c r="S6" s="309"/>
      <c r="T6" s="622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110.85739729153659</v>
      </c>
      <c r="G7" s="318">
        <f ca="1">DATA!$D$11/1000000</f>
        <v>2.2171479458307317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116.97652810252231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-101.23218410252231</v>
      </c>
      <c r="O7" s="314">
        <v>1</v>
      </c>
      <c r="P7" s="316">
        <f ca="1">O7*N7</f>
        <v>-101.23218410252231</v>
      </c>
      <c r="Q7" s="316">
        <f ca="1">P7</f>
        <v>-101.23218410252231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2.2171479458307317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8.0701222435632207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-0.44210624356322104</v>
      </c>
      <c r="O8" s="315">
        <f>1/(1+'[93]Asumsi I'!$C$3)^(KKF!A8)</f>
        <v>0.89285714285714279</v>
      </c>
      <c r="P8" s="316">
        <f ca="1">O8*N8</f>
        <v>-0.39473771746716163</v>
      </c>
      <c r="Q8" s="316">
        <f ca="1">Q7+P8</f>
        <v>-101.62692181998948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2.2171479458307317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8.0701222435632207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-0.44210624356322104</v>
      </c>
      <c r="O9" s="322">
        <f>1/(1+'[93]Asumsi I'!$C$3)^(KKF!A9)</f>
        <v>0.79719387755102034</v>
      </c>
      <c r="P9" s="316">
        <f t="shared" ref="P9:P32" ca="1" si="7">O9*N9</f>
        <v>-0.35244439059568</v>
      </c>
      <c r="Q9" s="316">
        <f ca="1">Q8+P9</f>
        <v>-101.97936621058516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2.2171479458307317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8.0701222435632207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-0.44210624356322104</v>
      </c>
      <c r="O10" s="315">
        <f>1/(1+'[93]Asumsi I'!$C$3)^(KKF!A10)</f>
        <v>0.71178024781341087</v>
      </c>
      <c r="P10" s="316">
        <f t="shared" ca="1" si="7"/>
        <v>-0.31468249160328565</v>
      </c>
      <c r="Q10" s="316">
        <f t="shared" ref="Q10:Q30" ca="1" si="9">Q9+P10</f>
        <v>-102.29404870218845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2.2171479458307317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8.0701222435632207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-0.44210624356322104</v>
      </c>
      <c r="O11" s="315">
        <f>1/(1+'[93]Asumsi I'!$C$3)^(KKF!A11)</f>
        <v>0.63551807840483121</v>
      </c>
      <c r="P11" s="316">
        <f t="shared" ca="1" si="7"/>
        <v>-0.28096651036007653</v>
      </c>
      <c r="Q11" s="316">
        <f t="shared" ca="1" si="9"/>
        <v>-102.57501521254852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2.2171479458307317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8.0701222435632207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-0.44210624356322104</v>
      </c>
      <c r="O12" s="315">
        <f>1/(1+'[93]Asumsi I'!$C$3)^(KKF!A12)</f>
        <v>0.56742685571859919</v>
      </c>
      <c r="P12" s="316">
        <f t="shared" ca="1" si="7"/>
        <v>-0.2508629556786397</v>
      </c>
      <c r="Q12" s="316">
        <f t="shared" ca="1" si="9"/>
        <v>-102.82587816822716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2.2171479458307317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8.0701222435632207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-0.44210624356322104</v>
      </c>
      <c r="O13" s="315">
        <f>1/(1+'[93]Asumsi I'!$C$3)^(KKF!A13)</f>
        <v>0.50663112117732068</v>
      </c>
      <c r="P13" s="316">
        <f t="shared" ca="1" si="7"/>
        <v>-0.22398478185592829</v>
      </c>
      <c r="Q13" s="316">
        <f t="shared" ca="1" si="9"/>
        <v>-103.0498629500831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2.2171479458307317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8.0701222435632207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-0.44210624356322104</v>
      </c>
      <c r="O14" s="315">
        <f>1/(1+'[93]Asumsi I'!$C$3)^(KKF!A14)</f>
        <v>0.45234921533689343</v>
      </c>
      <c r="P14" s="316">
        <f t="shared" ca="1" si="7"/>
        <v>-0.19998641237136452</v>
      </c>
      <c r="Q14" s="316">
        <f t="shared" ca="1" si="9"/>
        <v>-103.24984936245446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2.2171479458307317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8.0701222435632207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-0.44210624356322104</v>
      </c>
      <c r="O15" s="315">
        <f>1/(1+'[93]Asumsi I'!$C$3)^(KKF!A15)</f>
        <v>0.4038832279793691</v>
      </c>
      <c r="P15" s="316">
        <f t="shared" ca="1" si="7"/>
        <v>-0.1785592967601469</v>
      </c>
      <c r="Q15" s="316">
        <f t="shared" ca="1" si="9"/>
        <v>-103.4284086592146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2.2171479458307317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8.0701222435632207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-0.44210624356322104</v>
      </c>
      <c r="O16" s="315">
        <f>1/(1+'[93]Asumsi I'!$C$3)^(KKF!A16)</f>
        <v>0.36061002498157957</v>
      </c>
      <c r="P16" s="316">
        <f t="shared" ca="1" si="7"/>
        <v>-0.15942794353584544</v>
      </c>
      <c r="Q16" s="316">
        <f t="shared" ca="1" si="9"/>
        <v>-103.58783660275044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2.2171479458307317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8.0701222435632207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-0.44210624356322104</v>
      </c>
      <c r="O17" s="315">
        <f>1/(1+'[93]Asumsi I'!$C$3)^(KKF!A17)</f>
        <v>0.32197323659069599</v>
      </c>
      <c r="P17" s="316">
        <f t="shared" ca="1" si="7"/>
        <v>-0.14234637815700482</v>
      </c>
      <c r="Q17" s="316">
        <f t="shared" ca="1" si="9"/>
        <v>-103.73018298090744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2.2171479458307317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8.0701222435632207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-0.44210624356322104</v>
      </c>
      <c r="O18" s="315">
        <f>1/(1+'[93]Asumsi I'!$C$3)^(KKF!A18)</f>
        <v>0.28747610409883567</v>
      </c>
      <c r="P18" s="316">
        <f t="shared" ca="1" si="7"/>
        <v>-0.12709498049732573</v>
      </c>
      <c r="Q18" s="316">
        <f t="shared" ca="1" si="9"/>
        <v>-103.85727796140478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2.2171479458307317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8.0701222435632207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-0.44210624356322104</v>
      </c>
      <c r="O19" s="315">
        <f>1/(1+'[93]Asumsi I'!$C$3)^(KKF!A19)</f>
        <v>0.25667509294538904</v>
      </c>
      <c r="P19" s="316">
        <f t="shared" ca="1" si="7"/>
        <v>-0.11347766115832657</v>
      </c>
      <c r="Q19" s="316">
        <f t="shared" ca="1" si="9"/>
        <v>-103.9707556225631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2.2171479458307317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8.0701222435632207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-0.44210624356322104</v>
      </c>
      <c r="O20" s="315">
        <f>1/(1+'[93]Asumsi I'!$C$3)^(KKF!A20)</f>
        <v>0.22917419012981158</v>
      </c>
      <c r="P20" s="316">
        <f t="shared" ca="1" si="7"/>
        <v>-0.10131934031993441</v>
      </c>
      <c r="Q20" s="316">
        <f t="shared" ca="1" si="9"/>
        <v>-104.07207496288304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2.2171479458307317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8.0701222435632207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-0.44210624356322104</v>
      </c>
      <c r="O21" s="315">
        <f>1/(1+'[93]Asumsi I'!$C$3)^(KKF!A21)</f>
        <v>0.20461981261590317</v>
      </c>
      <c r="P21" s="316">
        <f t="shared" ca="1" si="7"/>
        <v>-9.0463696714227132E-2</v>
      </c>
      <c r="Q21" s="316">
        <f t="shared" ca="1" si="9"/>
        <v>-104.16253865959726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2.2171479458307317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8.0701222435632207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-0.44210624356322104</v>
      </c>
      <c r="O22" s="315">
        <f>1/(1+'[93]Asumsi I'!$C$3)^(KKF!A22)</f>
        <v>0.18269626126419927</v>
      </c>
      <c r="P22" s="316">
        <f t="shared" ca="1" si="7"/>
        <v>-8.0771157780559946E-2</v>
      </c>
      <c r="Q22" s="316">
        <f t="shared" ca="1" si="9"/>
        <v>-104.24330981737782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2.2171479458307317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8.0701222435632207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-0.44210624356322104</v>
      </c>
      <c r="O23" s="315">
        <f>1/(1+'[93]Asumsi I'!$C$3)^(KKF!A23)</f>
        <v>0.16312166184303503</v>
      </c>
      <c r="P23" s="316">
        <f t="shared" ca="1" si="7"/>
        <v>-7.2117105161214223E-2</v>
      </c>
      <c r="Q23" s="316">
        <f t="shared" ca="1" si="9"/>
        <v>-104.31542692253903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2.2171479458307317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8.0701222435632207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-0.44210624356322104</v>
      </c>
      <c r="O24" s="315">
        <f>1/(1+'[93]Asumsi I'!$C$3)^(KKF!A24)</f>
        <v>0.14564434093128129</v>
      </c>
      <c r="P24" s="316">
        <f t="shared" ca="1" si="7"/>
        <v>-6.4390272465369852E-2</v>
      </c>
      <c r="Q24" s="316">
        <f t="shared" ca="1" si="9"/>
        <v>-104.37981719500441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2.2171479458307317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8.0701222435632207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-0.44210624356322104</v>
      </c>
      <c r="O25" s="315">
        <f>1/(1+'[93]Asumsi I'!$C$3)^(KKF!A25)</f>
        <v>0.13003959011721541</v>
      </c>
      <c r="P25" s="316">
        <f t="shared" ca="1" si="7"/>
        <v>-5.7491314701223067E-2</v>
      </c>
      <c r="Q25" s="316">
        <f t="shared" ca="1" si="9"/>
        <v>-104.43730850970563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2.2171479458307317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8.0701222435632207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-0.44210624356322104</v>
      </c>
      <c r="O26" s="315">
        <f>1/(1+'[93]Asumsi I'!$C$3)^(KKF!A26)</f>
        <v>0.1161067768903709</v>
      </c>
      <c r="P26" s="316">
        <f t="shared" ca="1" si="7"/>
        <v>-5.1331530983234883E-2</v>
      </c>
      <c r="Q26" s="316">
        <f t="shared" ca="1" si="9"/>
        <v>-104.48864004068886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2.2171479458307317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8.0701222435632207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-0.44210624356322104</v>
      </c>
      <c r="O27" s="315">
        <f>1/(1+'[93]Asumsi I'!$C$3)^(KKF!A27)</f>
        <v>0.1036667650806883</v>
      </c>
      <c r="P27" s="316">
        <f t="shared" ca="1" si="7"/>
        <v>-4.5831724092173995E-2</v>
      </c>
      <c r="Q27" s="316">
        <f t="shared" ca="1" si="9"/>
        <v>-104.53447176478103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2.2171479458307317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8.0701222435632207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-0.44210624356322104</v>
      </c>
      <c r="O28" s="315">
        <f>1/(1+'[93]Asumsi I'!$C$3)^(KKF!A28)</f>
        <v>9.2559611679185971E-2</v>
      </c>
      <c r="P28" s="316">
        <f t="shared" ca="1" si="7"/>
        <v>-4.0921182225155353E-2</v>
      </c>
      <c r="Q28" s="316">
        <f t="shared" ca="1" si="9"/>
        <v>-104.57539294700619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2.2171479458307317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8.0701222435632207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-0.44210624356322104</v>
      </c>
      <c r="O29" s="315">
        <f>1/(1+'[93]Asumsi I'!$C$3)^(KKF!A29)</f>
        <v>8.2642510427844609E-2</v>
      </c>
      <c r="P29" s="316">
        <f t="shared" ca="1" si="7"/>
        <v>-3.6536769843888706E-2</v>
      </c>
      <c r="Q29" s="316">
        <f t="shared" ca="1" si="9"/>
        <v>-104.61192971685009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2.2171479458307317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8.0701222435632207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-0.44210624356322104</v>
      </c>
      <c r="O30" s="315">
        <f>1/(1+'[93]Asumsi I'!$C$3)^(KKF!A30)</f>
        <v>7.3787955739146982E-2</v>
      </c>
      <c r="P30" s="316">
        <f t="shared" ca="1" si="7"/>
        <v>-3.2622115932043491E-2</v>
      </c>
      <c r="Q30" s="316">
        <f t="shared" ca="1" si="9"/>
        <v>-104.64455183278213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2.2171479458307317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8.0701222435632207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-0.44210624356322104</v>
      </c>
      <c r="O31" s="315">
        <f>1/(1+'[93]Asumsi I'!$C$3)^(KKF!A31)</f>
        <v>6.5882103338524081E-2</v>
      </c>
      <c r="P31" s="316">
        <f t="shared" ca="1" si="7"/>
        <v>-2.9126889225038824E-2</v>
      </c>
      <c r="Q31" s="316">
        <f ca="1">Q30+P31</f>
        <v>-104.67367872200717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2.2171479458307317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8.0701222435632207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-0.44210624356322104</v>
      </c>
      <c r="O32" s="315">
        <f>1/(1+'[93]Asumsi I'!$C$3)^(KKF!A32)</f>
        <v>5.8823306552253637E-2</v>
      </c>
      <c r="P32" s="316">
        <f t="shared" ca="1" si="7"/>
        <v>-2.6006151093784662E-2</v>
      </c>
      <c r="Q32" s="316">
        <f ca="1">Q31+P32</f>
        <v>-104.69968487310095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318.72958419160278</v>
      </c>
      <c r="K33" s="624" t="s">
        <v>1375</v>
      </c>
      <c r="L33" s="624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-264.58917919758966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0.64771127074258894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-93.481861493840128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3"/>
  <sheetViews>
    <sheetView showGridLines="0" zoomScale="70" zoomScaleNormal="70" zoomScaleSheetLayoutView="70" workbookViewId="0">
      <pane ySplit="13" topLeftCell="A41" activePane="bottomLeft" state="frozen"/>
      <selection activeCell="H1093" sqref="H1093"/>
      <selection pane="bottomLeft" activeCell="H31" sqref="H3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8.8554687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7" t="s">
        <v>1036</v>
      </c>
      <c r="P3" s="647"/>
      <c r="Q3" s="346"/>
      <c r="T3" s="344"/>
      <c r="U3" s="345" t="s">
        <v>1041</v>
      </c>
      <c r="V3" s="344"/>
    </row>
    <row r="4" spans="1:22" ht="15.75" customHeight="1">
      <c r="B4" s="648" t="s">
        <v>1023</v>
      </c>
      <c r="C4" s="648"/>
      <c r="D4" s="648"/>
      <c r="E4" s="648"/>
      <c r="F4" s="648"/>
      <c r="G4" s="648"/>
      <c r="H4" s="648"/>
      <c r="I4" s="648"/>
      <c r="J4" s="648"/>
      <c r="K4" s="648"/>
      <c r="O4" s="647"/>
      <c r="P4" s="64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IOH GETAS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50" t="s">
        <v>0</v>
      </c>
      <c r="C11" s="652" t="s">
        <v>1</v>
      </c>
      <c r="D11" s="641" t="s">
        <v>42</v>
      </c>
      <c r="E11" s="641" t="s">
        <v>43</v>
      </c>
      <c r="F11" s="641" t="s">
        <v>2</v>
      </c>
      <c r="G11" s="655" t="s">
        <v>41</v>
      </c>
      <c r="H11" s="641" t="s">
        <v>3</v>
      </c>
      <c r="I11" s="641"/>
      <c r="J11" s="641"/>
      <c r="K11" s="64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51"/>
      <c r="C12" s="653"/>
      <c r="D12" s="645"/>
      <c r="E12" s="645"/>
      <c r="F12" s="645"/>
      <c r="G12" s="656"/>
      <c r="H12" s="643" t="s">
        <v>46</v>
      </c>
      <c r="I12" s="643" t="s">
        <v>5</v>
      </c>
      <c r="J12" s="645" t="s">
        <v>47</v>
      </c>
      <c r="K12" s="646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51"/>
      <c r="C13" s="654"/>
      <c r="D13" s="645"/>
      <c r="E13" s="645"/>
      <c r="F13" s="645"/>
      <c r="G13" s="657"/>
      <c r="H13" s="644"/>
      <c r="I13" s="644"/>
      <c r="J13" s="645"/>
      <c r="K13" s="646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461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Set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200000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400000</v>
      </c>
      <c r="J17" s="361">
        <f t="shared" ref="J17" ca="1" si="10">IF(D17="JASA",G17*F17,0)</f>
        <v>0</v>
      </c>
      <c r="K17" s="362">
        <f t="shared" ref="K17" ca="1" si="11">SUM(H17:J17)</f>
        <v>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4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4" ca="1" si="12">IF(OR(D18="MDU",D18="MDU-KD"),(IF($O$3="RAB NON MDU","PLN KD",G18*F18)),0)</f>
        <v>0</v>
      </c>
      <c r="I18" s="361">
        <f t="shared" ref="I18:I24" ca="1" si="13">IF(D18="HDW",G18*F18,0)</f>
        <v>23200000</v>
      </c>
      <c r="J18" s="361">
        <f t="shared" ref="J18:J24" ca="1" si="14">IF(D18="JASA",G18*F18,0)</f>
        <v>0</v>
      </c>
      <c r="K18" s="362">
        <f t="shared" ref="K18:K24" ca="1" si="15">SUM(H18:J18)</f>
        <v>23200000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104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6074400</v>
      </c>
      <c r="H19" s="361">
        <f t="shared" ca="1" si="12"/>
        <v>0</v>
      </c>
      <c r="I19" s="361">
        <f t="shared" ca="1" si="13"/>
        <v>6074400</v>
      </c>
      <c r="J19" s="361">
        <f t="shared" ca="1" si="14"/>
        <v>0</v>
      </c>
      <c r="K19" s="362">
        <f t="shared" ca="1" si="15"/>
        <v>6074400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101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368">
        <v>3</v>
      </c>
      <c r="G20" s="360">
        <f ca="1">IF(ISERROR(OFFSET('HARGA SATUAN'!$I$6,MATCH(RAB!C20,'HARGA SATUAN'!$C$7:$C$1492,0),0)),0,OFFSET('HARGA SATUAN'!$I$6,MATCH(RAB!C20,'HARGA SATUAN'!$C$7:$C$1492,0),0))</f>
        <v>3382600</v>
      </c>
      <c r="H20" s="361">
        <f t="shared" ref="H20:H21" ca="1" si="16">IF(OR(D20="MDU",D20="MDU-KD"),(IF($O$3="RAB NON MDU","PLN KD",G20*F20)),0)</f>
        <v>0</v>
      </c>
      <c r="I20" s="361">
        <f t="shared" ref="I20:I21" ca="1" si="17">IF(D20="HDW",G20*F20,0)</f>
        <v>10147800</v>
      </c>
      <c r="J20" s="361">
        <f t="shared" ref="J20:J21" ca="1" si="18">IF(D20="JASA",G20*F20,0)</f>
        <v>0</v>
      </c>
      <c r="K20" s="362">
        <f t="shared" ref="K20:K21" ca="1" si="19">SUM(H20:J20)</f>
        <v>10147800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>
        <v>5</v>
      </c>
      <c r="C21" s="109" t="s">
        <v>6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Btg</v>
      </c>
      <c r="F21" s="368">
        <f>F18+F19</f>
        <v>5</v>
      </c>
      <c r="G21" s="360">
        <f ca="1">IF(ISERROR(OFFSET('HARGA SATUAN'!$I$6,MATCH(RAB!C21,'HARGA SATUAN'!$C$7:$C$1492,0),0)),0,OFFSET('HARGA SATUAN'!$I$6,MATCH(RAB!C21,'HARGA SATUAN'!$C$7:$C$1492,0),0))</f>
        <v>10066.666666666668</v>
      </c>
      <c r="H21" s="361">
        <f t="shared" ca="1" si="16"/>
        <v>0</v>
      </c>
      <c r="I21" s="361">
        <f t="shared" ca="1" si="17"/>
        <v>0</v>
      </c>
      <c r="J21" s="361">
        <f t="shared" ca="1" si="18"/>
        <v>50333.333333333343</v>
      </c>
      <c r="K21" s="362">
        <f t="shared" ca="1" si="19"/>
        <v>50333.333333333343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71"/>
      <c r="C22" s="10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366" t="s">
        <v>1613</v>
      </c>
      <c r="C23" s="367" t="s">
        <v>1636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65" customFormat="1">
      <c r="A24" s="336"/>
      <c r="B24" s="519"/>
      <c r="C24" s="520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368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2" t="s">
        <v>1035</v>
      </c>
      <c r="C25" s="523" t="s">
        <v>1632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27">
        <v>4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ref="H25:H39" ca="1" si="20">IF(OR(D25="MDU",D25="MDU-KD"),(IF($O$3="RAB NON MDU","PLN KD",G25*F25)),0)</f>
        <v>0</v>
      </c>
      <c r="I25" s="361">
        <f t="shared" ref="I25:I39" ca="1" si="21">IF(D25="HDW",G25*F25,0)</f>
        <v>0</v>
      </c>
      <c r="J25" s="361">
        <f t="shared" ref="J25:J39" ca="1" si="22">IF(D25="JASA",G25*F25,0)</f>
        <v>0</v>
      </c>
      <c r="K25" s="362">
        <f t="shared" ref="K25:K39" ca="1" si="23">SUM(H25:J25)</f>
        <v>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2">
        <v>1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27">
        <f>F25*1</f>
        <v>4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20"/>
        <v>707600</v>
      </c>
      <c r="I26" s="361">
        <f t="shared" ca="1" si="21"/>
        <v>0</v>
      </c>
      <c r="J26" s="361">
        <f t="shared" ca="1" si="22"/>
        <v>0</v>
      </c>
      <c r="K26" s="362">
        <f t="shared" ca="1" si="23"/>
        <v>707600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2">
        <v>2</v>
      </c>
      <c r="C27" s="523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27">
        <f>F25*2</f>
        <v>8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20"/>
        <v>0</v>
      </c>
      <c r="I27" s="361">
        <f t="shared" ca="1" si="21"/>
        <v>212000</v>
      </c>
      <c r="J27" s="361">
        <f t="shared" ca="1" si="22"/>
        <v>0</v>
      </c>
      <c r="K27" s="362">
        <f t="shared" ca="1" si="23"/>
        <v>212000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2">
        <v>3</v>
      </c>
      <c r="C28" s="523" t="s">
        <v>178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F25*1</f>
        <v>4</v>
      </c>
      <c r="G28" s="360">
        <f ca="1">IF(ISERROR(OFFSET('HARGA SATUAN'!$I$6,MATCH(RAB!C28,'HARGA SATUAN'!$C$7:$C$1492,0),0)),0,OFFSET('HARGA SATUAN'!$I$6,MATCH(RAB!C28,'HARGA SATUAN'!$C$7:$C$1492,0),0))</f>
        <v>95000</v>
      </c>
      <c r="H28" s="361">
        <f t="shared" ca="1" si="20"/>
        <v>0</v>
      </c>
      <c r="I28" s="361">
        <f t="shared" ca="1" si="21"/>
        <v>380000</v>
      </c>
      <c r="J28" s="361">
        <f t="shared" ca="1" si="22"/>
        <v>0</v>
      </c>
      <c r="K28" s="362">
        <f t="shared" ca="1" si="23"/>
        <v>380000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2">
        <v>4</v>
      </c>
      <c r="C29" s="523" t="s">
        <v>217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F25*2</f>
        <v>8</v>
      </c>
      <c r="G29" s="360">
        <f ca="1">IF(ISERROR(OFFSET('HARGA SATUAN'!$I$6,MATCH(RAB!C29,'HARGA SATUAN'!$C$7:$C$1492,0),0)),0,OFFSET('HARGA SATUAN'!$I$6,MATCH(RAB!C29,'HARGA SATUAN'!$C$7:$C$1492,0),0))</f>
        <v>11400</v>
      </c>
      <c r="H29" s="361">
        <f t="shared" ca="1" si="20"/>
        <v>0</v>
      </c>
      <c r="I29" s="361">
        <f t="shared" ca="1" si="21"/>
        <v>91200</v>
      </c>
      <c r="J29" s="361">
        <f t="shared" ca="1" si="22"/>
        <v>0</v>
      </c>
      <c r="K29" s="362">
        <f t="shared" ca="1" si="23"/>
        <v>91200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2">
        <v>5</v>
      </c>
      <c r="C30" s="523" t="s">
        <v>254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F25*1</f>
        <v>4</v>
      </c>
      <c r="G30" s="360">
        <f ca="1">IF(ISERROR(OFFSET('HARGA SATUAN'!$I$6,MATCH(RAB!C30,'HARGA SATUAN'!$C$7:$C$1492,0),0)),0,OFFSET('HARGA SATUAN'!$I$6,MATCH(RAB!C30,'HARGA SATUAN'!$C$7:$C$1492,0),0))</f>
        <v>51100</v>
      </c>
      <c r="H30" s="361">
        <f t="shared" ca="1" si="20"/>
        <v>0</v>
      </c>
      <c r="I30" s="361">
        <f t="shared" ca="1" si="21"/>
        <v>204400</v>
      </c>
      <c r="J30" s="361">
        <f t="shared" ca="1" si="22"/>
        <v>0</v>
      </c>
      <c r="K30" s="362">
        <f t="shared" ca="1" si="23"/>
        <v>204400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2">
        <v>6</v>
      </c>
      <c r="C31" s="523" t="s">
        <v>264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F25*1</f>
        <v>4</v>
      </c>
      <c r="G31" s="360">
        <f ca="1">IF(ISERROR(OFFSET('HARGA SATUAN'!$I$6,MATCH(RAB!C31,'HARGA SATUAN'!$C$7:$C$1492,0),0)),0,OFFSET('HARGA SATUAN'!$I$6,MATCH(RAB!C31,'HARGA SATUAN'!$C$7:$C$1492,0),0))</f>
        <v>28000</v>
      </c>
      <c r="H31" s="361">
        <f t="shared" ca="1" si="20"/>
        <v>0</v>
      </c>
      <c r="I31" s="361">
        <f t="shared" ca="1" si="21"/>
        <v>112000</v>
      </c>
      <c r="J31" s="361">
        <f t="shared" ca="1" si="22"/>
        <v>0</v>
      </c>
      <c r="K31" s="362">
        <f t="shared" ca="1" si="23"/>
        <v>112000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4">
        <v>7</v>
      </c>
      <c r="C32" s="525" t="s">
        <v>38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2.6*F25</f>
        <v>10.4</v>
      </c>
      <c r="G32" s="360">
        <f ca="1">IF(ISERROR(OFFSET('HARGA SATUAN'!$I$6,MATCH(RAB!C32,'HARGA SATUAN'!$C$7:$C$1492,0),0)),0,OFFSET('HARGA SATUAN'!$I$6,MATCH(RAB!C32,'HARGA SATUAN'!$C$7:$C$1492,0),0))</f>
        <v>8550</v>
      </c>
      <c r="H32" s="361">
        <f t="shared" ca="1" si="20"/>
        <v>0</v>
      </c>
      <c r="I32" s="361">
        <f t="shared" ca="1" si="21"/>
        <v>88920</v>
      </c>
      <c r="J32" s="361">
        <f t="shared" ca="1" si="22"/>
        <v>0</v>
      </c>
      <c r="K32" s="362">
        <f t="shared" ca="1" si="23"/>
        <v>88920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03">
        <v>8</v>
      </c>
      <c r="C33" s="526" t="s">
        <v>26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F25*2</f>
        <v>8</v>
      </c>
      <c r="G33" s="360">
        <f ca="1">IF(ISERROR(OFFSET('HARGA SATUAN'!$I$6,MATCH(RAB!C33,'HARGA SATUAN'!$C$7:$C$1492,0),0)),0,OFFSET('HARGA SATUAN'!$I$6,MATCH(RAB!C33,'HARGA SATUAN'!$C$7:$C$1492,0),0))</f>
        <v>2500</v>
      </c>
      <c r="H33" s="361">
        <f t="shared" ca="1" si="20"/>
        <v>0</v>
      </c>
      <c r="I33" s="361">
        <f t="shared" ca="1" si="21"/>
        <v>20000</v>
      </c>
      <c r="J33" s="361">
        <f t="shared" ca="1" si="22"/>
        <v>0</v>
      </c>
      <c r="K33" s="362">
        <f t="shared" ca="1" si="23"/>
        <v>20000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03">
        <v>9</v>
      </c>
      <c r="C34" s="505" t="s">
        <v>641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27">
        <f>F25*1</f>
        <v>4</v>
      </c>
      <c r="G34" s="360">
        <f ca="1">IF(ISERROR(OFFSET('HARGA SATUAN'!$I$6,MATCH(RAB!C34,'HARGA SATUAN'!$C$7:$C$1492,0),0)),0,OFFSET('HARGA SATUAN'!$I$6,MATCH(RAB!C34,'HARGA SATUAN'!$C$7:$C$1492,0),0))</f>
        <v>53200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212800</v>
      </c>
      <c r="K34" s="362">
        <f t="shared" ca="1" si="23"/>
        <v>212800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/>
      <c r="C35" s="520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8" t="s">
        <v>1035</v>
      </c>
      <c r="C36" s="505" t="s">
        <v>1634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29">
        <v>2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0"/>
        <v>0</v>
      </c>
      <c r="I36" s="361">
        <f t="shared" ca="1" si="21"/>
        <v>0</v>
      </c>
      <c r="J36" s="361">
        <f t="shared" ca="1" si="22"/>
        <v>0</v>
      </c>
      <c r="K36" s="362">
        <f t="shared" ca="1" si="23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28">
        <v>1</v>
      </c>
      <c r="C37" s="109" t="s">
        <v>1565</v>
      </c>
      <c r="D37" s="358" t="str">
        <f ca="1">IF(ISERROR(OFFSET('HARGA SATUAN'!$D$6,MATCH(RAB!C37,'HARGA SATUAN'!$C$7:$C$1492,0),0)),"",OFFSET('HARGA SATUAN'!$D$6,MATCH(RAB!C37,'HARGA SATUAN'!$C$7:$C$1492,0),0))</f>
        <v>MDU-KD</v>
      </c>
      <c r="E37" s="359" t="str">
        <f ca="1">IF(B37="+","Unit",IF(ISERROR(OFFSET('HARGA SATUAN'!$E$6,MATCH(RAB!C37,'HARGA SATUAN'!$C$7:$C$1492,0),0)),"",OFFSET('HARGA SATUAN'!$E$6,MATCH(RAB!C37,'HARGA SATUAN'!$C$7:$C$1492,0),0)))</f>
        <v>Set</v>
      </c>
      <c r="F37" s="529">
        <f>F36*1</f>
        <v>2</v>
      </c>
      <c r="G37" s="360">
        <f ca="1">IF(ISERROR(OFFSET('HARGA SATUAN'!$I$6,MATCH(RAB!C37,'HARGA SATUAN'!$C$7:$C$1492,0),0)),0,OFFSET('HARGA SATUAN'!$I$6,MATCH(RAB!C37,'HARGA SATUAN'!$C$7:$C$1492,0),0))</f>
        <v>430000</v>
      </c>
      <c r="H37" s="361">
        <f t="shared" ca="1" si="20"/>
        <v>860000</v>
      </c>
      <c r="I37" s="361">
        <f t="shared" ca="1" si="21"/>
        <v>0</v>
      </c>
      <c r="J37" s="361">
        <f t="shared" ca="1" si="22"/>
        <v>0</v>
      </c>
      <c r="K37" s="362">
        <f t="shared" ca="1" si="23"/>
        <v>860000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28">
        <v>2</v>
      </c>
      <c r="C38" s="505" t="s">
        <v>152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29">
        <f>F36*1</f>
        <v>2</v>
      </c>
      <c r="G38" s="360">
        <f ca="1">IF(ISERROR(OFFSET('HARGA SATUAN'!$I$6,MATCH(RAB!C38,'HARGA SATUAN'!$C$7:$C$1492,0),0)),0,OFFSET('HARGA SATUAN'!$I$6,MATCH(RAB!C38,'HARGA SATUAN'!$C$7:$C$1492,0),0))</f>
        <v>7789</v>
      </c>
      <c r="H38" s="361">
        <f t="shared" ca="1" si="20"/>
        <v>0</v>
      </c>
      <c r="I38" s="361">
        <f t="shared" ca="1" si="21"/>
        <v>15578</v>
      </c>
      <c r="J38" s="361">
        <f t="shared" ca="1" si="22"/>
        <v>0</v>
      </c>
      <c r="K38" s="362">
        <f t="shared" ca="1" si="23"/>
        <v>15578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28">
        <v>3</v>
      </c>
      <c r="C39" s="505" t="s">
        <v>179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29">
        <f>F36*1</f>
        <v>2</v>
      </c>
      <c r="G39" s="360">
        <f ca="1">IF(ISERROR(OFFSET('HARGA SATUAN'!$I$6,MATCH(RAB!C39,'HARGA SATUAN'!$C$7:$C$1492,0),0)),0,OFFSET('HARGA SATUAN'!$I$6,MATCH(RAB!C39,'HARGA SATUAN'!$C$7:$C$1492,0),0))</f>
        <v>15500</v>
      </c>
      <c r="H39" s="361">
        <f t="shared" ca="1" si="20"/>
        <v>0</v>
      </c>
      <c r="I39" s="361">
        <f t="shared" ca="1" si="21"/>
        <v>31000</v>
      </c>
      <c r="J39" s="361">
        <f t="shared" ca="1" si="22"/>
        <v>0</v>
      </c>
      <c r="K39" s="362">
        <f t="shared" ca="1" si="23"/>
        <v>31000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28">
        <v>4</v>
      </c>
      <c r="C40" s="505" t="s">
        <v>217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29">
        <f>F36*2</f>
        <v>4</v>
      </c>
      <c r="G40" s="360">
        <f ca="1">IF(ISERROR(OFFSET('HARGA SATUAN'!$I$6,MATCH(RAB!C40,'HARGA SATUAN'!$C$7:$C$1492,0),0)),0,OFFSET('HARGA SATUAN'!$I$6,MATCH(RAB!C40,'HARGA SATUAN'!$C$7:$C$1492,0),0))</f>
        <v>11400</v>
      </c>
      <c r="H40" s="361">
        <f t="shared" ref="H40:H47" ca="1" si="24">IF(OR(D40="MDU",D40="MDU-KD"),(IF($O$3="RAB NON MDU","PLN KD",G40*F40)),0)</f>
        <v>0</v>
      </c>
      <c r="I40" s="361">
        <f t="shared" ref="I40:I47" ca="1" si="25">IF(D40="HDW",G40*F40,0)</f>
        <v>45600</v>
      </c>
      <c r="J40" s="361">
        <f t="shared" ref="J40:J47" ca="1" si="26">IF(D40="JASA",G40*F40,0)</f>
        <v>0</v>
      </c>
      <c r="K40" s="362">
        <f t="shared" ref="K40:K47" ca="1" si="27">SUM(H40:J40)</f>
        <v>45600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28">
        <v>5</v>
      </c>
      <c r="C41" s="505" t="s">
        <v>218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29">
        <f>F36*2</f>
        <v>4</v>
      </c>
      <c r="G41" s="360">
        <f ca="1">IF(ISERROR(OFFSET('HARGA SATUAN'!$I$6,MATCH(RAB!C41,'HARGA SATUAN'!$C$7:$C$1492,0),0)),0,OFFSET('HARGA SATUAN'!$I$6,MATCH(RAB!C41,'HARGA SATUAN'!$C$7:$C$1492,0),0))</f>
        <v>29600</v>
      </c>
      <c r="H41" s="361">
        <f t="shared" ca="1" si="24"/>
        <v>0</v>
      </c>
      <c r="I41" s="361">
        <f t="shared" ca="1" si="25"/>
        <v>118400</v>
      </c>
      <c r="J41" s="361">
        <f t="shared" ca="1" si="26"/>
        <v>0</v>
      </c>
      <c r="K41" s="362">
        <f t="shared" ca="1" si="27"/>
        <v>118400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28">
        <v>6</v>
      </c>
      <c r="C42" s="505" t="s">
        <v>223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29">
        <f>F36*2</f>
        <v>4</v>
      </c>
      <c r="G42" s="360">
        <f ca="1">IF(ISERROR(OFFSET('HARGA SATUAN'!$I$6,MATCH(RAB!C42,'HARGA SATUAN'!$C$7:$C$1492,0),0)),0,OFFSET('HARGA SATUAN'!$I$6,MATCH(RAB!C42,'HARGA SATUAN'!$C$7:$C$1492,0),0))</f>
        <v>27815</v>
      </c>
      <c r="H42" s="361">
        <f t="shared" ca="1" si="24"/>
        <v>0</v>
      </c>
      <c r="I42" s="361">
        <f t="shared" ca="1" si="25"/>
        <v>111260</v>
      </c>
      <c r="J42" s="361">
        <f t="shared" ca="1" si="26"/>
        <v>0</v>
      </c>
      <c r="K42" s="362">
        <f t="shared" ca="1" si="27"/>
        <v>111260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28">
        <v>7</v>
      </c>
      <c r="C43" s="505" t="s">
        <v>27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29">
        <f>F36*1</f>
        <v>2</v>
      </c>
      <c r="G43" s="360">
        <f ca="1">IF(ISERROR(OFFSET('HARGA SATUAN'!$I$6,MATCH(RAB!C43,'HARGA SATUAN'!$C$7:$C$1492,0),0)),0,OFFSET('HARGA SATUAN'!$I$6,MATCH(RAB!C43,'HARGA SATUAN'!$C$7:$C$1492,0),0))</f>
        <v>16000</v>
      </c>
      <c r="H43" s="361">
        <f t="shared" ca="1" si="24"/>
        <v>0</v>
      </c>
      <c r="I43" s="361">
        <f t="shared" ca="1" si="25"/>
        <v>32000</v>
      </c>
      <c r="J43" s="361">
        <f t="shared" ca="1" si="26"/>
        <v>0</v>
      </c>
      <c r="K43" s="362">
        <f t="shared" ca="1" si="27"/>
        <v>32000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28">
        <v>8</v>
      </c>
      <c r="C44" s="505" t="s">
        <v>265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29">
        <f>F36*1</f>
        <v>2</v>
      </c>
      <c r="G44" s="360">
        <f ca="1">IF(ISERROR(OFFSET('HARGA SATUAN'!$I$6,MATCH(RAB!C44,'HARGA SATUAN'!$C$7:$C$1492,0),0)),0,OFFSET('HARGA SATUAN'!$I$6,MATCH(RAB!C44,'HARGA SATUAN'!$C$7:$C$1492,0),0))</f>
        <v>33501.866666666669</v>
      </c>
      <c r="H44" s="361">
        <f t="shared" ca="1" si="24"/>
        <v>0</v>
      </c>
      <c r="I44" s="361">
        <f t="shared" ca="1" si="25"/>
        <v>67003.733333333337</v>
      </c>
      <c r="J44" s="361">
        <f t="shared" ca="1" si="26"/>
        <v>0</v>
      </c>
      <c r="K44" s="362">
        <f t="shared" ca="1" si="27"/>
        <v>67003.733333333337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28">
        <v>9</v>
      </c>
      <c r="C45" s="505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29">
        <f>F36*2</f>
        <v>4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24"/>
        <v>0</v>
      </c>
      <c r="I45" s="361">
        <f t="shared" ca="1" si="25"/>
        <v>10000</v>
      </c>
      <c r="J45" s="361">
        <f t="shared" ca="1" si="26"/>
        <v>0</v>
      </c>
      <c r="K45" s="362">
        <f t="shared" ca="1" si="27"/>
        <v>10000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28">
        <v>10</v>
      </c>
      <c r="C46" s="505" t="s">
        <v>655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29">
        <f>F36*1</f>
        <v>2</v>
      </c>
      <c r="G46" s="360">
        <f ca="1">IF(ISERROR(OFFSET('HARGA SATUAN'!$I$6,MATCH(RAB!C46,'HARGA SATUAN'!$C$7:$C$1492,0),0)),0,OFFSET('HARGA SATUAN'!$I$6,MATCH(RAB!C46,'HARGA SATUAN'!$C$7:$C$1492,0),0))</f>
        <v>50100</v>
      </c>
      <c r="H46" s="361">
        <f t="shared" ca="1" si="24"/>
        <v>0</v>
      </c>
      <c r="I46" s="361">
        <f t="shared" ca="1" si="25"/>
        <v>0</v>
      </c>
      <c r="J46" s="361">
        <f t="shared" ca="1" si="26"/>
        <v>100200</v>
      </c>
      <c r="K46" s="362">
        <f t="shared" ca="1" si="27"/>
        <v>100200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9"/>
      <c r="C47" s="520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4"/>
        <v>0</v>
      </c>
      <c r="I47" s="361">
        <f t="shared" ca="1" si="25"/>
        <v>0</v>
      </c>
      <c r="J47" s="361">
        <f t="shared" ca="1" si="26"/>
        <v>0</v>
      </c>
      <c r="K47" s="362">
        <f t="shared" ca="1" si="27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9">
        <v>1</v>
      </c>
      <c r="C48" s="109" t="s">
        <v>66</v>
      </c>
      <c r="D48" s="358" t="str">
        <f ca="1">IF(ISERROR(OFFSET('HARGA SATUAN'!$D$6,MATCH(RAB!C48,'HARGA SATUAN'!$C$7:$C$1492,0),0)),"",OFFSET('HARGA SATUAN'!$D$6,MATCH(RAB!C48,'HARGA SATUAN'!$C$7:$C$1492,0),0))</f>
        <v>MDU-KD</v>
      </c>
      <c r="E48" s="359" t="str">
        <f ca="1">IF(B48="+","Unit",IF(ISERROR(OFFSET('HARGA SATUAN'!$E$6,MATCH(RAB!C48,'HARGA SATUAN'!$C$7:$C$1492,0),0)),"",OFFSET('HARGA SATUAN'!$E$6,MATCH(RAB!C48,'HARGA SATUAN'!$C$7:$C$1492,0),0)))</f>
        <v>Mtr</v>
      </c>
      <c r="F48" s="368">
        <v>480</v>
      </c>
      <c r="G48" s="360">
        <f ca="1">IF(ISERROR(OFFSET('HARGA SATUAN'!$I$6,MATCH(RAB!C48,'HARGA SATUAN'!$C$7:$C$1492,0),0)),0,OFFSET('HARGA SATUAN'!$I$6,MATCH(RAB!C48,'HARGA SATUAN'!$C$7:$C$1492,0),0))</f>
        <v>25300</v>
      </c>
      <c r="H48" s="361">
        <f t="shared" ref="H48:H60" ca="1" si="28">IF(OR(D48="MDU",D48="MDU-KD"),(IF($O$3="RAB NON MDU","PLN KD",G48*F48)),0)</f>
        <v>12144000</v>
      </c>
      <c r="I48" s="361">
        <f t="shared" ref="I48:I60" ca="1" si="29">IF(D48="HDW",G48*F48,0)</f>
        <v>0</v>
      </c>
      <c r="J48" s="361">
        <f t="shared" ref="J48:J60" ca="1" si="30">IF(D48="JASA",G48*F48,0)</f>
        <v>0</v>
      </c>
      <c r="K48" s="362">
        <f t="shared" ref="K48:K60" ca="1" si="31">SUM(H48:J48)</f>
        <v>12144000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9">
        <v>2</v>
      </c>
      <c r="C49" s="109" t="s">
        <v>314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Per 50 m</v>
      </c>
      <c r="F49" s="368">
        <f>F48/100</f>
        <v>4.8</v>
      </c>
      <c r="G49" s="360">
        <f ca="1">IF(ISERROR(OFFSET('HARGA SATUAN'!$I$6,MATCH(RAB!C49,'HARGA SATUAN'!$C$7:$C$1492,0),0)),0,OFFSET('HARGA SATUAN'!$I$6,MATCH(RAB!C49,'HARGA SATUAN'!$C$7:$C$1492,0),0))</f>
        <v>243400</v>
      </c>
      <c r="H49" s="361">
        <f t="shared" ca="1" si="28"/>
        <v>0</v>
      </c>
      <c r="I49" s="361">
        <f t="shared" ca="1" si="29"/>
        <v>0</v>
      </c>
      <c r="J49" s="361">
        <f t="shared" ca="1" si="30"/>
        <v>1168320</v>
      </c>
      <c r="K49" s="362">
        <f t="shared" ca="1" si="31"/>
        <v>1168320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9"/>
      <c r="C50" s="109"/>
      <c r="D50" s="358"/>
      <c r="E50" s="359"/>
      <c r="F50" s="368"/>
      <c r="G50" s="360"/>
      <c r="H50" s="361"/>
      <c r="I50" s="361"/>
      <c r="J50" s="361"/>
      <c r="K50" s="362"/>
      <c r="L50" s="342"/>
      <c r="M50" s="342"/>
      <c r="N50" s="369"/>
      <c r="O50" s="344"/>
      <c r="P50" s="397"/>
      <c r="Q50" s="344"/>
    </row>
    <row r="51" spans="1:17" s="365" customFormat="1">
      <c r="A51" s="336"/>
      <c r="B51" s="519"/>
      <c r="C51" s="520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368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9"/>
      <c r="C52" s="514" t="s">
        <v>1640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68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28"/>
        <v>0</v>
      </c>
      <c r="I52" s="361">
        <f t="shared" ca="1" si="29"/>
        <v>0</v>
      </c>
      <c r="J52" s="361">
        <f t="shared" ca="1" si="30"/>
        <v>0</v>
      </c>
      <c r="K52" s="362">
        <f t="shared" ca="1" si="31"/>
        <v>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9"/>
      <c r="C53" s="728"/>
      <c r="D53" s="358"/>
      <c r="E53" s="359"/>
      <c r="F53" s="368"/>
      <c r="G53" s="360"/>
      <c r="H53" s="361"/>
      <c r="I53" s="361"/>
      <c r="J53" s="361"/>
      <c r="K53" s="362"/>
      <c r="L53" s="342"/>
      <c r="M53" s="342"/>
      <c r="N53" s="369"/>
      <c r="O53" s="344"/>
      <c r="P53" s="397"/>
      <c r="Q53" s="344"/>
    </row>
    <row r="54" spans="1:17" s="365" customFormat="1">
      <c r="A54" s="336"/>
      <c r="B54" s="528" t="s">
        <v>1035</v>
      </c>
      <c r="C54" s="530" t="s">
        <v>1630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v>4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8"/>
        <v>0</v>
      </c>
      <c r="I54" s="361">
        <f t="shared" ca="1" si="29"/>
        <v>0</v>
      </c>
      <c r="J54" s="361">
        <f t="shared" ca="1" si="30"/>
        <v>0</v>
      </c>
      <c r="K54" s="362">
        <f t="shared" ca="1" si="31"/>
        <v>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28">
        <v>1</v>
      </c>
      <c r="C55" s="530" t="s">
        <v>229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F54*1</f>
        <v>4</v>
      </c>
      <c r="G55" s="360">
        <f ca="1">IF(ISERROR(OFFSET('HARGA SATUAN'!$I$6,MATCH(RAB!C55,'HARGA SATUAN'!$C$7:$C$1492,0),0)),0,OFFSET('HARGA SATUAN'!$I$6,MATCH(RAB!C55,'HARGA SATUAN'!$C$7:$C$1492,0),0))</f>
        <v>4212</v>
      </c>
      <c r="H55" s="361">
        <f t="shared" ca="1" si="28"/>
        <v>0</v>
      </c>
      <c r="I55" s="361">
        <f t="shared" ca="1" si="29"/>
        <v>16848</v>
      </c>
      <c r="J55" s="361">
        <f t="shared" ca="1" si="30"/>
        <v>0</v>
      </c>
      <c r="K55" s="362">
        <f t="shared" ca="1" si="31"/>
        <v>16848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28">
        <v>2</v>
      </c>
      <c r="C56" s="530" t="s">
        <v>266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501">
        <f>F54*1</f>
        <v>4</v>
      </c>
      <c r="G56" s="360">
        <f ca="1">IF(ISERROR(OFFSET('HARGA SATUAN'!$I$6,MATCH(RAB!C56,'HARGA SATUAN'!$C$7:$C$1492,0),0)),0,OFFSET('HARGA SATUAN'!$I$6,MATCH(RAB!C56,'HARGA SATUAN'!$C$7:$C$1492,0),0))</f>
        <v>23310</v>
      </c>
      <c r="H56" s="361">
        <f t="shared" ca="1" si="28"/>
        <v>0</v>
      </c>
      <c r="I56" s="361">
        <f t="shared" ca="1" si="29"/>
        <v>93240</v>
      </c>
      <c r="J56" s="361">
        <f t="shared" ca="1" si="30"/>
        <v>0</v>
      </c>
      <c r="K56" s="362">
        <f t="shared" ca="1" si="31"/>
        <v>93240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28">
        <v>3</v>
      </c>
      <c r="C57" s="530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F54*1</f>
        <v>4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28"/>
        <v>0</v>
      </c>
      <c r="I57" s="361">
        <f t="shared" ca="1" si="29"/>
        <v>9200</v>
      </c>
      <c r="J57" s="361">
        <f t="shared" ca="1" si="30"/>
        <v>0</v>
      </c>
      <c r="K57" s="362">
        <f t="shared" ca="1" si="31"/>
        <v>9200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28">
        <v>4</v>
      </c>
      <c r="C58" s="530" t="s">
        <v>609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F54*1</f>
        <v>4</v>
      </c>
      <c r="G58" s="360">
        <f ca="1">IF(ISERROR(OFFSET('HARGA SATUAN'!$I$6,MATCH(RAB!C58,'HARGA SATUAN'!$C$7:$C$1492,0),0)),0,OFFSET('HARGA SATUAN'!$I$6,MATCH(RAB!C58,'HARGA SATUAN'!$C$7:$C$1492,0),0))</f>
        <v>71000</v>
      </c>
      <c r="H58" s="361">
        <f t="shared" ca="1" si="28"/>
        <v>0</v>
      </c>
      <c r="I58" s="361">
        <f t="shared" ca="1" si="29"/>
        <v>284000</v>
      </c>
      <c r="J58" s="361">
        <f t="shared" ca="1" si="30"/>
        <v>0</v>
      </c>
      <c r="K58" s="362">
        <f t="shared" ca="1" si="31"/>
        <v>284000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28">
        <v>5</v>
      </c>
      <c r="C59" s="530" t="s">
        <v>629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1">
        <f>F54*1</f>
        <v>4</v>
      </c>
      <c r="G59" s="360">
        <f ca="1">IF(ISERROR(OFFSET('HARGA SATUAN'!$I$6,MATCH(RAB!C59,'HARGA SATUAN'!$C$7:$C$1492,0),0)),0,OFFSET('HARGA SATUAN'!$I$6,MATCH(RAB!C59,'HARGA SATUAN'!$C$7:$C$1492,0),0))</f>
        <v>29400</v>
      </c>
      <c r="H59" s="361">
        <f t="shared" ca="1" si="28"/>
        <v>0</v>
      </c>
      <c r="I59" s="361">
        <f t="shared" ca="1" si="29"/>
        <v>0</v>
      </c>
      <c r="J59" s="361">
        <f t="shared" ca="1" si="30"/>
        <v>117600</v>
      </c>
      <c r="K59" s="362">
        <f t="shared" ca="1" si="31"/>
        <v>117600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9"/>
      <c r="C60" s="520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8"/>
        <v>0</v>
      </c>
      <c r="I60" s="361">
        <f t="shared" ca="1" si="29"/>
        <v>0</v>
      </c>
      <c r="J60" s="361">
        <f t="shared" ca="1" si="30"/>
        <v>0</v>
      </c>
      <c r="K60" s="362">
        <f t="shared" ca="1" si="31"/>
        <v>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9" t="s">
        <v>1035</v>
      </c>
      <c r="C61" s="520" t="s">
        <v>1622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66" ca="1" si="32">IF(OR(D61="MDU",D61="MDU-KD"),(IF($O$3="RAB NON MDU","PLN KD",G61*F61)),0)</f>
        <v>0</v>
      </c>
      <c r="I61" s="361">
        <f t="shared" ref="I61:I66" ca="1" si="33">IF(D61="HDW",G61*F61,0)</f>
        <v>0</v>
      </c>
      <c r="J61" s="361">
        <f t="shared" ref="J61:J66" ca="1" si="34">IF(D61="JASA",G61*F61,0)</f>
        <v>0</v>
      </c>
      <c r="K61" s="362">
        <f t="shared" ref="K61:K66" ca="1" si="35">SUM(H61:J61)</f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9">
        <v>1</v>
      </c>
      <c r="C62" s="520" t="s">
        <v>595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F61*1</f>
        <v>1</v>
      </c>
      <c r="G62" s="360">
        <f ca="1">IF(ISERROR(OFFSET('HARGA SATUAN'!$I$6,MATCH(RAB!C62,'HARGA SATUAN'!$C$7:$C$1492,0),0)),0,OFFSET('HARGA SATUAN'!$I$6,MATCH(RAB!C62,'HARGA SATUAN'!$C$7:$C$1492,0),0))</f>
        <v>78500</v>
      </c>
      <c r="H62" s="361">
        <f t="shared" ca="1" si="32"/>
        <v>0</v>
      </c>
      <c r="I62" s="361">
        <f t="shared" ca="1" si="33"/>
        <v>78500</v>
      </c>
      <c r="J62" s="361">
        <f t="shared" ca="1" si="34"/>
        <v>0</v>
      </c>
      <c r="K62" s="362">
        <f t="shared" ca="1" si="35"/>
        <v>78500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9">
        <v>2</v>
      </c>
      <c r="C63" s="520" t="s">
        <v>229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F61*1</f>
        <v>1</v>
      </c>
      <c r="G63" s="360">
        <f ca="1">IF(ISERROR(OFFSET('HARGA SATUAN'!$I$6,MATCH(RAB!C63,'HARGA SATUAN'!$C$7:$C$1492,0),0)),0,OFFSET('HARGA SATUAN'!$I$6,MATCH(RAB!C63,'HARGA SATUAN'!$C$7:$C$1492,0),0))</f>
        <v>4212</v>
      </c>
      <c r="H63" s="361">
        <f t="shared" ca="1" si="32"/>
        <v>0</v>
      </c>
      <c r="I63" s="361">
        <f t="shared" ca="1" si="33"/>
        <v>4212</v>
      </c>
      <c r="J63" s="361">
        <f t="shared" ca="1" si="34"/>
        <v>0</v>
      </c>
      <c r="K63" s="362">
        <f t="shared" ca="1" si="35"/>
        <v>4212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9">
        <v>3</v>
      </c>
      <c r="C64" s="520" t="s">
        <v>266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F61*1</f>
        <v>1</v>
      </c>
      <c r="G64" s="360">
        <f ca="1">IF(ISERROR(OFFSET('HARGA SATUAN'!$I$6,MATCH(RAB!C64,'HARGA SATUAN'!$C$7:$C$1492,0),0)),0,OFFSET('HARGA SATUAN'!$I$6,MATCH(RAB!C64,'HARGA SATUAN'!$C$7:$C$1492,0),0))</f>
        <v>23310</v>
      </c>
      <c r="H64" s="361">
        <f t="shared" ca="1" si="32"/>
        <v>0</v>
      </c>
      <c r="I64" s="361">
        <f t="shared" ca="1" si="33"/>
        <v>23310</v>
      </c>
      <c r="J64" s="361">
        <f t="shared" ca="1" si="34"/>
        <v>0</v>
      </c>
      <c r="K64" s="362">
        <f t="shared" ca="1" si="35"/>
        <v>23310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9">
        <v>4</v>
      </c>
      <c r="C65" s="520" t="s">
        <v>35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F61*1</f>
        <v>1</v>
      </c>
      <c r="G65" s="360">
        <f ca="1">IF(ISERROR(OFFSET('HARGA SATUAN'!$I$6,MATCH(RAB!C65,'HARGA SATUAN'!$C$7:$C$1492,0),0)),0,OFFSET('HARGA SATUAN'!$I$6,MATCH(RAB!C65,'HARGA SATUAN'!$C$7:$C$1492,0),0))</f>
        <v>2300</v>
      </c>
      <c r="H65" s="361">
        <f t="shared" ca="1" si="32"/>
        <v>0</v>
      </c>
      <c r="I65" s="361">
        <f t="shared" ca="1" si="33"/>
        <v>2300</v>
      </c>
      <c r="J65" s="361">
        <f t="shared" ca="1" si="34"/>
        <v>0</v>
      </c>
      <c r="K65" s="362">
        <f t="shared" ca="1" si="35"/>
        <v>2300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9">
        <v>5</v>
      </c>
      <c r="C66" s="520" t="s">
        <v>630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F61*1</f>
        <v>1</v>
      </c>
      <c r="G66" s="360">
        <f ca="1">IF(ISERROR(OFFSET('HARGA SATUAN'!$I$6,MATCH(RAB!C66,'HARGA SATUAN'!$C$7:$C$1492,0),0)),0,OFFSET('HARGA SATUAN'!$I$6,MATCH(RAB!C66,'HARGA SATUAN'!$C$7:$C$1492,0),0))</f>
        <v>35700</v>
      </c>
      <c r="H66" s="361">
        <f t="shared" ca="1" si="32"/>
        <v>0</v>
      </c>
      <c r="I66" s="361">
        <f t="shared" ca="1" si="33"/>
        <v>0</v>
      </c>
      <c r="J66" s="361">
        <f t="shared" ca="1" si="34"/>
        <v>35700</v>
      </c>
      <c r="K66" s="362">
        <f t="shared" ca="1" si="35"/>
        <v>35700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9"/>
      <c r="C67" s="520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73" ca="1" si="36">IF(OR(D67="MDU",D67="MDU-KD"),(IF($O$3="RAB NON MDU","PLN KD",G67*F67)),0)</f>
        <v>0</v>
      </c>
      <c r="I67" s="361">
        <f t="shared" ref="I67:I73" ca="1" si="37">IF(D67="HDW",G67*F67,0)</f>
        <v>0</v>
      </c>
      <c r="J67" s="361">
        <f t="shared" ref="J67:J73" ca="1" si="38">IF(D67="JASA",G67*F67,0)</f>
        <v>0</v>
      </c>
      <c r="K67" s="362">
        <f t="shared" ref="K67:K73" ca="1" si="39">SUM(H67:J67)</f>
        <v>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19">
        <v>1</v>
      </c>
      <c r="C68" s="109" t="s">
        <v>428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Btg</v>
      </c>
      <c r="F68" s="501">
        <v>5</v>
      </c>
      <c r="G68" s="360">
        <f ca="1">IF(ISERROR(OFFSET('HARGA SATUAN'!$I$6,MATCH(RAB!C68,'HARGA SATUAN'!$C$7:$C$1492,0),0)),0,OFFSET('HARGA SATUAN'!$I$6,MATCH(RAB!C68,'HARGA SATUAN'!$C$7:$C$1492,0),0))</f>
        <v>220260.49029487889</v>
      </c>
      <c r="H68" s="361">
        <f t="shared" ca="1" si="36"/>
        <v>0</v>
      </c>
      <c r="I68" s="361">
        <f t="shared" ca="1" si="37"/>
        <v>0</v>
      </c>
      <c r="J68" s="361">
        <f t="shared" ca="1" si="38"/>
        <v>1101302.4514743944</v>
      </c>
      <c r="K68" s="362">
        <f t="shared" ca="1" si="39"/>
        <v>1101302.4514743944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9">
        <v>2</v>
      </c>
      <c r="C69" s="530" t="s">
        <v>629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1">
        <v>4</v>
      </c>
      <c r="G69" s="360">
        <f ca="1">IF(ISERROR(OFFSET('HARGA SATUAN'!$I$6,MATCH(RAB!C69,'HARGA SATUAN'!$C$7:$C$1492,0),0)),0,OFFSET('HARGA SATUAN'!$I$6,MATCH(RAB!C69,'HARGA SATUAN'!$C$7:$C$1492,0),0))</f>
        <v>29400</v>
      </c>
      <c r="H69" s="361">
        <f t="shared" ca="1" si="36"/>
        <v>0</v>
      </c>
      <c r="I69" s="361">
        <f t="shared" ca="1" si="37"/>
        <v>0</v>
      </c>
      <c r="J69" s="361">
        <f t="shared" ca="1" si="38"/>
        <v>117600</v>
      </c>
      <c r="K69" s="362">
        <f t="shared" ca="1" si="39"/>
        <v>117600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9">
        <v>3</v>
      </c>
      <c r="C70" s="520" t="s">
        <v>630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01">
        <v>1</v>
      </c>
      <c r="G70" s="360">
        <f ca="1">IF(ISERROR(OFFSET('HARGA SATUAN'!$I$6,MATCH(RAB!C70,'HARGA SATUAN'!$C$7:$C$1492,0),0)),0,OFFSET('HARGA SATUAN'!$I$6,MATCH(RAB!C70,'HARGA SATUAN'!$C$7:$C$1492,0),0))</f>
        <v>35700</v>
      </c>
      <c r="H70" s="361">
        <f t="shared" ca="1" si="36"/>
        <v>0</v>
      </c>
      <c r="I70" s="361">
        <f t="shared" ca="1" si="37"/>
        <v>0</v>
      </c>
      <c r="J70" s="361">
        <f t="shared" ca="1" si="38"/>
        <v>35700</v>
      </c>
      <c r="K70" s="362">
        <f t="shared" ca="1" si="39"/>
        <v>35700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9"/>
      <c r="C71" s="520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36"/>
        <v>0</v>
      </c>
      <c r="I71" s="361">
        <f t="shared" ca="1" si="37"/>
        <v>0</v>
      </c>
      <c r="J71" s="361">
        <f t="shared" ca="1" si="38"/>
        <v>0</v>
      </c>
      <c r="K71" s="362">
        <f t="shared" ca="1" si="39"/>
        <v>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9"/>
      <c r="C72" s="514" t="s">
        <v>1641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1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36"/>
        <v>0</v>
      </c>
      <c r="I72" s="361">
        <f t="shared" ca="1" si="37"/>
        <v>0</v>
      </c>
      <c r="J72" s="361">
        <f t="shared" ca="1" si="38"/>
        <v>0</v>
      </c>
      <c r="K72" s="362">
        <f t="shared" ca="1" si="39"/>
        <v>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9"/>
      <c r="C73" s="520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1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36"/>
        <v>0</v>
      </c>
      <c r="I73" s="361">
        <f t="shared" ca="1" si="37"/>
        <v>0</v>
      </c>
      <c r="J73" s="361">
        <f t="shared" ca="1" si="38"/>
        <v>0</v>
      </c>
      <c r="K73" s="362">
        <f t="shared" ca="1" si="39"/>
        <v>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729" t="s">
        <v>1035</v>
      </c>
      <c r="C74" s="730" t="s">
        <v>1642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ref="H74:H95" ca="1" si="40">IF(OR(D74="MDU",D74="MDU-KD"),(IF($O$3="RAB NON MDU","PLN KD",G74*F74)),0)</f>
        <v>0</v>
      </c>
      <c r="I74" s="361">
        <f t="shared" ref="I74:I95" ca="1" si="41">IF(D74="HDW",G74*F74,0)</f>
        <v>0</v>
      </c>
      <c r="J74" s="361">
        <f t="shared" ref="J74:J95" ca="1" si="42">IF(D74="JASA",G74*F74,0)</f>
        <v>0</v>
      </c>
      <c r="K74" s="362">
        <f t="shared" ref="K74:K95" ca="1" si="43">SUM(H74:J74)</f>
        <v>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729">
        <v>1</v>
      </c>
      <c r="C75" s="730" t="s">
        <v>216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F74*1</f>
        <v>1</v>
      </c>
      <c r="G75" s="360">
        <f ca="1">IF(ISERROR(OFFSET('HARGA SATUAN'!$I$6,MATCH(RAB!C75,'HARGA SATUAN'!$C$7:$C$1492,0),0)),0,OFFSET('HARGA SATUAN'!$I$6,MATCH(RAB!C75,'HARGA SATUAN'!$C$7:$C$1492,0),0))</f>
        <v>116800</v>
      </c>
      <c r="H75" s="361">
        <f t="shared" ca="1" si="40"/>
        <v>0</v>
      </c>
      <c r="I75" s="361">
        <f t="shared" ca="1" si="41"/>
        <v>116800</v>
      </c>
      <c r="J75" s="361">
        <f t="shared" ca="1" si="42"/>
        <v>0</v>
      </c>
      <c r="K75" s="362">
        <f t="shared" ca="1" si="43"/>
        <v>116800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729">
        <v>2</v>
      </c>
      <c r="C76" s="730" t="s">
        <v>229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F74*1</f>
        <v>1</v>
      </c>
      <c r="G76" s="360">
        <f ca="1">IF(ISERROR(OFFSET('HARGA SATUAN'!$I$6,MATCH(RAB!C76,'HARGA SATUAN'!$C$7:$C$1492,0),0)),0,OFFSET('HARGA SATUAN'!$I$6,MATCH(RAB!C76,'HARGA SATUAN'!$C$7:$C$1492,0),0))</f>
        <v>4212</v>
      </c>
      <c r="H76" s="361">
        <f t="shared" ca="1" si="40"/>
        <v>0</v>
      </c>
      <c r="I76" s="361">
        <f t="shared" ca="1" si="41"/>
        <v>4212</v>
      </c>
      <c r="J76" s="361">
        <f t="shared" ca="1" si="42"/>
        <v>0</v>
      </c>
      <c r="K76" s="362">
        <f t="shared" ca="1" si="43"/>
        <v>4212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729">
        <v>3</v>
      </c>
      <c r="C77" s="730" t="s">
        <v>266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1">
        <f>F74*1</f>
        <v>1</v>
      </c>
      <c r="G77" s="360">
        <f ca="1">IF(ISERROR(OFFSET('HARGA SATUAN'!$I$6,MATCH(RAB!C77,'HARGA SATUAN'!$C$7:$C$1492,0),0)),0,OFFSET('HARGA SATUAN'!$I$6,MATCH(RAB!C77,'HARGA SATUAN'!$C$7:$C$1492,0),0))</f>
        <v>23310</v>
      </c>
      <c r="H77" s="361">
        <f t="shared" ca="1" si="40"/>
        <v>0</v>
      </c>
      <c r="I77" s="361">
        <f t="shared" ca="1" si="41"/>
        <v>23310</v>
      </c>
      <c r="J77" s="361">
        <f t="shared" ca="1" si="42"/>
        <v>0</v>
      </c>
      <c r="K77" s="362">
        <f t="shared" ca="1" si="43"/>
        <v>23310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729">
        <v>4</v>
      </c>
      <c r="C78" s="730" t="s">
        <v>35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F74*1</f>
        <v>1</v>
      </c>
      <c r="G78" s="360">
        <f ca="1">IF(ISERROR(OFFSET('HARGA SATUAN'!$I$6,MATCH(RAB!C78,'HARGA SATUAN'!$C$7:$C$1492,0),0)),0,OFFSET('HARGA SATUAN'!$I$6,MATCH(RAB!C78,'HARGA SATUAN'!$C$7:$C$1492,0),0))</f>
        <v>2300</v>
      </c>
      <c r="H78" s="361">
        <f t="shared" ca="1" si="40"/>
        <v>0</v>
      </c>
      <c r="I78" s="361">
        <f t="shared" ca="1" si="41"/>
        <v>2300</v>
      </c>
      <c r="J78" s="361">
        <f t="shared" ca="1" si="42"/>
        <v>0</v>
      </c>
      <c r="K78" s="362">
        <f t="shared" ca="1" si="43"/>
        <v>2300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729">
        <v>5</v>
      </c>
      <c r="C79" s="730" t="s">
        <v>631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f>F74*1</f>
        <v>1</v>
      </c>
      <c r="G79" s="360">
        <f ca="1">IF(ISERROR(OFFSET('HARGA SATUAN'!$I$6,MATCH(RAB!C79,'HARGA SATUAN'!$C$7:$C$1492,0),0)),0,OFFSET('HARGA SATUAN'!$I$6,MATCH(RAB!C79,'HARGA SATUAN'!$C$7:$C$1492,0),0))</f>
        <v>30700</v>
      </c>
      <c r="H79" s="361">
        <f t="shared" ca="1" si="40"/>
        <v>0</v>
      </c>
      <c r="I79" s="361">
        <f t="shared" ca="1" si="41"/>
        <v>0</v>
      </c>
      <c r="J79" s="361">
        <f t="shared" ca="1" si="42"/>
        <v>30700</v>
      </c>
      <c r="K79" s="362">
        <f t="shared" ca="1" si="43"/>
        <v>30700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519"/>
      <c r="C80" s="520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0"/>
        <v>0</v>
      </c>
      <c r="I80" s="361">
        <f t="shared" ca="1" si="41"/>
        <v>0</v>
      </c>
      <c r="J80" s="361">
        <f t="shared" ca="1" si="42"/>
        <v>0</v>
      </c>
      <c r="K80" s="362">
        <f t="shared" ca="1" si="43"/>
        <v>0</v>
      </c>
      <c r="L80" s="342"/>
      <c r="M80" s="342"/>
      <c r="N80" s="369"/>
      <c r="O80" s="344"/>
      <c r="P80" s="397"/>
      <c r="Q80" s="344"/>
    </row>
    <row r="81" spans="1:17" s="365" customFormat="1">
      <c r="A81" s="336"/>
      <c r="B81" s="528" t="s">
        <v>1035</v>
      </c>
      <c r="C81" s="530" t="s">
        <v>1635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01"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40"/>
        <v>0</v>
      </c>
      <c r="I81" s="361">
        <f t="shared" ca="1" si="41"/>
        <v>0</v>
      </c>
      <c r="J81" s="361">
        <f t="shared" ca="1" si="42"/>
        <v>0</v>
      </c>
      <c r="K81" s="362">
        <f t="shared" ca="1" si="43"/>
        <v>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528">
        <v>1</v>
      </c>
      <c r="C82" s="530" t="s">
        <v>598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1">
        <f>F81*1</f>
        <v>1</v>
      </c>
      <c r="G82" s="360">
        <f ca="1">IF(ISERROR(OFFSET('HARGA SATUAN'!$I$6,MATCH(RAB!C82,'HARGA SATUAN'!$C$7:$C$1492,0),0)),0,OFFSET('HARGA SATUAN'!$I$6,MATCH(RAB!C82,'HARGA SATUAN'!$C$7:$C$1492,0),0))</f>
        <v>3965</v>
      </c>
      <c r="H82" s="361">
        <f t="shared" ca="1" si="40"/>
        <v>0</v>
      </c>
      <c r="I82" s="361">
        <f t="shared" ca="1" si="41"/>
        <v>3965</v>
      </c>
      <c r="J82" s="361">
        <f t="shared" ca="1" si="42"/>
        <v>0</v>
      </c>
      <c r="K82" s="362">
        <f t="shared" ca="1" si="43"/>
        <v>3965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528">
        <v>2</v>
      </c>
      <c r="C83" s="530" t="s">
        <v>474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F81*1</f>
        <v>1</v>
      </c>
      <c r="G83" s="360">
        <f ca="1">IF(ISERROR(OFFSET('HARGA SATUAN'!$I$6,MATCH(RAB!C83,'HARGA SATUAN'!$C$7:$C$1492,0),0)),0,OFFSET('HARGA SATUAN'!$I$6,MATCH(RAB!C83,'HARGA SATUAN'!$C$7:$C$1492,0),0))</f>
        <v>3711.24</v>
      </c>
      <c r="H83" s="361">
        <f t="shared" ca="1" si="40"/>
        <v>0</v>
      </c>
      <c r="I83" s="361">
        <f t="shared" ca="1" si="41"/>
        <v>3711.24</v>
      </c>
      <c r="J83" s="361">
        <f t="shared" ca="1" si="42"/>
        <v>0</v>
      </c>
      <c r="K83" s="362">
        <f t="shared" ca="1" si="43"/>
        <v>3711.24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528">
        <v>3</v>
      </c>
      <c r="C84" s="530" t="s">
        <v>266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Mtr</v>
      </c>
      <c r="F84" s="501">
        <f>F81*1</f>
        <v>1</v>
      </c>
      <c r="G84" s="360">
        <f ca="1">IF(ISERROR(OFFSET('HARGA SATUAN'!$I$6,MATCH(RAB!C84,'HARGA SATUAN'!$C$7:$C$1492,0),0)),0,OFFSET('HARGA SATUAN'!$I$6,MATCH(RAB!C84,'HARGA SATUAN'!$C$7:$C$1492,0),0))</f>
        <v>23310</v>
      </c>
      <c r="H84" s="361">
        <f t="shared" ca="1" si="40"/>
        <v>0</v>
      </c>
      <c r="I84" s="361">
        <f t="shared" ca="1" si="41"/>
        <v>23310</v>
      </c>
      <c r="J84" s="361">
        <f t="shared" ca="1" si="42"/>
        <v>0</v>
      </c>
      <c r="K84" s="362">
        <f t="shared" ca="1" si="43"/>
        <v>23310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528">
        <v>4</v>
      </c>
      <c r="C85" s="530" t="s">
        <v>35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F81*1</f>
        <v>1</v>
      </c>
      <c r="G85" s="360">
        <f ca="1">IF(ISERROR(OFFSET('HARGA SATUAN'!$I$6,MATCH(RAB!C85,'HARGA SATUAN'!$C$7:$C$1492,0),0)),0,OFFSET('HARGA SATUAN'!$I$6,MATCH(RAB!C85,'HARGA SATUAN'!$C$7:$C$1492,0),0))</f>
        <v>2300</v>
      </c>
      <c r="H85" s="361">
        <f t="shared" ca="1" si="40"/>
        <v>0</v>
      </c>
      <c r="I85" s="361">
        <f t="shared" ca="1" si="41"/>
        <v>2300</v>
      </c>
      <c r="J85" s="361">
        <f t="shared" ca="1" si="42"/>
        <v>0</v>
      </c>
      <c r="K85" s="362">
        <f t="shared" ca="1" si="43"/>
        <v>2300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528">
        <v>5</v>
      </c>
      <c r="C86" s="530" t="s">
        <v>632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1">
        <f>F81*1</f>
        <v>1</v>
      </c>
      <c r="G86" s="360">
        <f ca="1">IF(ISERROR(OFFSET('HARGA SATUAN'!$I$6,MATCH(RAB!C86,'HARGA SATUAN'!$C$7:$C$1492,0),0)),0,OFFSET('HARGA SATUAN'!$I$6,MATCH(RAB!C86,'HARGA SATUAN'!$C$7:$C$1492,0),0))</f>
        <v>22700</v>
      </c>
      <c r="H86" s="361">
        <f t="shared" ca="1" si="40"/>
        <v>0</v>
      </c>
      <c r="I86" s="361">
        <f t="shared" ca="1" si="41"/>
        <v>0</v>
      </c>
      <c r="J86" s="361">
        <f t="shared" ca="1" si="42"/>
        <v>22700</v>
      </c>
      <c r="K86" s="362">
        <f t="shared" ca="1" si="43"/>
        <v>22700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519"/>
      <c r="C87" s="520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40"/>
        <v>0</v>
      </c>
      <c r="I87" s="361">
        <f t="shared" ca="1" si="41"/>
        <v>0</v>
      </c>
      <c r="J87" s="361">
        <f t="shared" ca="1" si="42"/>
        <v>0</v>
      </c>
      <c r="K87" s="362">
        <f t="shared" ca="1" si="43"/>
        <v>0</v>
      </c>
      <c r="L87" s="342"/>
      <c r="M87" s="342"/>
      <c r="N87" s="369"/>
      <c r="O87" s="344"/>
      <c r="P87" s="397"/>
      <c r="Q87" s="344"/>
    </row>
    <row r="88" spans="1:17" s="365" customFormat="1">
      <c r="A88" s="336"/>
      <c r="B88" s="519" t="s">
        <v>1035</v>
      </c>
      <c r="C88" s="520" t="s">
        <v>1622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1">
        <v>4</v>
      </c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40"/>
        <v>0</v>
      </c>
      <c r="I88" s="361">
        <f t="shared" ca="1" si="41"/>
        <v>0</v>
      </c>
      <c r="J88" s="361">
        <f t="shared" ca="1" si="42"/>
        <v>0</v>
      </c>
      <c r="K88" s="362">
        <f t="shared" ca="1" si="43"/>
        <v>0</v>
      </c>
      <c r="L88" s="342"/>
      <c r="M88" s="342"/>
      <c r="N88" s="369"/>
      <c r="O88" s="344"/>
      <c r="P88" s="397"/>
      <c r="Q88" s="344"/>
    </row>
    <row r="89" spans="1:17" s="365" customFormat="1">
      <c r="A89" s="336"/>
      <c r="B89" s="519">
        <v>1</v>
      </c>
      <c r="C89" s="520" t="s">
        <v>595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1">
        <f>F88*1</f>
        <v>4</v>
      </c>
      <c r="G89" s="360">
        <f ca="1">IF(ISERROR(OFFSET('HARGA SATUAN'!$I$6,MATCH(RAB!C89,'HARGA SATUAN'!$C$7:$C$1492,0),0)),0,OFFSET('HARGA SATUAN'!$I$6,MATCH(RAB!C89,'HARGA SATUAN'!$C$7:$C$1492,0),0))</f>
        <v>78500</v>
      </c>
      <c r="H89" s="361">
        <f t="shared" ca="1" si="40"/>
        <v>0</v>
      </c>
      <c r="I89" s="361">
        <f t="shared" ca="1" si="41"/>
        <v>314000</v>
      </c>
      <c r="J89" s="361">
        <f t="shared" ca="1" si="42"/>
        <v>0</v>
      </c>
      <c r="K89" s="362">
        <f t="shared" ca="1" si="43"/>
        <v>314000</v>
      </c>
      <c r="L89" s="342"/>
      <c r="M89" s="342"/>
      <c r="N89" s="369"/>
      <c r="O89" s="344"/>
      <c r="P89" s="397"/>
      <c r="Q89" s="344"/>
    </row>
    <row r="90" spans="1:17" s="365" customFormat="1">
      <c r="A90" s="336"/>
      <c r="B90" s="519">
        <v>2</v>
      </c>
      <c r="C90" s="520" t="s">
        <v>229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1">
        <f>F88*1</f>
        <v>4</v>
      </c>
      <c r="G90" s="360">
        <f ca="1">IF(ISERROR(OFFSET('HARGA SATUAN'!$I$6,MATCH(RAB!C90,'HARGA SATUAN'!$C$7:$C$1492,0),0)),0,OFFSET('HARGA SATUAN'!$I$6,MATCH(RAB!C90,'HARGA SATUAN'!$C$7:$C$1492,0),0))</f>
        <v>4212</v>
      </c>
      <c r="H90" s="361">
        <f t="shared" ca="1" si="40"/>
        <v>0</v>
      </c>
      <c r="I90" s="361">
        <f t="shared" ca="1" si="41"/>
        <v>16848</v>
      </c>
      <c r="J90" s="361">
        <f t="shared" ca="1" si="42"/>
        <v>0</v>
      </c>
      <c r="K90" s="362">
        <f t="shared" ca="1" si="43"/>
        <v>16848</v>
      </c>
      <c r="L90" s="342"/>
      <c r="M90" s="342"/>
      <c r="N90" s="369"/>
      <c r="O90" s="344"/>
      <c r="P90" s="397"/>
      <c r="Q90" s="344"/>
    </row>
    <row r="91" spans="1:17" s="365" customFormat="1">
      <c r="A91" s="336"/>
      <c r="B91" s="519">
        <v>3</v>
      </c>
      <c r="C91" s="520" t="s">
        <v>266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Mtr</v>
      </c>
      <c r="F91" s="501">
        <f>F88*1</f>
        <v>4</v>
      </c>
      <c r="G91" s="360">
        <f ca="1">IF(ISERROR(OFFSET('HARGA SATUAN'!$I$6,MATCH(RAB!C91,'HARGA SATUAN'!$C$7:$C$1492,0),0)),0,OFFSET('HARGA SATUAN'!$I$6,MATCH(RAB!C91,'HARGA SATUAN'!$C$7:$C$1492,0),0))</f>
        <v>23310</v>
      </c>
      <c r="H91" s="361">
        <f t="shared" ca="1" si="40"/>
        <v>0</v>
      </c>
      <c r="I91" s="361">
        <f t="shared" ca="1" si="41"/>
        <v>93240</v>
      </c>
      <c r="J91" s="361">
        <f t="shared" ca="1" si="42"/>
        <v>0</v>
      </c>
      <c r="K91" s="362">
        <f t="shared" ca="1" si="43"/>
        <v>93240</v>
      </c>
      <c r="L91" s="342"/>
      <c r="M91" s="342"/>
      <c r="N91" s="369"/>
      <c r="O91" s="344"/>
      <c r="P91" s="397"/>
      <c r="Q91" s="344"/>
    </row>
    <row r="92" spans="1:17" s="365" customFormat="1">
      <c r="A92" s="336"/>
      <c r="B92" s="519">
        <v>4</v>
      </c>
      <c r="C92" s="520" t="s">
        <v>35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1">
        <f>F88*1</f>
        <v>4</v>
      </c>
      <c r="G92" s="360">
        <f ca="1">IF(ISERROR(OFFSET('HARGA SATUAN'!$I$6,MATCH(RAB!C92,'HARGA SATUAN'!$C$7:$C$1492,0),0)),0,OFFSET('HARGA SATUAN'!$I$6,MATCH(RAB!C92,'HARGA SATUAN'!$C$7:$C$1492,0),0))</f>
        <v>2300</v>
      </c>
      <c r="H92" s="361">
        <f t="shared" ca="1" si="40"/>
        <v>0</v>
      </c>
      <c r="I92" s="361">
        <f t="shared" ca="1" si="41"/>
        <v>9200</v>
      </c>
      <c r="J92" s="361">
        <f t="shared" ca="1" si="42"/>
        <v>0</v>
      </c>
      <c r="K92" s="362">
        <f t="shared" ca="1" si="43"/>
        <v>9200</v>
      </c>
      <c r="L92" s="342"/>
      <c r="M92" s="342"/>
      <c r="N92" s="369"/>
      <c r="O92" s="344"/>
      <c r="P92" s="397"/>
      <c r="Q92" s="344"/>
    </row>
    <row r="93" spans="1:17" s="365" customFormat="1">
      <c r="A93" s="336"/>
      <c r="B93" s="519">
        <v>5</v>
      </c>
      <c r="C93" s="520" t="s">
        <v>630</v>
      </c>
      <c r="D93" s="358" t="str">
        <f ca="1">IF(ISERROR(OFFSET('HARGA SATUAN'!$D$6,MATCH(RAB!C93,'HARGA SATUAN'!$C$7:$C$1492,0),0)),"",OFFSET('HARGA SATUAN'!$D$6,MATCH(RAB!C93,'HARGA SATUAN'!$C$7:$C$1492,0),0))</f>
        <v>JASA</v>
      </c>
      <c r="E93" s="359" t="str">
        <f ca="1">IF(B93="+","Unit",IF(ISERROR(OFFSET('HARGA SATUAN'!$E$6,MATCH(RAB!C93,'HARGA SATUAN'!$C$7:$C$1492,0),0)),"",OFFSET('HARGA SATUAN'!$E$6,MATCH(RAB!C93,'HARGA SATUAN'!$C$7:$C$1492,0),0)))</f>
        <v>Unit</v>
      </c>
      <c r="F93" s="501">
        <f>F88*1</f>
        <v>4</v>
      </c>
      <c r="G93" s="360">
        <f ca="1">IF(ISERROR(OFFSET('HARGA SATUAN'!$I$6,MATCH(RAB!C93,'HARGA SATUAN'!$C$7:$C$1492,0),0)),0,OFFSET('HARGA SATUAN'!$I$6,MATCH(RAB!C93,'HARGA SATUAN'!$C$7:$C$1492,0),0))</f>
        <v>35700</v>
      </c>
      <c r="H93" s="361">
        <f t="shared" ca="1" si="40"/>
        <v>0</v>
      </c>
      <c r="I93" s="361">
        <f t="shared" ca="1" si="41"/>
        <v>0</v>
      </c>
      <c r="J93" s="361">
        <f t="shared" ca="1" si="42"/>
        <v>142800</v>
      </c>
      <c r="K93" s="362">
        <f t="shared" ca="1" si="43"/>
        <v>142800</v>
      </c>
      <c r="L93" s="342"/>
      <c r="M93" s="342"/>
      <c r="N93" s="369"/>
      <c r="O93" s="344"/>
      <c r="P93" s="397"/>
      <c r="Q93" s="344"/>
    </row>
    <row r="94" spans="1:17" s="365" customFormat="1">
      <c r="A94" s="336"/>
      <c r="B94" s="519"/>
      <c r="C94" s="520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501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40"/>
        <v>0</v>
      </c>
      <c r="I94" s="361">
        <f t="shared" ca="1" si="41"/>
        <v>0</v>
      </c>
      <c r="J94" s="361">
        <f t="shared" ca="1" si="42"/>
        <v>0</v>
      </c>
      <c r="K94" s="362">
        <f t="shared" ca="1" si="43"/>
        <v>0</v>
      </c>
      <c r="L94" s="342"/>
      <c r="M94" s="342"/>
      <c r="N94" s="369"/>
      <c r="O94" s="344"/>
      <c r="P94" s="397"/>
      <c r="Q94" s="344"/>
    </row>
    <row r="95" spans="1:17" s="365" customFormat="1">
      <c r="A95" s="336"/>
      <c r="B95" s="498"/>
      <c r="C95" s="514" t="s">
        <v>1623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1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40"/>
        <v>0</v>
      </c>
      <c r="I95" s="361">
        <f t="shared" ca="1" si="41"/>
        <v>0</v>
      </c>
      <c r="J95" s="361">
        <f t="shared" ca="1" si="42"/>
        <v>0</v>
      </c>
      <c r="K95" s="362">
        <f t="shared" ca="1" si="43"/>
        <v>0</v>
      </c>
      <c r="L95" s="342"/>
      <c r="M95" s="342"/>
      <c r="N95" s="369"/>
      <c r="O95" s="344"/>
      <c r="P95" s="397"/>
      <c r="Q95" s="344"/>
    </row>
    <row r="96" spans="1:17" s="365" customFormat="1">
      <c r="A96" s="336"/>
      <c r="B96" s="498">
        <v>1</v>
      </c>
      <c r="C96" s="109" t="s">
        <v>1403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501">
        <v>120</v>
      </c>
      <c r="G96" s="360">
        <f ca="1">IF(ISERROR(OFFSET('HARGA SATUAN'!$I$6,MATCH(RAB!C96,'HARGA SATUAN'!$C$7:$C$1492,0),0)),0,OFFSET('HARGA SATUAN'!$I$6,MATCH(RAB!C96,'HARGA SATUAN'!$C$7:$C$1492,0),0))</f>
        <v>30400</v>
      </c>
      <c r="H96" s="361">
        <f t="shared" ref="H96:H97" ca="1" si="44">IF(OR(D96="MDU",D96="MDU-KD"),(IF($O$3="RAB NON MDU","PLN KD",G96*F96)),0)</f>
        <v>3648000</v>
      </c>
      <c r="I96" s="361">
        <f t="shared" ref="I96:I97" ca="1" si="45">IF(D96="HDW",G96*F96,0)</f>
        <v>0</v>
      </c>
      <c r="J96" s="361">
        <f t="shared" ref="J96:J97" ca="1" si="46">IF(D96="JASA",G96*F96,0)</f>
        <v>0</v>
      </c>
      <c r="K96" s="362">
        <f t="shared" ref="K96:K97" ca="1" si="47">SUM(H96:J96)</f>
        <v>3648000</v>
      </c>
      <c r="L96" s="342"/>
      <c r="M96" s="342"/>
      <c r="N96" s="369"/>
      <c r="O96" s="344"/>
      <c r="P96" s="397"/>
      <c r="Q96" s="344"/>
    </row>
    <row r="97" spans="1:17" s="365" customFormat="1">
      <c r="A97" s="336"/>
      <c r="B97" s="498">
        <v>2</v>
      </c>
      <c r="C97" s="109" t="s">
        <v>347</v>
      </c>
      <c r="D97" s="511" t="s">
        <v>47</v>
      </c>
      <c r="E97" s="512" t="s">
        <v>297</v>
      </c>
      <c r="F97" s="512">
        <f>F96/50</f>
        <v>2.4</v>
      </c>
      <c r="G97" s="513">
        <v>85000</v>
      </c>
      <c r="H97" s="361">
        <f t="shared" si="44"/>
        <v>0</v>
      </c>
      <c r="I97" s="361">
        <f t="shared" si="45"/>
        <v>0</v>
      </c>
      <c r="J97" s="361">
        <f t="shared" si="46"/>
        <v>204000</v>
      </c>
      <c r="K97" s="362">
        <f t="shared" si="47"/>
        <v>204000</v>
      </c>
      <c r="L97" s="342"/>
      <c r="M97" s="342"/>
      <c r="N97" s="369"/>
      <c r="O97" s="344"/>
      <c r="P97" s="397"/>
      <c r="Q97" s="344"/>
    </row>
    <row r="98" spans="1:17" s="365" customFormat="1">
      <c r="A98" s="336"/>
      <c r="B98" s="498"/>
      <c r="C98" s="499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501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ref="H98:H100" ca="1" si="48">IF(OR(D98="MDU",D98="MDU-KD"),(IF($O$3="RAB NON MDU","PLN KD",G98*F98)),0)</f>
        <v>0</v>
      </c>
      <c r="I98" s="361">
        <f t="shared" ref="I98:I100" ca="1" si="49">IF(D98="HDW",G98*F98,0)</f>
        <v>0</v>
      </c>
      <c r="J98" s="361">
        <f t="shared" ref="J98:J100" ca="1" si="50">IF(D98="JASA",G98*F98,0)</f>
        <v>0</v>
      </c>
      <c r="K98" s="362">
        <f t="shared" ref="K98:K100" ca="1" si="51">SUM(H98:J98)</f>
        <v>0</v>
      </c>
      <c r="L98" s="342"/>
      <c r="M98" s="342"/>
      <c r="N98" s="369"/>
      <c r="O98" s="344"/>
      <c r="P98" s="397"/>
      <c r="Q98" s="344"/>
    </row>
    <row r="99" spans="1:17">
      <c r="B99" s="366" t="s">
        <v>1614</v>
      </c>
      <c r="C99" s="367" t="s">
        <v>1616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501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48"/>
        <v>0</v>
      </c>
      <c r="I99" s="361">
        <f t="shared" ca="1" si="49"/>
        <v>0</v>
      </c>
      <c r="J99" s="361">
        <f t="shared" ca="1" si="50"/>
        <v>0</v>
      </c>
      <c r="K99" s="362">
        <f t="shared" ca="1" si="51"/>
        <v>0</v>
      </c>
    </row>
    <row r="100" spans="1:17">
      <c r="B100" s="494"/>
      <c r="C100" s="497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501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48"/>
        <v>0</v>
      </c>
      <c r="I100" s="361">
        <f t="shared" ca="1" si="49"/>
        <v>0</v>
      </c>
      <c r="J100" s="361">
        <f t="shared" ca="1" si="50"/>
        <v>0</v>
      </c>
      <c r="K100" s="362">
        <f t="shared" ca="1" si="51"/>
        <v>0</v>
      </c>
    </row>
    <row r="101" spans="1:17">
      <c r="B101" s="515" t="s">
        <v>1035</v>
      </c>
      <c r="C101" s="516" t="s">
        <v>1629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02">
        <v>1</v>
      </c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ref="H101:H107" ca="1" si="52">IF(OR(D101="MDU",D101="MDU-KD"),(IF($O$3="RAB NON MDU","PLN KD",G101*F101)),0)</f>
        <v>0</v>
      </c>
      <c r="I101" s="361">
        <f t="shared" ref="I101:I107" ca="1" si="53">IF(D101="HDW",G101*F101,0)</f>
        <v>0</v>
      </c>
      <c r="J101" s="361">
        <f t="shared" ref="J101:J107" ca="1" si="54">IF(D101="JASA",G101*F101,0)</f>
        <v>0</v>
      </c>
      <c r="K101" s="362">
        <f t="shared" ref="K101:K107" ca="1" si="55">SUM(H101:J101)</f>
        <v>0</v>
      </c>
    </row>
    <row r="102" spans="1:17">
      <c r="B102" s="515">
        <v>1</v>
      </c>
      <c r="C102" s="516" t="s">
        <v>535</v>
      </c>
      <c r="D102" s="358" t="str">
        <f ca="1">IF(ISERROR(OFFSET('HARGA SATUAN'!$D$6,MATCH(RAB!C102,'HARGA SATUAN'!$C$7:$C$1492,0),0)),"",OFFSET('HARGA SATUAN'!$D$6,MATCH(RAB!C102,'HARGA SATUAN'!$C$7:$C$1492,0),0))</f>
        <v>MDU-KD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02">
        <f>F101*1</f>
        <v>1</v>
      </c>
      <c r="G102" s="360">
        <f ca="1">IF(ISERROR(OFFSET('HARGA SATUAN'!$I$6,MATCH(RAB!C102,'HARGA SATUAN'!$C$7:$C$1492,0),0)),0,OFFSET('HARGA SATUAN'!$I$6,MATCH(RAB!C102,'HARGA SATUAN'!$C$7:$C$1492,0),0))</f>
        <v>848250</v>
      </c>
      <c r="H102" s="361">
        <f t="shared" ca="1" si="52"/>
        <v>848250</v>
      </c>
      <c r="I102" s="361">
        <f t="shared" ca="1" si="53"/>
        <v>0</v>
      </c>
      <c r="J102" s="361">
        <f t="shared" ca="1" si="54"/>
        <v>0</v>
      </c>
      <c r="K102" s="362">
        <f t="shared" ca="1" si="55"/>
        <v>848250</v>
      </c>
    </row>
    <row r="103" spans="1:17">
      <c r="B103" s="515">
        <v>2</v>
      </c>
      <c r="C103" s="109" t="s">
        <v>62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2">
        <f>F101*1</f>
        <v>1</v>
      </c>
      <c r="G103" s="360">
        <f ca="1">IF(ISERROR(OFFSET('HARGA SATUAN'!$I$6,MATCH(RAB!C103,'HARGA SATUAN'!$C$7:$C$1492,0),0)),0,OFFSET('HARGA SATUAN'!$I$6,MATCH(RAB!C103,'HARGA SATUAN'!$C$7:$C$1492,0),0))</f>
        <v>32500</v>
      </c>
      <c r="H103" s="361">
        <f t="shared" ca="1" si="52"/>
        <v>0</v>
      </c>
      <c r="I103" s="361">
        <f t="shared" ca="1" si="53"/>
        <v>32500</v>
      </c>
      <c r="J103" s="361">
        <f t="shared" ca="1" si="54"/>
        <v>0</v>
      </c>
      <c r="K103" s="362">
        <f t="shared" ca="1" si="55"/>
        <v>32500</v>
      </c>
    </row>
    <row r="104" spans="1:17">
      <c r="B104" s="515">
        <v>3</v>
      </c>
      <c r="C104" s="516" t="s">
        <v>187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02">
        <f>F101*1</f>
        <v>1</v>
      </c>
      <c r="G104" s="360">
        <f ca="1">IF(ISERROR(OFFSET('HARGA SATUAN'!$I$6,MATCH(RAB!C104,'HARGA SATUAN'!$C$7:$C$1492,0),0)),0,OFFSET('HARGA SATUAN'!$I$6,MATCH(RAB!C104,'HARGA SATUAN'!$C$7:$C$1492,0),0))</f>
        <v>17100</v>
      </c>
      <c r="H104" s="361">
        <f t="shared" ca="1" si="52"/>
        <v>0</v>
      </c>
      <c r="I104" s="361">
        <f t="shared" ca="1" si="53"/>
        <v>17100</v>
      </c>
      <c r="J104" s="361">
        <f t="shared" ca="1" si="54"/>
        <v>0</v>
      </c>
      <c r="K104" s="362">
        <f t="shared" ca="1" si="55"/>
        <v>17100</v>
      </c>
    </row>
    <row r="105" spans="1:17">
      <c r="B105" s="515">
        <v>4</v>
      </c>
      <c r="C105" s="109" t="s">
        <v>174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02">
        <f>F101*1</f>
        <v>1</v>
      </c>
      <c r="G105" s="360">
        <f ca="1">IF(ISERROR(OFFSET('HARGA SATUAN'!$I$6,MATCH(RAB!C105,'HARGA SATUAN'!$C$7:$C$1492,0),0)),0,OFFSET('HARGA SATUAN'!$I$6,MATCH(RAB!C105,'HARGA SATUAN'!$C$7:$C$1492,0),0))</f>
        <v>67700</v>
      </c>
      <c r="H105" s="361">
        <f t="shared" ca="1" si="52"/>
        <v>0</v>
      </c>
      <c r="I105" s="361">
        <f t="shared" ca="1" si="53"/>
        <v>67700</v>
      </c>
      <c r="J105" s="361">
        <f t="shared" ca="1" si="54"/>
        <v>0</v>
      </c>
      <c r="K105" s="362">
        <f t="shared" ca="1" si="55"/>
        <v>67700</v>
      </c>
    </row>
    <row r="106" spans="1:17">
      <c r="B106" s="515">
        <v>5</v>
      </c>
      <c r="C106" s="516" t="s">
        <v>747</v>
      </c>
      <c r="D106" s="358" t="str">
        <f ca="1">IF(ISERROR(OFFSET('HARGA SATUAN'!$D$6,MATCH(RAB!C106,'HARGA SATUAN'!$C$7:$C$1492,0),0)),"",OFFSET('HARGA SATUAN'!$D$6,MATCH(RAB!C106,'HARGA SATUAN'!$C$7:$C$1492,0),0))</f>
        <v>JASA</v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502">
        <f>F101*1</f>
        <v>1</v>
      </c>
      <c r="G106" s="360">
        <f ca="1">IF(ISERROR(OFFSET('HARGA SATUAN'!$I$6,MATCH(RAB!C106,'HARGA SATUAN'!$C$7:$C$1492,0),0)),0,OFFSET('HARGA SATUAN'!$I$6,MATCH(RAB!C106,'HARGA SATUAN'!$C$7:$C$1492,0),0))</f>
        <v>58400</v>
      </c>
      <c r="H106" s="361">
        <f t="shared" ca="1" si="52"/>
        <v>0</v>
      </c>
      <c r="I106" s="361">
        <f t="shared" ca="1" si="53"/>
        <v>0</v>
      </c>
      <c r="J106" s="361">
        <f t="shared" ca="1" si="54"/>
        <v>58400</v>
      </c>
      <c r="K106" s="362">
        <f t="shared" ca="1" si="55"/>
        <v>58400</v>
      </c>
    </row>
    <row r="107" spans="1:17">
      <c r="B107" s="494"/>
      <c r="C107" s="497"/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/>
      </c>
      <c r="F107" s="501"/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ca="1" si="52"/>
        <v>0</v>
      </c>
      <c r="I107" s="361">
        <f t="shared" ca="1" si="53"/>
        <v>0</v>
      </c>
      <c r="J107" s="361">
        <f t="shared" ca="1" si="54"/>
        <v>0</v>
      </c>
      <c r="K107" s="362">
        <f t="shared" ca="1" si="55"/>
        <v>0</v>
      </c>
    </row>
    <row r="108" spans="1:17">
      <c r="B108" s="515" t="s">
        <v>1035</v>
      </c>
      <c r="C108" s="516" t="s">
        <v>1624</v>
      </c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23">
        <v>1</v>
      </c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ref="H108:H120" ca="1" si="56">IF(OR(D108="MDU",D108="MDU-KD"),(IF($O$3="RAB NON MDU","PLN KD",G108*F108)),0)</f>
        <v>0</v>
      </c>
      <c r="I108" s="361">
        <f t="shared" ref="I108:I120" ca="1" si="57">IF(D108="HDW",G108*F108,0)</f>
        <v>0</v>
      </c>
      <c r="J108" s="361">
        <f t="shared" ref="J108:J120" ca="1" si="58">IF(D108="JASA",G108*F108,0)</f>
        <v>0</v>
      </c>
      <c r="K108" s="362">
        <f t="shared" ref="K108:K120" ca="1" si="59">SUM(H108:J108)</f>
        <v>0</v>
      </c>
    </row>
    <row r="109" spans="1:17">
      <c r="B109" s="515">
        <v>1</v>
      </c>
      <c r="C109" s="506" t="s">
        <v>532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7">
        <f>F108*1</f>
        <v>1</v>
      </c>
      <c r="G109" s="360">
        <f ca="1">IF(ISERROR(OFFSET('HARGA SATUAN'!$I$6,MATCH(RAB!C109,'HARGA SATUAN'!$C$7:$C$1492,0),0)),0,OFFSET('HARGA SATUAN'!$I$6,MATCH(RAB!C109,'HARGA SATUAN'!$C$7:$C$1492,0),0))</f>
        <v>27845400</v>
      </c>
      <c r="H109" s="361">
        <f t="shared" ca="1" si="56"/>
        <v>27845400</v>
      </c>
      <c r="I109" s="361">
        <f t="shared" ca="1" si="57"/>
        <v>0</v>
      </c>
      <c r="J109" s="361">
        <f t="shared" ca="1" si="58"/>
        <v>0</v>
      </c>
      <c r="K109" s="362">
        <f t="shared" ca="1" si="59"/>
        <v>27845400</v>
      </c>
    </row>
    <row r="110" spans="1:17">
      <c r="B110" s="503">
        <v>2</v>
      </c>
      <c r="C110" s="506" t="s">
        <v>1618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507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56"/>
        <v>0</v>
      </c>
      <c r="I110" s="361">
        <f t="shared" ca="1" si="57"/>
        <v>0</v>
      </c>
      <c r="J110" s="361">
        <f t="shared" ca="1" si="58"/>
        <v>0</v>
      </c>
      <c r="K110" s="362">
        <f t="shared" ca="1" si="59"/>
        <v>0</v>
      </c>
    </row>
    <row r="111" spans="1:17">
      <c r="B111" s="503"/>
      <c r="C111" s="506" t="s">
        <v>65</v>
      </c>
      <c r="D111" s="358" t="str">
        <f ca="1">IF(ISERROR(OFFSET('HARGA SATUAN'!$D$6,MATCH(RAB!C111,'HARGA SATUAN'!$C$7:$C$1492,0),0)),"",OFFSET('HARGA SATUAN'!$D$6,MATCH(RAB!C111,'HARGA SATUAN'!$C$7:$C$1492,0),0))</f>
        <v>MDU-KD</v>
      </c>
      <c r="E111" s="359" t="str">
        <f ca="1">IF(B111="+","Unit",IF(ISERROR(OFFSET('HARGA SATUAN'!$E$6,MATCH(RAB!C111,'HARGA SATUAN'!$C$7:$C$1492,0),0)),"",OFFSET('HARGA SATUAN'!$E$6,MATCH(RAB!C111,'HARGA SATUAN'!$C$7:$C$1492,0),0)))</f>
        <v>Mtr</v>
      </c>
      <c r="F111" s="507">
        <f>F108*2</f>
        <v>2</v>
      </c>
      <c r="G111" s="360">
        <f ca="1">IF(ISERROR(OFFSET('HARGA SATUAN'!$I$6,MATCH(RAB!C111,'HARGA SATUAN'!$C$7:$C$1492,0),0)),0,OFFSET('HARGA SATUAN'!$I$6,MATCH(RAB!C111,'HARGA SATUAN'!$C$7:$C$1492,0),0))</f>
        <v>14200</v>
      </c>
      <c r="H111" s="361">
        <f t="shared" ca="1" si="56"/>
        <v>28400</v>
      </c>
      <c r="I111" s="361">
        <f t="shared" ca="1" si="57"/>
        <v>0</v>
      </c>
      <c r="J111" s="361">
        <f t="shared" ca="1" si="58"/>
        <v>0</v>
      </c>
      <c r="K111" s="362">
        <f t="shared" ca="1" si="59"/>
        <v>28400</v>
      </c>
    </row>
    <row r="112" spans="1:17">
      <c r="B112" s="515"/>
      <c r="C112" s="506" t="s">
        <v>1625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507">
        <f>F108*2</f>
        <v>2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56"/>
        <v>0</v>
      </c>
      <c r="I112" s="361">
        <f t="shared" ca="1" si="57"/>
        <v>0</v>
      </c>
      <c r="J112" s="361">
        <f t="shared" ca="1" si="58"/>
        <v>0</v>
      </c>
      <c r="K112" s="362">
        <f t="shared" ca="1" si="59"/>
        <v>0</v>
      </c>
    </row>
    <row r="113" spans="2:11">
      <c r="B113" s="515">
        <v>3</v>
      </c>
      <c r="C113" s="506" t="s">
        <v>207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7">
        <f>F108*1</f>
        <v>1</v>
      </c>
      <c r="G113" s="360">
        <f ca="1">IF(ISERROR(OFFSET('HARGA SATUAN'!$I$6,MATCH(RAB!C113,'HARGA SATUAN'!$C$7:$C$1492,0),0)),0,OFFSET('HARGA SATUAN'!$I$6,MATCH(RAB!C113,'HARGA SATUAN'!$C$7:$C$1492,0),0))</f>
        <v>87000</v>
      </c>
      <c r="H113" s="361">
        <f t="shared" ca="1" si="56"/>
        <v>0</v>
      </c>
      <c r="I113" s="361">
        <f t="shared" ca="1" si="57"/>
        <v>87000</v>
      </c>
      <c r="J113" s="361">
        <f t="shared" ca="1" si="58"/>
        <v>0</v>
      </c>
      <c r="K113" s="362">
        <f t="shared" ca="1" si="59"/>
        <v>87000</v>
      </c>
    </row>
    <row r="114" spans="2:11">
      <c r="B114" s="515">
        <v>4</v>
      </c>
      <c r="C114" s="506" t="s">
        <v>176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7">
        <f>F108*2</f>
        <v>2</v>
      </c>
      <c r="G114" s="360">
        <f ca="1">IF(ISERROR(OFFSET('HARGA SATUAN'!$I$6,MATCH(RAB!C114,'HARGA SATUAN'!$C$7:$C$1492,0),0)),0,OFFSET('HARGA SATUAN'!$I$6,MATCH(RAB!C114,'HARGA SATUAN'!$C$7:$C$1492,0),0))</f>
        <v>404600</v>
      </c>
      <c r="H114" s="361">
        <f t="shared" ca="1" si="56"/>
        <v>0</v>
      </c>
      <c r="I114" s="361">
        <f t="shared" ca="1" si="57"/>
        <v>809200</v>
      </c>
      <c r="J114" s="361">
        <f t="shared" ca="1" si="58"/>
        <v>0</v>
      </c>
      <c r="K114" s="362">
        <f t="shared" ca="1" si="59"/>
        <v>809200</v>
      </c>
    </row>
    <row r="115" spans="2:11">
      <c r="B115" s="515">
        <v>5</v>
      </c>
      <c r="C115" s="506" t="s">
        <v>184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07">
        <f>F108*3</f>
        <v>3</v>
      </c>
      <c r="G115" s="360">
        <f ca="1">IF(ISERROR(OFFSET('HARGA SATUAN'!$I$6,MATCH(RAB!C115,'HARGA SATUAN'!$C$7:$C$1492,0),0)),0,OFFSET('HARGA SATUAN'!$I$6,MATCH(RAB!C115,'HARGA SATUAN'!$C$7:$C$1492,0),0))</f>
        <v>15900</v>
      </c>
      <c r="H115" s="361">
        <f t="shared" ca="1" si="56"/>
        <v>0</v>
      </c>
      <c r="I115" s="361">
        <f t="shared" ca="1" si="57"/>
        <v>47700</v>
      </c>
      <c r="J115" s="361">
        <f t="shared" ca="1" si="58"/>
        <v>0</v>
      </c>
      <c r="K115" s="362">
        <f t="shared" ca="1" si="59"/>
        <v>47700</v>
      </c>
    </row>
    <row r="116" spans="2:11">
      <c r="B116" s="515">
        <v>6</v>
      </c>
      <c r="C116" s="506" t="s">
        <v>187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07">
        <f>F108*2</f>
        <v>2</v>
      </c>
      <c r="G116" s="360">
        <f ca="1">IF(ISERROR(OFFSET('HARGA SATUAN'!$I$6,MATCH(RAB!C116,'HARGA SATUAN'!$C$7:$C$1492,0),0)),0,OFFSET('HARGA SATUAN'!$I$6,MATCH(RAB!C116,'HARGA SATUAN'!$C$7:$C$1492,0),0))</f>
        <v>17100</v>
      </c>
      <c r="H116" s="361">
        <f t="shared" ca="1" si="56"/>
        <v>0</v>
      </c>
      <c r="I116" s="361">
        <f t="shared" ca="1" si="57"/>
        <v>34200</v>
      </c>
      <c r="J116" s="361">
        <f t="shared" ca="1" si="58"/>
        <v>0</v>
      </c>
      <c r="K116" s="362">
        <f t="shared" ca="1" si="59"/>
        <v>34200</v>
      </c>
    </row>
    <row r="117" spans="2:11">
      <c r="B117" s="515">
        <v>7</v>
      </c>
      <c r="C117" s="506" t="s">
        <v>1626</v>
      </c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507">
        <f>F108*4</f>
        <v>4</v>
      </c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ca="1" si="56"/>
        <v>0</v>
      </c>
      <c r="I117" s="361">
        <f t="shared" ca="1" si="57"/>
        <v>0</v>
      </c>
      <c r="J117" s="361">
        <f t="shared" ca="1" si="58"/>
        <v>0</v>
      </c>
      <c r="K117" s="362">
        <f t="shared" ca="1" si="59"/>
        <v>0</v>
      </c>
    </row>
    <row r="118" spans="2:11">
      <c r="B118" s="515">
        <v>8</v>
      </c>
      <c r="C118" s="506" t="s">
        <v>149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07">
        <f>F108*1</f>
        <v>1</v>
      </c>
      <c r="G118" s="360">
        <f ca="1">IF(ISERROR(OFFSET('HARGA SATUAN'!$I$6,MATCH(RAB!C118,'HARGA SATUAN'!$C$7:$C$1492,0),0)),0,OFFSET('HARGA SATUAN'!$I$6,MATCH(RAB!C118,'HARGA SATUAN'!$C$7:$C$1492,0),0))</f>
        <v>67800</v>
      </c>
      <c r="H118" s="361">
        <f t="shared" ca="1" si="56"/>
        <v>0</v>
      </c>
      <c r="I118" s="361">
        <f t="shared" ca="1" si="57"/>
        <v>67800</v>
      </c>
      <c r="J118" s="361">
        <f t="shared" ca="1" si="58"/>
        <v>0</v>
      </c>
      <c r="K118" s="362">
        <f t="shared" ca="1" si="59"/>
        <v>67800</v>
      </c>
    </row>
    <row r="119" spans="2:11">
      <c r="B119" s="515">
        <v>9</v>
      </c>
      <c r="C119" s="506" t="s">
        <v>32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Mtr</v>
      </c>
      <c r="F119" s="507">
        <f>F108*2</f>
        <v>2</v>
      </c>
      <c r="G119" s="360">
        <f ca="1">IF(ISERROR(OFFSET('HARGA SATUAN'!$I$6,MATCH(RAB!C119,'HARGA SATUAN'!$C$7:$C$1492,0),0)),0,OFFSET('HARGA SATUAN'!$I$6,MATCH(RAB!C119,'HARGA SATUAN'!$C$7:$C$1492,0),0))</f>
        <v>30000</v>
      </c>
      <c r="H119" s="361">
        <f t="shared" ca="1" si="56"/>
        <v>0</v>
      </c>
      <c r="I119" s="361">
        <f t="shared" ca="1" si="57"/>
        <v>60000</v>
      </c>
      <c r="J119" s="361">
        <f t="shared" ca="1" si="58"/>
        <v>0</v>
      </c>
      <c r="K119" s="362">
        <f t="shared" ca="1" si="59"/>
        <v>60000</v>
      </c>
    </row>
    <row r="120" spans="2:11">
      <c r="B120" s="515">
        <v>10</v>
      </c>
      <c r="C120" s="506" t="s">
        <v>781</v>
      </c>
      <c r="D120" s="358" t="str">
        <f ca="1">IF(ISERROR(OFFSET('HARGA SATUAN'!$D$6,MATCH(RAB!C120,'HARGA SATUAN'!$C$7:$C$1492,0),0)),"",OFFSET('HARGA SATUAN'!$D$6,MATCH(RAB!C120,'HARGA SATUAN'!$C$7:$C$1492,0),0))</f>
        <v>JASA</v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507">
        <f>F108*1</f>
        <v>1</v>
      </c>
      <c r="G120" s="360">
        <f ca="1">IF(ISERROR(OFFSET('HARGA SATUAN'!$I$6,MATCH(RAB!C120,'HARGA SATUAN'!$C$7:$C$1492,0),0)),0,OFFSET('HARGA SATUAN'!$I$6,MATCH(RAB!C120,'HARGA SATUAN'!$C$7:$C$1492,0),0))</f>
        <v>346400</v>
      </c>
      <c r="H120" s="361">
        <f t="shared" ca="1" si="56"/>
        <v>0</v>
      </c>
      <c r="I120" s="361">
        <f t="shared" ca="1" si="57"/>
        <v>0</v>
      </c>
      <c r="J120" s="361">
        <f t="shared" ca="1" si="58"/>
        <v>346400</v>
      </c>
      <c r="K120" s="362">
        <f t="shared" ca="1" si="59"/>
        <v>346400</v>
      </c>
    </row>
    <row r="121" spans="2:11">
      <c r="B121" s="508"/>
      <c r="C121" s="109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501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ref="H121" ca="1" si="60">IF(OR(D121="MDU",D121="MDU-KD"),(IF($O$3="RAB NON MDU","PLN KD",G121*F121)),0)</f>
        <v>0</v>
      </c>
      <c r="I121" s="361">
        <f t="shared" ref="I121" ca="1" si="61">IF(D121="HDW",G121*F121,0)</f>
        <v>0</v>
      </c>
      <c r="J121" s="361">
        <f t="shared" ref="J121" ca="1" si="62">IF(D121="JASA",G121*F121,0)</f>
        <v>0</v>
      </c>
      <c r="K121" s="362">
        <f t="shared" ref="K121" ca="1" si="63">SUM(H121:J121)</f>
        <v>0</v>
      </c>
    </row>
    <row r="122" spans="2:11">
      <c r="B122" s="503" t="s">
        <v>1035</v>
      </c>
      <c r="C122" s="504" t="s">
        <v>1619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01">
        <v>4</v>
      </c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ref="H122:H132" ca="1" si="64">IF(OR(D122="MDU",D122="MDU-KD"),(IF($O$3="RAB NON MDU","PLN KD",G122*F122)),0)</f>
        <v>0</v>
      </c>
      <c r="I122" s="361">
        <f t="shared" ref="I122:I132" ca="1" si="65">IF(D122="HDW",G122*F122,0)</f>
        <v>0</v>
      </c>
      <c r="J122" s="361">
        <f t="shared" ref="J122:J132" ca="1" si="66">IF(D122="JASA",G122*F122,0)</f>
        <v>0</v>
      </c>
      <c r="K122" s="362">
        <f t="shared" ref="K122:K132" ca="1" si="67">SUM(H122:J122)</f>
        <v>0</v>
      </c>
    </row>
    <row r="123" spans="2:11">
      <c r="B123" s="503">
        <v>1</v>
      </c>
      <c r="C123" s="505" t="s">
        <v>29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501">
        <f>F122*1</f>
        <v>4</v>
      </c>
      <c r="G123" s="360">
        <f ca="1">IF(ISERROR(OFFSET('HARGA SATUAN'!$I$6,MATCH(RAB!C123,'HARGA SATUAN'!$C$7:$C$1492,0),0)),0,OFFSET('HARGA SATUAN'!$I$6,MATCH(RAB!C123,'HARGA SATUAN'!$C$7:$C$1492,0),0))</f>
        <v>185200</v>
      </c>
      <c r="H123" s="361">
        <f t="shared" ca="1" si="64"/>
        <v>0</v>
      </c>
      <c r="I123" s="361">
        <f t="shared" ca="1" si="65"/>
        <v>740800</v>
      </c>
      <c r="J123" s="361">
        <f t="shared" ca="1" si="66"/>
        <v>0</v>
      </c>
      <c r="K123" s="362">
        <f t="shared" ca="1" si="67"/>
        <v>740800</v>
      </c>
    </row>
    <row r="124" spans="2:11">
      <c r="B124" s="498">
        <v>2</v>
      </c>
      <c r="C124" s="499" t="s">
        <v>30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501">
        <f>F122*1</f>
        <v>4</v>
      </c>
      <c r="G124" s="360">
        <f ca="1">IF(ISERROR(OFFSET('HARGA SATUAN'!$I$6,MATCH(RAB!C124,'HARGA SATUAN'!$C$7:$C$1492,0),0)),0,OFFSET('HARGA SATUAN'!$I$6,MATCH(RAB!C124,'HARGA SATUAN'!$C$7:$C$1492,0),0))</f>
        <v>47459</v>
      </c>
      <c r="H124" s="361">
        <f t="shared" ca="1" si="64"/>
        <v>0</v>
      </c>
      <c r="I124" s="361">
        <f t="shared" ca="1" si="65"/>
        <v>189836</v>
      </c>
      <c r="J124" s="361">
        <f t="shared" ca="1" si="66"/>
        <v>0</v>
      </c>
      <c r="K124" s="362">
        <f t="shared" ca="1" si="67"/>
        <v>189836</v>
      </c>
    </row>
    <row r="125" spans="2:11">
      <c r="B125" s="498">
        <v>3</v>
      </c>
      <c r="C125" s="499" t="s">
        <v>31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01">
        <f>F122*1</f>
        <v>4</v>
      </c>
      <c r="G125" s="360">
        <f ca="1">IF(ISERROR(OFFSET('HARGA SATUAN'!$I$6,MATCH(RAB!C125,'HARGA SATUAN'!$C$7:$C$1492,0),0)),0,OFFSET('HARGA SATUAN'!$I$6,MATCH(RAB!C125,'HARGA SATUAN'!$C$7:$C$1492,0),0))</f>
        <v>4880</v>
      </c>
      <c r="H125" s="361">
        <f t="shared" ca="1" si="64"/>
        <v>0</v>
      </c>
      <c r="I125" s="361">
        <f t="shared" ca="1" si="65"/>
        <v>19520</v>
      </c>
      <c r="J125" s="361">
        <f t="shared" ca="1" si="66"/>
        <v>0</v>
      </c>
      <c r="K125" s="362">
        <f t="shared" ca="1" si="67"/>
        <v>19520</v>
      </c>
    </row>
    <row r="126" spans="2:11">
      <c r="B126" s="498">
        <v>4</v>
      </c>
      <c r="C126" s="499" t="s">
        <v>32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Mtr</v>
      </c>
      <c r="F126" s="501">
        <f>F122*10</f>
        <v>40</v>
      </c>
      <c r="G126" s="360">
        <f ca="1">IF(ISERROR(OFFSET('HARGA SATUAN'!$I$6,MATCH(RAB!C126,'HARGA SATUAN'!$C$7:$C$1492,0),0)),0,OFFSET('HARGA SATUAN'!$I$6,MATCH(RAB!C126,'HARGA SATUAN'!$C$7:$C$1492,0),0))</f>
        <v>30000</v>
      </c>
      <c r="H126" s="361">
        <f t="shared" ca="1" si="64"/>
        <v>0</v>
      </c>
      <c r="I126" s="361">
        <f t="shared" ca="1" si="65"/>
        <v>1200000</v>
      </c>
      <c r="J126" s="361">
        <f t="shared" ca="1" si="66"/>
        <v>0</v>
      </c>
      <c r="K126" s="362">
        <f t="shared" ca="1" si="67"/>
        <v>1200000</v>
      </c>
    </row>
    <row r="127" spans="2:11">
      <c r="B127" s="498">
        <v>5</v>
      </c>
      <c r="C127" s="499" t="s">
        <v>33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01">
        <f>F122*2</f>
        <v>8</v>
      </c>
      <c r="G127" s="360">
        <f ca="1">IF(ISERROR(OFFSET('HARGA SATUAN'!$I$6,MATCH(RAB!C127,'HARGA SATUAN'!$C$7:$C$1492,0),0)),0,OFFSET('HARGA SATUAN'!$I$6,MATCH(RAB!C127,'HARGA SATUAN'!$C$7:$C$1492,0),0))</f>
        <v>9500</v>
      </c>
      <c r="H127" s="361">
        <f t="shared" ca="1" si="64"/>
        <v>0</v>
      </c>
      <c r="I127" s="361">
        <f t="shared" ca="1" si="65"/>
        <v>76000</v>
      </c>
      <c r="J127" s="361">
        <f t="shared" ca="1" si="66"/>
        <v>0</v>
      </c>
      <c r="K127" s="362">
        <f t="shared" ca="1" si="67"/>
        <v>76000</v>
      </c>
    </row>
    <row r="128" spans="2:11">
      <c r="B128" s="498">
        <v>6</v>
      </c>
      <c r="C128" s="499" t="s">
        <v>34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01">
        <f>F122*5.5</f>
        <v>22</v>
      </c>
      <c r="G128" s="360">
        <f ca="1">IF(ISERROR(OFFSET('HARGA SATUAN'!$I$6,MATCH(RAB!C128,'HARGA SATUAN'!$C$7:$C$1492,0),0)),0,OFFSET('HARGA SATUAN'!$I$6,MATCH(RAB!C128,'HARGA SATUAN'!$C$7:$C$1492,0),0))</f>
        <v>6100</v>
      </c>
      <c r="H128" s="361">
        <f t="shared" ca="1" si="64"/>
        <v>0</v>
      </c>
      <c r="I128" s="361">
        <f t="shared" ca="1" si="65"/>
        <v>134200</v>
      </c>
      <c r="J128" s="361">
        <f t="shared" ca="1" si="66"/>
        <v>0</v>
      </c>
      <c r="K128" s="362">
        <f t="shared" ca="1" si="67"/>
        <v>134200</v>
      </c>
    </row>
    <row r="129" spans="2:11">
      <c r="B129" s="498">
        <v>7</v>
      </c>
      <c r="C129" s="499" t="s">
        <v>35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1">
        <f>F122*6</f>
        <v>24</v>
      </c>
      <c r="G129" s="360">
        <f ca="1">IF(ISERROR(OFFSET('HARGA SATUAN'!$I$6,MATCH(RAB!C129,'HARGA SATUAN'!$C$7:$C$1492,0),0)),0,OFFSET('HARGA SATUAN'!$I$6,MATCH(RAB!C129,'HARGA SATUAN'!$C$7:$C$1492,0),0))</f>
        <v>2300</v>
      </c>
      <c r="H129" s="361">
        <f t="shared" ca="1" si="64"/>
        <v>0</v>
      </c>
      <c r="I129" s="361">
        <f t="shared" ca="1" si="65"/>
        <v>55200</v>
      </c>
      <c r="J129" s="361">
        <f t="shared" ca="1" si="66"/>
        <v>0</v>
      </c>
      <c r="K129" s="362">
        <f t="shared" ca="1" si="67"/>
        <v>55200</v>
      </c>
    </row>
    <row r="130" spans="2:11">
      <c r="B130" s="498">
        <v>8</v>
      </c>
      <c r="C130" s="499" t="s">
        <v>1620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501">
        <f>F122*4.8</f>
        <v>19.2</v>
      </c>
      <c r="G130" s="360">
        <f ca="1">IF(ISERROR(OFFSET('HARGA SATUAN'!$I$6,MATCH(RAB!C130,'HARGA SATUAN'!$C$7:$C$1492,0),0)),0,OFFSET('HARGA SATUAN'!$I$6,MATCH(RAB!C130,'HARGA SATUAN'!$C$7:$C$1492,0),0))</f>
        <v>23310</v>
      </c>
      <c r="H130" s="361">
        <f t="shared" ca="1" si="64"/>
        <v>0</v>
      </c>
      <c r="I130" s="361">
        <f t="shared" ca="1" si="65"/>
        <v>447552</v>
      </c>
      <c r="J130" s="361">
        <f t="shared" ca="1" si="66"/>
        <v>0</v>
      </c>
      <c r="K130" s="362">
        <f t="shared" ca="1" si="67"/>
        <v>447552</v>
      </c>
    </row>
    <row r="131" spans="2:11">
      <c r="B131" s="498">
        <v>9</v>
      </c>
      <c r="C131" s="499" t="s">
        <v>736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01">
        <f>F122*1</f>
        <v>4</v>
      </c>
      <c r="G131" s="360">
        <f ca="1">IF(ISERROR(OFFSET('HARGA SATUAN'!$I$6,MATCH(RAB!C131,'HARGA SATUAN'!$C$7:$C$1492,0),0)),0,OFFSET('HARGA SATUAN'!$I$6,MATCH(RAB!C131,'HARGA SATUAN'!$C$7:$C$1492,0),0))</f>
        <v>65400</v>
      </c>
      <c r="H131" s="361">
        <f t="shared" ca="1" si="64"/>
        <v>0</v>
      </c>
      <c r="I131" s="361">
        <f t="shared" ca="1" si="65"/>
        <v>0</v>
      </c>
      <c r="J131" s="361">
        <f t="shared" ca="1" si="66"/>
        <v>261600</v>
      </c>
      <c r="K131" s="362">
        <f t="shared" ca="1" si="67"/>
        <v>261600</v>
      </c>
    </row>
    <row r="132" spans="2:11">
      <c r="B132" s="494"/>
      <c r="C132" s="497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502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64"/>
        <v>0</v>
      </c>
      <c r="I132" s="361">
        <f t="shared" ca="1" si="65"/>
        <v>0</v>
      </c>
      <c r="J132" s="361">
        <f t="shared" ca="1" si="66"/>
        <v>0</v>
      </c>
      <c r="K132" s="362">
        <f t="shared" ca="1" si="67"/>
        <v>0</v>
      </c>
    </row>
    <row r="133" spans="2:11">
      <c r="B133" s="495" t="s">
        <v>1615</v>
      </c>
      <c r="C133" s="500" t="s">
        <v>1621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368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ref="H133:H139" ca="1" si="68">IF(OR(D133="MDU",D133="MDU-KD"),(IF($O$3="RAB NON MDU","PLN KD",G133*F133)),0)</f>
        <v>0</v>
      </c>
      <c r="I133" s="361">
        <f t="shared" ref="I133:I139" ca="1" si="69">IF(D133="HDW",G133*F133,0)</f>
        <v>0</v>
      </c>
      <c r="J133" s="361">
        <f t="shared" ref="J133:J139" ca="1" si="70">IF(D133="JASA",G133*F133,0)</f>
        <v>0</v>
      </c>
      <c r="K133" s="362">
        <f t="shared" ref="K133:K139" ca="1" si="71">SUM(H133:J133)</f>
        <v>0</v>
      </c>
    </row>
    <row r="134" spans="2:11">
      <c r="B134" s="495"/>
      <c r="C134" s="496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510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68"/>
        <v>0</v>
      </c>
      <c r="I134" s="361">
        <f t="shared" ca="1" si="69"/>
        <v>0</v>
      </c>
      <c r="J134" s="361">
        <f t="shared" ca="1" si="70"/>
        <v>0</v>
      </c>
      <c r="K134" s="362">
        <f t="shared" ca="1" si="71"/>
        <v>0</v>
      </c>
    </row>
    <row r="135" spans="2:11">
      <c r="B135" s="495" t="s">
        <v>1035</v>
      </c>
      <c r="C135" s="496" t="s">
        <v>1628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518">
        <v>1</v>
      </c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68"/>
        <v>0</v>
      </c>
      <c r="I135" s="361">
        <f t="shared" ca="1" si="69"/>
        <v>0</v>
      </c>
      <c r="J135" s="361">
        <f t="shared" ca="1" si="70"/>
        <v>0</v>
      </c>
      <c r="K135" s="362">
        <f t="shared" ca="1" si="71"/>
        <v>0</v>
      </c>
    </row>
    <row r="136" spans="2:11" ht="30">
      <c r="B136" s="515">
        <v>1</v>
      </c>
      <c r="C136" s="109" t="s">
        <v>1141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18">
        <f>F135*1</f>
        <v>1</v>
      </c>
      <c r="G136" s="360">
        <f ca="1">IF(ISERROR(OFFSET('HARGA SATUAN'!$I$6,MATCH(RAB!C136,'HARGA SATUAN'!$C$7:$C$1492,0),0)),0,OFFSET('HARGA SATUAN'!$I$6,MATCH(RAB!C136,'HARGA SATUAN'!$C$7:$C$1492,0),0))</f>
        <v>1740750</v>
      </c>
      <c r="H136" s="361">
        <f t="shared" ca="1" si="68"/>
        <v>1740750</v>
      </c>
      <c r="I136" s="361">
        <f t="shared" ca="1" si="69"/>
        <v>0</v>
      </c>
      <c r="J136" s="361">
        <f t="shared" ca="1" si="70"/>
        <v>0</v>
      </c>
      <c r="K136" s="362">
        <f t="shared" ca="1" si="71"/>
        <v>1740750</v>
      </c>
    </row>
    <row r="137" spans="2:11">
      <c r="B137" s="515">
        <v>2</v>
      </c>
      <c r="C137" s="517" t="s">
        <v>493</v>
      </c>
      <c r="D137" s="358" t="str">
        <f ca="1">IF(ISERROR(OFFSET('HARGA SATUAN'!$D$6,MATCH(RAB!C137,'HARGA SATUAN'!$C$7:$C$1492,0),0)),"",OFFSET('HARGA SATUAN'!$D$6,MATCH(RAB!C137,'HARGA SATUAN'!$C$7:$C$1492,0),0))</f>
        <v>MDU-KD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18">
        <f>F135*1</f>
        <v>1</v>
      </c>
      <c r="G137" s="360">
        <f ca="1">IF(ISERROR(OFFSET('HARGA SATUAN'!$I$6,MATCH(RAB!C137,'HARGA SATUAN'!$C$7:$C$1492,0),0)),0,OFFSET('HARGA SATUAN'!$I$6,MATCH(RAB!C137,'HARGA SATUAN'!$C$7:$C$1492,0),0))</f>
        <v>39000</v>
      </c>
      <c r="H137" s="361">
        <f t="shared" ca="1" si="68"/>
        <v>39000</v>
      </c>
      <c r="I137" s="361">
        <f t="shared" ca="1" si="69"/>
        <v>0</v>
      </c>
      <c r="J137" s="361">
        <f t="shared" ca="1" si="70"/>
        <v>0</v>
      </c>
      <c r="K137" s="362">
        <f t="shared" ca="1" si="71"/>
        <v>39000</v>
      </c>
    </row>
    <row r="138" spans="2:11">
      <c r="B138" s="515">
        <v>3</v>
      </c>
      <c r="C138" s="517" t="s">
        <v>74</v>
      </c>
      <c r="D138" s="358" t="str">
        <f ca="1">IF(ISERROR(OFFSET('HARGA SATUAN'!$D$6,MATCH(RAB!C138,'HARGA SATUAN'!$C$7:$C$1492,0),0)),"",OFFSET('HARGA SATUAN'!$D$6,MATCH(RAB!C138,'HARGA SATUAN'!$C$7:$C$1492,0),0))</f>
        <v>MDU-KD</v>
      </c>
      <c r="E138" s="359" t="str">
        <f ca="1">IF(B138="+","Unit",IF(ISERROR(OFFSET('HARGA SATUAN'!$E$6,MATCH(RAB!C138,'HARGA SATUAN'!$C$7:$C$1492,0),0)),"",OFFSET('HARGA SATUAN'!$E$6,MATCH(RAB!C138,'HARGA SATUAN'!$C$7:$C$1492,0),0)))</f>
        <v>Mtr</v>
      </c>
      <c r="F138" s="518">
        <f>F135*35</f>
        <v>35</v>
      </c>
      <c r="G138" s="360">
        <f ca="1">IF(ISERROR(OFFSET('HARGA SATUAN'!$I$6,MATCH(RAB!C138,'HARGA SATUAN'!$C$7:$C$1492,0),0)),0,OFFSET('HARGA SATUAN'!$I$6,MATCH(RAB!C138,'HARGA SATUAN'!$C$7:$C$1492,0),0))</f>
        <v>6600</v>
      </c>
      <c r="H138" s="361">
        <f t="shared" ca="1" si="68"/>
        <v>231000</v>
      </c>
      <c r="I138" s="361">
        <f t="shared" ca="1" si="69"/>
        <v>0</v>
      </c>
      <c r="J138" s="361">
        <f t="shared" ca="1" si="70"/>
        <v>0</v>
      </c>
      <c r="K138" s="362">
        <f t="shared" ca="1" si="71"/>
        <v>231000</v>
      </c>
    </row>
    <row r="139" spans="2:11">
      <c r="B139" s="515">
        <v>4</v>
      </c>
      <c r="C139" s="517" t="s">
        <v>798</v>
      </c>
      <c r="D139" s="358" t="str">
        <f ca="1">IF(ISERROR(OFFSET('HARGA SATUAN'!$D$6,MATCH(RAB!C139,'HARGA SATUAN'!$C$7:$C$1492,0),0)),"",OFFSET('HARGA SATUAN'!$D$6,MATCH(RAB!C139,'HARGA SATUAN'!$C$7:$C$1492,0),0))</f>
        <v>JASA</v>
      </c>
      <c r="E139" s="359" t="str">
        <f ca="1">IF(B139="+","Unit",IF(ISERROR(OFFSET('HARGA SATUAN'!$E$6,MATCH(RAB!C139,'HARGA SATUAN'!$C$7:$C$1492,0),0)),"",OFFSET('HARGA SATUAN'!$E$6,MATCH(RAB!C139,'HARGA SATUAN'!$C$7:$C$1492,0),0)))</f>
        <v>Unit</v>
      </c>
      <c r="F139" s="518">
        <f>F135*1</f>
        <v>1</v>
      </c>
      <c r="G139" s="360">
        <f ca="1">IF(ISERROR(OFFSET('HARGA SATUAN'!$I$6,MATCH(RAB!C139,'HARGA SATUAN'!$C$7:$C$1492,0),0)),0,OFFSET('HARGA SATUAN'!$I$6,MATCH(RAB!C139,'HARGA SATUAN'!$C$7:$C$1492,0),0))</f>
        <v>54400</v>
      </c>
      <c r="H139" s="361">
        <f t="shared" ca="1" si="68"/>
        <v>0</v>
      </c>
      <c r="I139" s="361">
        <f t="shared" ca="1" si="69"/>
        <v>0</v>
      </c>
      <c r="J139" s="361">
        <f t="shared" ca="1" si="70"/>
        <v>54400</v>
      </c>
      <c r="K139" s="362">
        <f t="shared" ca="1" si="71"/>
        <v>54400</v>
      </c>
    </row>
    <row r="140" spans="2:11">
      <c r="B140" s="374"/>
      <c r="C140" s="509"/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/>
      </c>
      <c r="F140" s="368"/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ref="H140:H149" ca="1" si="72">IF(OR(D140="MDU",D140="MDU-KD"),(IF($O$3="RAB NON MDU","PLN KD",G140*F140)),0)</f>
        <v>0</v>
      </c>
      <c r="I140" s="361">
        <f t="shared" ref="I140:I149" ca="1" si="73">IF(D140="HDW",G140*F140,0)</f>
        <v>0</v>
      </c>
      <c r="J140" s="361">
        <f t="shared" ref="J140:J149" ca="1" si="74">IF(D140="JASA",G140*F140,0)</f>
        <v>0</v>
      </c>
      <c r="K140" s="362">
        <f t="shared" ref="K140:K149" ca="1" si="75">SUM(H140:J140)</f>
        <v>0</v>
      </c>
    </row>
    <row r="141" spans="2:11">
      <c r="B141" s="515" t="s">
        <v>1035</v>
      </c>
      <c r="C141" s="517" t="s">
        <v>1627</v>
      </c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>Unit</v>
      </c>
      <c r="F141" s="518">
        <v>1</v>
      </c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72"/>
        <v>0</v>
      </c>
      <c r="I141" s="361">
        <f t="shared" ca="1" si="73"/>
        <v>0</v>
      </c>
      <c r="J141" s="361">
        <f t="shared" ca="1" si="74"/>
        <v>0</v>
      </c>
      <c r="K141" s="362">
        <f t="shared" ca="1" si="75"/>
        <v>0</v>
      </c>
    </row>
    <row r="142" spans="2:11">
      <c r="B142" s="515">
        <v>1</v>
      </c>
      <c r="C142" s="517" t="s">
        <v>115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Set</v>
      </c>
      <c r="F142" s="518">
        <f>F141*1</f>
        <v>1</v>
      </c>
      <c r="G142" s="360">
        <f ca="1">IF(ISERROR(OFFSET('HARGA SATUAN'!$I$6,MATCH(RAB!C142,'HARGA SATUAN'!$C$7:$C$1492,0),0)),0,OFFSET('HARGA SATUAN'!$I$6,MATCH(RAB!C142,'HARGA SATUAN'!$C$7:$C$1492,0),0))</f>
        <v>11500</v>
      </c>
      <c r="H142" s="361">
        <f t="shared" ca="1" si="72"/>
        <v>0</v>
      </c>
      <c r="I142" s="361">
        <f t="shared" ca="1" si="73"/>
        <v>11500</v>
      </c>
      <c r="J142" s="361">
        <f t="shared" ca="1" si="74"/>
        <v>0</v>
      </c>
      <c r="K142" s="362">
        <f t="shared" ca="1" si="75"/>
        <v>11500</v>
      </c>
    </row>
    <row r="143" spans="2:11">
      <c r="B143" s="515">
        <v>2</v>
      </c>
      <c r="C143" s="517" t="s">
        <v>145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Set</v>
      </c>
      <c r="F143" s="518">
        <f>F141*1</f>
        <v>1</v>
      </c>
      <c r="G143" s="360">
        <f ca="1">IF(ISERROR(OFFSET('HARGA SATUAN'!$I$6,MATCH(RAB!C143,'HARGA SATUAN'!$C$7:$C$1492,0),0)),0,OFFSET('HARGA SATUAN'!$I$6,MATCH(RAB!C143,'HARGA SATUAN'!$C$7:$C$1492,0),0))</f>
        <v>6200</v>
      </c>
      <c r="H143" s="361">
        <f t="shared" ca="1" si="72"/>
        <v>0</v>
      </c>
      <c r="I143" s="361">
        <f t="shared" ca="1" si="73"/>
        <v>6200</v>
      </c>
      <c r="J143" s="361">
        <f t="shared" ca="1" si="74"/>
        <v>0</v>
      </c>
      <c r="K143" s="362">
        <f t="shared" ca="1" si="75"/>
        <v>6200</v>
      </c>
    </row>
    <row r="144" spans="2:11">
      <c r="B144" s="515">
        <v>3</v>
      </c>
      <c r="C144" s="517" t="s">
        <v>587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Btg</v>
      </c>
      <c r="F144" s="518">
        <f>F141*1</f>
        <v>1</v>
      </c>
      <c r="G144" s="360">
        <f ca="1">IF(ISERROR(OFFSET('HARGA SATUAN'!$I$6,MATCH(RAB!C144,'HARGA SATUAN'!$C$7:$C$1492,0),0)),0,OFFSET('HARGA SATUAN'!$I$6,MATCH(RAB!C144,'HARGA SATUAN'!$C$7:$C$1492,0),0))</f>
        <v>45796</v>
      </c>
      <c r="H144" s="361">
        <f t="shared" ca="1" si="72"/>
        <v>0</v>
      </c>
      <c r="I144" s="361">
        <f t="shared" ca="1" si="73"/>
        <v>45796</v>
      </c>
      <c r="J144" s="361">
        <f t="shared" ca="1" si="74"/>
        <v>0</v>
      </c>
      <c r="K144" s="362">
        <f t="shared" ca="1" si="75"/>
        <v>45796</v>
      </c>
    </row>
    <row r="145" spans="2:13">
      <c r="B145" s="515">
        <v>4</v>
      </c>
      <c r="C145" s="517" t="s">
        <v>118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Set</v>
      </c>
      <c r="F145" s="518">
        <f>F141*1</f>
        <v>1</v>
      </c>
      <c r="G145" s="360">
        <f ca="1">IF(ISERROR(OFFSET('HARGA SATUAN'!$I$6,MATCH(RAB!C145,'HARGA SATUAN'!$C$7:$C$1492,0),0)),0,OFFSET('HARGA SATUAN'!$I$6,MATCH(RAB!C145,'HARGA SATUAN'!$C$7:$C$1492,0),0))</f>
        <v>5300</v>
      </c>
      <c r="H145" s="361">
        <f t="shared" ca="1" si="72"/>
        <v>0</v>
      </c>
      <c r="I145" s="361">
        <f t="shared" ca="1" si="73"/>
        <v>5300</v>
      </c>
      <c r="J145" s="361">
        <f t="shared" ca="1" si="74"/>
        <v>0</v>
      </c>
      <c r="K145" s="362">
        <f t="shared" ca="1" si="75"/>
        <v>5300</v>
      </c>
    </row>
    <row r="146" spans="2:13">
      <c r="B146" s="515">
        <v>5</v>
      </c>
      <c r="C146" s="517" t="s">
        <v>117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18">
        <f>F141*1</f>
        <v>1</v>
      </c>
      <c r="G146" s="360">
        <f ca="1">IF(ISERROR(OFFSET('HARGA SATUAN'!$I$6,MATCH(RAB!C146,'HARGA SATUAN'!$C$7:$C$1492,0),0)),0,OFFSET('HARGA SATUAN'!$I$6,MATCH(RAB!C146,'HARGA SATUAN'!$C$7:$C$1492,0),0))</f>
        <v>58600</v>
      </c>
      <c r="H146" s="361">
        <f t="shared" ca="1" si="72"/>
        <v>0</v>
      </c>
      <c r="I146" s="361">
        <f t="shared" ca="1" si="73"/>
        <v>58600</v>
      </c>
      <c r="J146" s="361">
        <f t="shared" ca="1" si="74"/>
        <v>0</v>
      </c>
      <c r="K146" s="362">
        <f t="shared" ca="1" si="75"/>
        <v>58600</v>
      </c>
    </row>
    <row r="147" spans="2:13">
      <c r="B147" s="515">
        <v>6</v>
      </c>
      <c r="C147" s="109" t="s">
        <v>1154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Set</v>
      </c>
      <c r="F147" s="518">
        <f>F141*1</f>
        <v>1</v>
      </c>
      <c r="G147" s="360">
        <f ca="1">IF(ISERROR(OFFSET('HARGA SATUAN'!$I$6,MATCH(RAB!C147,'HARGA SATUAN'!$C$7:$C$1492,0),0)),0,OFFSET('HARGA SATUAN'!$I$6,MATCH(RAB!C147,'HARGA SATUAN'!$C$7:$C$1492,0),0))</f>
        <v>3888</v>
      </c>
      <c r="H147" s="361">
        <f t="shared" ca="1" si="72"/>
        <v>0</v>
      </c>
      <c r="I147" s="361">
        <f t="shared" ca="1" si="73"/>
        <v>3888</v>
      </c>
      <c r="J147" s="361">
        <f t="shared" ca="1" si="74"/>
        <v>0</v>
      </c>
      <c r="K147" s="362">
        <f t="shared" ca="1" si="75"/>
        <v>3888</v>
      </c>
    </row>
    <row r="148" spans="2:13">
      <c r="B148" s="515">
        <v>7</v>
      </c>
      <c r="C148" s="517" t="s">
        <v>119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Set</v>
      </c>
      <c r="F148" s="518">
        <f>F141*2</f>
        <v>2</v>
      </c>
      <c r="G148" s="360">
        <f ca="1">IF(ISERROR(OFFSET('HARGA SATUAN'!$I$6,MATCH(RAB!C148,'HARGA SATUAN'!$C$7:$C$1492,0),0)),0,OFFSET('HARGA SATUAN'!$I$6,MATCH(RAB!C148,'HARGA SATUAN'!$C$7:$C$1492,0),0))</f>
        <v>8900</v>
      </c>
      <c r="H148" s="361">
        <f t="shared" ca="1" si="72"/>
        <v>0</v>
      </c>
      <c r="I148" s="361">
        <f t="shared" ca="1" si="73"/>
        <v>17800</v>
      </c>
      <c r="J148" s="361">
        <f t="shared" ca="1" si="74"/>
        <v>0</v>
      </c>
      <c r="K148" s="362">
        <f t="shared" ca="1" si="75"/>
        <v>17800</v>
      </c>
    </row>
    <row r="149" spans="2:13">
      <c r="B149" s="374"/>
      <c r="C149" s="509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8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72"/>
        <v>0</v>
      </c>
      <c r="I149" s="361">
        <f t="shared" ca="1" si="73"/>
        <v>0</v>
      </c>
      <c r="J149" s="361">
        <f t="shared" ca="1" si="74"/>
        <v>0</v>
      </c>
      <c r="K149" s="362">
        <f t="shared" ca="1" si="75"/>
        <v>0</v>
      </c>
    </row>
    <row r="150" spans="2:13">
      <c r="B150" s="366" t="s">
        <v>22</v>
      </c>
      <c r="C150" s="367" t="s">
        <v>1617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368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ref="H150:H152" ca="1" si="76">IF(OR(D150="MDU",D150="MDU-KD"),(IF($O$3="RAB NON MDU","PLN KD",G150*F150)),0)</f>
        <v>0</v>
      </c>
      <c r="I150" s="361">
        <f t="shared" ref="I150:I152" ca="1" si="77">IF(D150="HDW",G150*F150,0)</f>
        <v>0</v>
      </c>
      <c r="J150" s="361">
        <f t="shared" ref="J150:J152" ca="1" si="78">IF(D150="JASA",G150*F150,0)</f>
        <v>0</v>
      </c>
      <c r="K150" s="362">
        <f t="shared" ref="K150:K152" ca="1" si="79">SUM(H150:J150)</f>
        <v>0</v>
      </c>
    </row>
    <row r="151" spans="2:13">
      <c r="B151" s="374"/>
      <c r="C151" s="373"/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/>
      </c>
      <c r="F151" s="368"/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ca="1" si="76"/>
        <v>0</v>
      </c>
      <c r="I151" s="361">
        <f t="shared" ca="1" si="77"/>
        <v>0</v>
      </c>
      <c r="J151" s="361">
        <f t="shared" ca="1" si="78"/>
        <v>0</v>
      </c>
      <c r="K151" s="362">
        <f t="shared" ca="1" si="79"/>
        <v>0</v>
      </c>
    </row>
    <row r="152" spans="2:13">
      <c r="B152" s="375"/>
      <c r="C152" s="376" t="s">
        <v>475</v>
      </c>
      <c r="D152" s="358" t="str">
        <f ca="1">IF(ISERROR(OFFSET('HARGA SATUAN'!$D$6,MATCH(RAB!C152,'HARGA SATUAN'!$C$7:$C$1492,0),0)),"",OFFSET('HARGA SATUAN'!$D$6,MATCH(RAB!C152,'HARGA SATUAN'!$C$7:$C$1492,0),0))</f>
        <v/>
      </c>
      <c r="E152" s="359" t="str">
        <f ca="1">IF(B152="+","Unit",IF(ISERROR(OFFSET('HARGA SATUAN'!$E$6,MATCH(RAB!C152,'HARGA SATUAN'!$C$7:$C$1492,0),0)),"",OFFSET('HARGA SATUAN'!$E$6,MATCH(RAB!C152,'HARGA SATUAN'!$C$7:$C$1492,0),0)))</f>
        <v/>
      </c>
      <c r="F152" s="368"/>
      <c r="G152" s="360">
        <f ca="1">IF(ISERROR(OFFSET('HARGA SATUAN'!$I$6,MATCH(RAB!C152,'HARGA SATUAN'!$C$7:$C$1492,0),0)),0,OFFSET('HARGA SATUAN'!$I$6,MATCH(RAB!C152,'HARGA SATUAN'!$C$7:$C$1492,0),0))</f>
        <v>0</v>
      </c>
      <c r="H152" s="361">
        <f t="shared" ca="1" si="76"/>
        <v>0</v>
      </c>
      <c r="I152" s="361">
        <f t="shared" ca="1" si="77"/>
        <v>0</v>
      </c>
      <c r="J152" s="361">
        <f t="shared" ca="1" si="78"/>
        <v>0</v>
      </c>
      <c r="K152" s="362">
        <f t="shared" ca="1" si="79"/>
        <v>0</v>
      </c>
    </row>
    <row r="153" spans="2:13">
      <c r="B153" s="378">
        <v>1</v>
      </c>
      <c r="C153" s="379" t="s">
        <v>1091</v>
      </c>
      <c r="D153" s="380" t="str">
        <f ca="1">IF(ISERROR(OFFSET('HARGA SATUAN'!$D$6,MATCH(RAB!C153,'HARGA SATUAN'!$C$7:$C$1492,0),0)),"",OFFSET('HARGA SATUAN'!$D$6,MATCH(RAB!C153,'HARGA SATUAN'!$C$7:$C$1492,0),0))</f>
        <v>JASA</v>
      </c>
      <c r="E153" s="381" t="str">
        <f ca="1">IF(ISERROR(OFFSET('HARGA SATUAN'!$E$6,MATCH(RAB!C153,'HARGA SATUAN'!$C$7:$C$1492,0),0)),"",OFFSET('HARGA SATUAN'!$E$6,MATCH(RAB!C153,'HARGA SATUAN'!$C$7:$C$1492,0),0))</f>
        <v>Lot</v>
      </c>
      <c r="F153" s="382">
        <v>1</v>
      </c>
      <c r="G153" s="383">
        <f ca="1">IF(ISERROR(OFFSET('HARGA SATUAN'!$I$6,MATCH(RAB!C153,'HARGA SATUAN'!$C$7:$C$1492,0),0)),0,OFFSET('HARGA SATUAN'!$I$6,MATCH(RAB!C153,'HARGA SATUAN'!$C$7:$C$1492,0),0))</f>
        <v>2.5000000000000001E-2</v>
      </c>
      <c r="H153" s="384"/>
      <c r="I153" s="384"/>
      <c r="J153" s="384">
        <f ca="1">SUM(K15:K23)*G153</f>
        <v>996813.33333333349</v>
      </c>
      <c r="K153" s="385">
        <f ca="1">SUM(H153:J153)</f>
        <v>996813.33333333349</v>
      </c>
    </row>
    <row r="154" spans="2:13">
      <c r="B154" s="386"/>
      <c r="C154" s="387"/>
      <c r="D154" s="358" t="str">
        <f ca="1">IF(ISERROR(OFFSET('HARGA SATUAN'!$D$6,MATCH(RAB!C154,'HARGA SATUAN'!$C$7:$C$1492,0),0)),"",OFFSET('HARGA SATUAN'!$D$6,MATCH(RAB!C154,'HARGA SATUAN'!$C$7:$C$1492,0),0))</f>
        <v/>
      </c>
      <c r="E154" s="359" t="str">
        <f ca="1">IF(ISERROR(OFFSET('HARGA SATUAN'!$E$6,MATCH(RAB!C154,'HARGA SATUAN'!$C$7:$C$1492,0),0)),"",OFFSET('HARGA SATUAN'!$E$6,MATCH(RAB!C154,'HARGA SATUAN'!$C$7:$C$1492,0),0))</f>
        <v/>
      </c>
      <c r="F154" s="377"/>
      <c r="G154" s="360" t="str">
        <f ca="1">IF(ISERROR(OFFSET('HARGA SATUAN'!$I$6,MATCH(RAB!C154,'HARGA SATUAN'!$C$7:$C$1492,0),0)),"",OFFSET('HARGA SATUAN'!$I$6,MATCH(RAB!C154,'HARGA SATUAN'!$C$7:$C$1492,0),0))</f>
        <v/>
      </c>
      <c r="H154" s="361">
        <f ca="1">IF(OR(D154="MDU",D154="MDU-KD"),IF(G154="PLN",0,G154*F154),0)</f>
        <v>0</v>
      </c>
      <c r="I154" s="361">
        <f ca="1">IF(D154="HDW",IF(G154="PLN",0,G154*F154),0)</f>
        <v>0</v>
      </c>
      <c r="J154" s="361">
        <f ca="1">IF(D154="JASA",IF(G154="PLN",0,G154*F154),0)</f>
        <v>0</v>
      </c>
      <c r="K154" s="362">
        <f ca="1">SUM(H154:J154)</f>
        <v>0</v>
      </c>
    </row>
    <row r="155" spans="2:13" ht="15.75" thickBot="1">
      <c r="B155" s="388"/>
      <c r="C155" s="389"/>
      <c r="D155" s="390"/>
      <c r="E155" s="391"/>
      <c r="F155" s="391"/>
      <c r="G155" s="391"/>
      <c r="H155" s="392"/>
      <c r="I155" s="392"/>
      <c r="J155" s="392"/>
      <c r="K155" s="393"/>
    </row>
    <row r="156" spans="2:13">
      <c r="B156" s="394"/>
      <c r="C156" s="649" t="s">
        <v>1008</v>
      </c>
      <c r="D156" s="649"/>
      <c r="E156" s="649"/>
      <c r="F156" s="649"/>
      <c r="G156" s="395" t="s">
        <v>9</v>
      </c>
      <c r="H156" s="396">
        <f ca="1">SUM(H14:H154)</f>
        <v>48092400</v>
      </c>
      <c r="I156" s="396">
        <f ca="1">SUM(I14:I154)</f>
        <v>46721759.973333336</v>
      </c>
      <c r="J156" s="396">
        <f ca="1">SUM(J14:J154)</f>
        <v>5057369.1181410607</v>
      </c>
      <c r="K156" s="396">
        <f ca="1">SUM(K14:K154)</f>
        <v>99871529.091474399</v>
      </c>
    </row>
    <row r="157" spans="2:13">
      <c r="B157" s="398"/>
      <c r="C157" s="632" t="s">
        <v>1457</v>
      </c>
      <c r="D157" s="632"/>
      <c r="E157" s="632"/>
      <c r="F157" s="632"/>
      <c r="G157" s="399" t="s">
        <v>9</v>
      </c>
      <c r="H157" s="400">
        <f ca="1">H156*0.11</f>
        <v>5290164</v>
      </c>
      <c r="I157" s="400">
        <f ca="1">I156*0.11</f>
        <v>5139393.5970666669</v>
      </c>
      <c r="J157" s="400">
        <f ca="1">J156*0.11</f>
        <v>556310.60299551673</v>
      </c>
      <c r="K157" s="400">
        <f ca="1">K156*0.11</f>
        <v>10985868.200062184</v>
      </c>
    </row>
    <row r="158" spans="2:13" ht="15.75" thickBot="1">
      <c r="B158" s="398"/>
      <c r="C158" s="630" t="s">
        <v>463</v>
      </c>
      <c r="D158" s="630"/>
      <c r="E158" s="630"/>
      <c r="F158" s="630"/>
      <c r="G158" s="401" t="s">
        <v>9</v>
      </c>
      <c r="H158" s="402">
        <f ca="1">SUM(H156:H157)</f>
        <v>53382564</v>
      </c>
      <c r="I158" s="402">
        <f ca="1">SUM(I156:I157)</f>
        <v>51861153.5704</v>
      </c>
      <c r="J158" s="401">
        <f ca="1">SUM(J156:J157)</f>
        <v>5613679.7211365774</v>
      </c>
      <c r="K158" s="401">
        <f ca="1">SUM(K156:K157)</f>
        <v>110857397.29153658</v>
      </c>
      <c r="M158" s="484"/>
    </row>
    <row r="159" spans="2:13">
      <c r="B159" s="633" t="str">
        <f ca="1">"Terbilang : "&amp;PROPER(IF(K158=0,"nol",IF(K158&lt;0,"minus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IF(--MID(TEXT(ABS(K158),"000000000000000"),1,3)=0,"",MID(TEXT(ABS(K158),"000000000000000"),1,1)&amp;" ratus "&amp;MID(TEXT(ABS(K158),"000000000000000"),2,1)&amp;" puluh "&amp;MID(TEXT(ABS(K158),"000000000000000"),3,1)&amp;" trilyun ")&amp; IF(--MID(TEXT(ABS(K158),"000000000000000"),4,3)=0,"",MID(TEXT(ABS(K158),"000000000000000"),4,1)&amp;" ratus "&amp;MID(TEXT(ABS(K158),"000000000000000"),5,1)&amp;" puluh "&amp;MID(TEXT(ABS(K158),"000000000000000"),6,1)&amp;" milyar ")&amp; IF(--MID(TEXT(ABS(K158),"000000000000000"),7,3)=0,"",MID(TEXT(ABS(K158),"000000000000000"),7,1)&amp;" ratus "&amp;MID(TEXT(ABS(K158),"000000000000000"),8,1)&amp;" puluh "&amp;MID(TEXT(ABS(K158),"000000000000000"),9,1)&amp;" juta ")&amp; IF(--MID(TEXT(ABS(K158),"000000000000000"),10,3)=0,"",IF(--MID(TEXT(ABS(K158),"000000000000000"),10,3)=1,"*",MID(TEXT(ABS(K158),"000000000000000"),10,1)&amp;" ratus "&amp;MID(TEXT(ABS(K158),"000000000000000"),11,1)&amp;" puluh ")&amp;MID(TEXT(ABS(K158),"000000000000000"),12,1)&amp;" ribu ")&amp; IF(--MID(TEXT(ABS(K158),"000000000000000"),13,3)=0,"",MID(TEXT(ABS(K158),"000000000000000"),13,1)&amp;" ratus "&amp;MID(TEXT(ABS(K158),"000000000000000"),14,1)&amp;" puluh "&amp;MID(TEXT(ABS(K158),"000000000000000"),15,1)),1,"satu"),2,"dua"),3,"tiga"),4,"empat"),5,"lima"),6,"enam"),7,"tujuh"),8,"delapan"),9,"sembilan"),"0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Sepuluh Juta Delapan Ratus Lima Puluh Tujuh Ribu Tiga Ratus Sembilan Puluh Tujuh Rupiah</v>
      </c>
      <c r="C159" s="634"/>
      <c r="D159" s="634"/>
      <c r="E159" s="634"/>
      <c r="F159" s="634"/>
      <c r="G159" s="634"/>
      <c r="H159" s="634"/>
      <c r="I159" s="634"/>
      <c r="J159" s="634"/>
      <c r="K159" s="635"/>
    </row>
    <row r="160" spans="2:13">
      <c r="B160" s="636"/>
      <c r="C160" s="637"/>
      <c r="D160" s="637"/>
      <c r="E160" s="637"/>
      <c r="F160" s="637"/>
      <c r="G160" s="637"/>
      <c r="H160" s="637"/>
      <c r="I160" s="637"/>
      <c r="J160" s="637"/>
      <c r="K160" s="638"/>
    </row>
    <row r="161" spans="2:11" ht="15.75" thickBot="1">
      <c r="B161" s="403" t="str">
        <f>"Harga yang dipakai adalah "&amp;'HARGA SATUAN'!I5&amp;""</f>
        <v>Harga yang dipakai adalah RAB HSS 2023</v>
      </c>
      <c r="C161" s="404"/>
      <c r="D161" s="405"/>
      <c r="E161" s="405"/>
      <c r="F161" s="405"/>
      <c r="G161" s="406"/>
      <c r="H161" s="406"/>
      <c r="I161" s="406"/>
      <c r="J161" s="406"/>
      <c r="K161" s="407"/>
    </row>
    <row r="162" spans="2:11">
      <c r="C162" s="408"/>
      <c r="E162" s="410"/>
      <c r="F162" s="410"/>
      <c r="G162" s="410"/>
    </row>
    <row r="163" spans="2:11">
      <c r="C163" s="337"/>
      <c r="E163" s="410"/>
      <c r="F163" s="410"/>
      <c r="G163" s="410"/>
      <c r="H163" s="639"/>
      <c r="I163" s="639"/>
      <c r="J163" s="640"/>
      <c r="K163" s="640"/>
    </row>
    <row r="164" spans="2:11">
      <c r="C164" s="337"/>
      <c r="E164" s="410"/>
      <c r="F164" s="410"/>
      <c r="G164" s="410"/>
      <c r="H164" s="411"/>
      <c r="I164" s="629" t="s">
        <v>1610</v>
      </c>
      <c r="J164" s="629"/>
      <c r="K164" s="629"/>
    </row>
    <row r="165" spans="2:11">
      <c r="C165" s="337"/>
      <c r="E165" s="410"/>
      <c r="F165" s="410"/>
      <c r="G165" s="410"/>
      <c r="H165" s="411"/>
      <c r="I165" s="629" t="s">
        <v>1546</v>
      </c>
      <c r="J165" s="629"/>
      <c r="K165" s="629"/>
    </row>
    <row r="166" spans="2:11">
      <c r="C166" s="337"/>
      <c r="E166" s="410"/>
      <c r="F166" s="410"/>
      <c r="G166" s="410"/>
      <c r="H166" s="412"/>
      <c r="I166" s="413"/>
      <c r="J166" s="413"/>
      <c r="K166" s="413"/>
    </row>
    <row r="167" spans="2:11">
      <c r="C167" s="337"/>
      <c r="E167" s="410"/>
      <c r="F167" s="410"/>
      <c r="G167" s="410"/>
      <c r="H167" s="412"/>
      <c r="I167" s="412"/>
      <c r="J167" s="412"/>
      <c r="K167" s="412"/>
    </row>
    <row r="168" spans="2:11">
      <c r="C168" s="337"/>
      <c r="E168" s="410"/>
      <c r="F168" s="410"/>
      <c r="G168" s="410"/>
      <c r="H168" s="412"/>
      <c r="I168" s="412"/>
      <c r="J168" s="412"/>
      <c r="K168" s="412"/>
    </row>
    <row r="169" spans="2:11">
      <c r="C169" s="337"/>
      <c r="E169" s="410"/>
      <c r="F169" s="410"/>
      <c r="G169" s="410"/>
      <c r="H169" s="412"/>
      <c r="I169" s="412"/>
      <c r="J169" s="412"/>
      <c r="K169" s="412"/>
    </row>
    <row r="170" spans="2:11">
      <c r="C170" s="337"/>
      <c r="E170" s="410"/>
      <c r="F170" s="410"/>
      <c r="G170" s="410"/>
      <c r="H170" s="414"/>
      <c r="I170" s="629" t="s">
        <v>1547</v>
      </c>
      <c r="J170" s="629"/>
      <c r="K170" s="629"/>
    </row>
    <row r="171" spans="2:11">
      <c r="C171" s="408"/>
      <c r="E171" s="410"/>
      <c r="F171" s="410"/>
      <c r="G171" s="410"/>
      <c r="H171" s="412"/>
      <c r="I171" s="412"/>
      <c r="J171" s="412"/>
      <c r="K171" s="412"/>
    </row>
    <row r="172" spans="2:11">
      <c r="C172" s="408"/>
      <c r="E172" s="410"/>
      <c r="F172" s="410"/>
      <c r="G172" s="410"/>
      <c r="H172" s="412"/>
      <c r="I172" s="412"/>
      <c r="J172" s="412"/>
      <c r="K172" s="412"/>
    </row>
    <row r="173" spans="2:11">
      <c r="C173" s="408"/>
      <c r="E173" s="410"/>
      <c r="F173" s="410"/>
      <c r="G173" s="410"/>
      <c r="H173" s="412"/>
      <c r="I173" s="412"/>
      <c r="J173" s="412"/>
      <c r="K173" s="412"/>
    </row>
  </sheetData>
  <sheetProtection sort="0" autoFilter="0"/>
  <protectedRanges>
    <protectedRange sqref="B134:B149 B151" name="Range1_1"/>
    <protectedRange sqref="F98:F100 F107 F133:F152 F14:F96" name="Range1_1_2_2"/>
    <protectedRange sqref="C151 C134:C135 C139:C149 C137" name="Range1_1_1"/>
    <protectedRange sqref="B121 B110:C111 B116 B132:C133 B112 B109 B100:C100 B113:C115 B117:C120 B107:C108" name="Range1_6_2"/>
    <protectedRange sqref="C121" name="Range1_1_3_2"/>
    <protectedRange sqref="C116" name="Range1_1_3_3"/>
    <protectedRange sqref="C112" name="Range1_1_3_10"/>
    <protectedRange sqref="C138" name="Range1_1_3_13"/>
    <protectedRange sqref="C17 C22" name="Range1_1_3"/>
    <protectedRange sqref="C109" name="Range1_1_3_1"/>
    <protectedRange sqref="G97" name="Range1_3_7"/>
    <protectedRange sqref="C97" name="Range1_1_3_5"/>
    <protectedRange sqref="C136" name="Range1_1_3_4"/>
    <protectedRange sqref="C26" name="Range1_1_3_7"/>
    <protectedRange sqref="C18:C20" name="Range1_1_3_9"/>
    <protectedRange sqref="C21" name="Range1_1_3_11"/>
    <protectedRange sqref="C37" name="Range1_1_3_12"/>
    <protectedRange sqref="C48" name="Range1_1_3_14"/>
    <protectedRange sqref="C49:C50" name="Range1_1_3_15"/>
    <protectedRange sqref="C68" name="Range1_1_3_8"/>
    <protectedRange sqref="C96" name="Range1_1_3_17"/>
  </protectedRanges>
  <mergeCells count="22">
    <mergeCell ref="O3:P4"/>
    <mergeCell ref="B4:K4"/>
    <mergeCell ref="C156:F156"/>
    <mergeCell ref="B11:B13"/>
    <mergeCell ref="C11:C13"/>
    <mergeCell ref="D11:D13"/>
    <mergeCell ref="E11:E13"/>
    <mergeCell ref="F11:F13"/>
    <mergeCell ref="G11:G13"/>
    <mergeCell ref="I12:I13"/>
    <mergeCell ref="I165:K165"/>
    <mergeCell ref="I170:K170"/>
    <mergeCell ref="C158:F158"/>
    <mergeCell ref="G6:K6"/>
    <mergeCell ref="I164:K164"/>
    <mergeCell ref="C157:F157"/>
    <mergeCell ref="B159:K160"/>
    <mergeCell ref="H163:K163"/>
    <mergeCell ref="H11:K11"/>
    <mergeCell ref="H12:H13"/>
    <mergeCell ref="J12:J13"/>
    <mergeCell ref="K12:K13"/>
  </mergeCells>
  <phoneticPr fontId="141" type="noConversion"/>
  <conditionalFormatting sqref="C15 C121 C48:C50">
    <cfRule type="cellIs" dxfId="16" priority="511" operator="equal">
      <formula>0</formula>
    </cfRule>
  </conditionalFormatting>
  <conditionalFormatting sqref="C17:C23">
    <cfRule type="cellIs" dxfId="15" priority="10" operator="equal">
      <formula>0</formula>
    </cfRule>
  </conditionalFormatting>
  <conditionalFormatting sqref="C26">
    <cfRule type="cellIs" dxfId="14" priority="13" operator="equal">
      <formula>0</formula>
    </cfRule>
  </conditionalFormatting>
  <conditionalFormatting sqref="C37">
    <cfRule type="cellIs" dxfId="13" priority="8" operator="equal">
      <formula>0</formula>
    </cfRule>
  </conditionalFormatting>
  <conditionalFormatting sqref="C97">
    <cfRule type="cellIs" dxfId="12" priority="29" operator="equal">
      <formula>0</formula>
    </cfRule>
  </conditionalFormatting>
  <conditionalFormatting sqref="C99">
    <cfRule type="cellIs" dxfId="11" priority="136" operator="equal">
      <formula>0</formula>
    </cfRule>
  </conditionalFormatting>
  <conditionalFormatting sqref="C103">
    <cfRule type="cellIs" dxfId="10" priority="20" operator="equal">
      <formula>0</formula>
    </cfRule>
  </conditionalFormatting>
  <conditionalFormatting sqref="C105">
    <cfRule type="cellIs" dxfId="9" priority="21" operator="equal">
      <formula>0</formula>
    </cfRule>
  </conditionalFormatting>
  <conditionalFormatting sqref="C136">
    <cfRule type="cellIs" dxfId="8" priority="16" operator="equal">
      <formula>0</formula>
    </cfRule>
  </conditionalFormatting>
  <conditionalFormatting sqref="C147">
    <cfRule type="cellIs" dxfId="7" priority="27" operator="equal">
      <formula>0</formula>
    </cfRule>
  </conditionalFormatting>
  <conditionalFormatting sqref="C150">
    <cfRule type="cellIs" dxfId="6" priority="134" operator="equal">
      <formula>0</formula>
    </cfRule>
  </conditionalFormatting>
  <conditionalFormatting sqref="D97:G97">
    <cfRule type="cellIs" dxfId="5" priority="37" operator="equal">
      <formula>0</formula>
    </cfRule>
  </conditionalFormatting>
  <conditionalFormatting sqref="E1:E3 G1:G13 E5:E13 H12:I12 O13 S14:V23 H97:K97 E98:K107 E108:E120 G108:K120 E153:G153 H153:K155 E154:H154 E155:F155 E121:K152 E14:K96">
    <cfRule type="cellIs" dxfId="4" priority="1091" stopIfTrue="1" operator="equal">
      <formula>0</formula>
    </cfRule>
  </conditionalFormatting>
  <conditionalFormatting sqref="F109:F120">
    <cfRule type="cellIs" dxfId="3" priority="28" stopIfTrue="1" operator="equal">
      <formula>0</formula>
    </cfRule>
  </conditionalFormatting>
  <conditionalFormatting sqref="G154:G65620 E159:E65620">
    <cfRule type="cellIs" dxfId="2" priority="225" stopIfTrue="1" operator="equal">
      <formula>0</formula>
    </cfRule>
  </conditionalFormatting>
  <conditionalFormatting sqref="C68">
    <cfRule type="cellIs" dxfId="1" priority="2" operator="equal">
      <formula>0</formula>
    </cfRule>
  </conditionalFormatting>
  <conditionalFormatting sqref="C96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C110:C112 C117:C120 F109:F132 F98:F107 F28:F33 F54:F59 F61:F79 F81:F86 F88:F96 H14:K15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97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0" zoomScaleNormal="115" zoomScaleSheetLayoutView="100" workbookViewId="0">
      <selection activeCell="T39" sqref="T3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12" t="s">
        <v>1439</v>
      </c>
      <c r="X2" s="713"/>
      <c r="Y2" s="713"/>
      <c r="Z2" s="713"/>
      <c r="AA2" s="713"/>
      <c r="AB2" s="713"/>
      <c r="AC2" s="713"/>
      <c r="AD2" s="714"/>
    </row>
    <row r="3" spans="3:30">
      <c r="C3" s="238"/>
      <c r="W3" s="715"/>
      <c r="X3" s="716"/>
      <c r="Y3" s="716"/>
      <c r="Z3" s="716"/>
      <c r="AA3" s="716"/>
      <c r="AB3" s="716"/>
      <c r="AC3" s="716"/>
      <c r="AD3" s="71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238"/>
      <c r="W6" s="241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238"/>
      <c r="E7" s="490" t="s">
        <v>1633</v>
      </c>
      <c r="W7" s="241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238"/>
      <c r="W8" s="241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238"/>
      <c r="W9" s="241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238"/>
      <c r="W10" s="241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238"/>
      <c r="W11" s="241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238"/>
      <c r="W12" s="241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238"/>
      <c r="W13" s="241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238"/>
      <c r="W14" s="241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238"/>
      <c r="W15" s="241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238"/>
      <c r="W16" s="241">
        <v>11</v>
      </c>
      <c r="X16" s="661" t="s">
        <v>1455</v>
      </c>
      <c r="Y16" s="661"/>
      <c r="Z16" s="661"/>
      <c r="AA16" s="661"/>
      <c r="AB16" s="661"/>
      <c r="AC16" s="661"/>
      <c r="AD16" s="662"/>
    </row>
    <row r="17" spans="3:30">
      <c r="C17" s="238"/>
      <c r="S17" s="242"/>
      <c r="W17" s="241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243"/>
      <c r="D18" s="244"/>
      <c r="E18" s="244"/>
      <c r="W18" s="241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238"/>
      <c r="W19" s="245"/>
      <c r="X19" s="710"/>
      <c r="Y19" s="710"/>
      <c r="Z19" s="710"/>
      <c r="AA19" s="710"/>
      <c r="AB19" s="710"/>
      <c r="AC19" s="710"/>
      <c r="AD19" s="711"/>
    </row>
    <row r="20" spans="3:30">
      <c r="C20" s="238"/>
      <c r="W20" s="699" t="s">
        <v>992</v>
      </c>
      <c r="X20" s="700"/>
      <c r="Y20" s="700"/>
      <c r="Z20" s="700"/>
      <c r="AA20" s="700"/>
      <c r="AB20" s="700"/>
      <c r="AC20" s="700"/>
      <c r="AD20" s="701"/>
    </row>
    <row r="21" spans="3:30">
      <c r="C21" s="238"/>
      <c r="W21" s="702" t="s">
        <v>985</v>
      </c>
      <c r="X21" s="703"/>
      <c r="Y21" s="703"/>
      <c r="Z21" s="704"/>
      <c r="AA21" s="705" t="s">
        <v>986</v>
      </c>
      <c r="AB21" s="706"/>
      <c r="AC21" s="706"/>
      <c r="AD21" s="707"/>
    </row>
    <row r="22" spans="3:30">
      <c r="C22" s="238"/>
      <c r="W22" s="692"/>
      <c r="X22" s="693"/>
      <c r="Y22" s="492"/>
      <c r="Z22" s="493"/>
      <c r="AA22" s="708"/>
      <c r="AB22" s="709"/>
      <c r="AC22" s="248"/>
      <c r="AD22" s="249"/>
    </row>
    <row r="23" spans="3:30">
      <c r="C23" s="238"/>
      <c r="W23" s="692"/>
      <c r="X23" s="693"/>
      <c r="Y23" s="492"/>
      <c r="Z23" s="493"/>
      <c r="AA23" s="697"/>
      <c r="AB23" s="698"/>
      <c r="AC23" s="248"/>
      <c r="AD23" s="249"/>
    </row>
    <row r="24" spans="3:30">
      <c r="C24" s="238"/>
      <c r="W24" s="692"/>
      <c r="X24" s="693"/>
      <c r="Y24" s="246"/>
      <c r="Z24" s="247"/>
      <c r="AA24" s="694"/>
      <c r="AB24" s="695"/>
      <c r="AC24" s="248"/>
      <c r="AD24" s="249"/>
    </row>
    <row r="25" spans="3:30">
      <c r="C25" s="238"/>
      <c r="W25" s="690"/>
      <c r="X25" s="696"/>
      <c r="Y25" s="246"/>
      <c r="Z25" s="247"/>
      <c r="AA25" s="697"/>
      <c r="AB25" s="698"/>
      <c r="AC25" s="248"/>
      <c r="AD25" s="249"/>
    </row>
    <row r="26" spans="3:30">
      <c r="C26" s="238"/>
      <c r="W26" s="480"/>
      <c r="X26" s="481"/>
      <c r="Y26" s="246"/>
      <c r="Z26" s="247"/>
      <c r="AA26" s="697"/>
      <c r="AB26" s="698"/>
      <c r="AC26" s="248"/>
      <c r="AD26" s="249"/>
    </row>
    <row r="27" spans="3:30">
      <c r="C27" s="238"/>
      <c r="W27" s="480"/>
      <c r="X27" s="481"/>
      <c r="Y27" s="246"/>
      <c r="Z27" s="247"/>
      <c r="AA27" s="689"/>
      <c r="AB27" s="684"/>
      <c r="AC27" s="248"/>
      <c r="AD27" s="249"/>
    </row>
    <row r="28" spans="3:30">
      <c r="C28" s="238"/>
      <c r="W28" s="480"/>
      <c r="X28" s="481"/>
      <c r="Y28" s="246"/>
      <c r="Z28" s="247"/>
      <c r="AA28" s="689"/>
      <c r="AB28" s="684"/>
      <c r="AC28" s="248"/>
      <c r="AD28" s="249"/>
    </row>
    <row r="29" spans="3:30">
      <c r="C29" s="238"/>
      <c r="W29" s="480"/>
      <c r="X29" s="481"/>
      <c r="Y29" s="246"/>
      <c r="Z29" s="247"/>
      <c r="AA29" s="689"/>
      <c r="AB29" s="684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9"/>
      <c r="AB30" s="684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9"/>
      <c r="AB31" s="684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9"/>
      <c r="AB32" s="684"/>
      <c r="AC32" s="248"/>
      <c r="AD32" s="249"/>
    </row>
    <row r="33" spans="3:30">
      <c r="C33" s="238"/>
      <c r="W33" s="480"/>
      <c r="X33" s="481"/>
      <c r="Y33" s="246"/>
      <c r="Z33" s="247"/>
      <c r="AA33" s="689"/>
      <c r="AB33" s="684"/>
      <c r="AC33" s="248"/>
      <c r="AD33" s="249"/>
    </row>
    <row r="34" spans="3:30">
      <c r="C34" s="238"/>
      <c r="W34" s="480"/>
      <c r="X34" s="481"/>
      <c r="Y34" s="246"/>
      <c r="Z34" s="247"/>
      <c r="AA34" s="689"/>
      <c r="AB34" s="684"/>
      <c r="AC34" s="248"/>
      <c r="AD34" s="249"/>
    </row>
    <row r="35" spans="3:30">
      <c r="C35" s="238"/>
      <c r="W35" s="690"/>
      <c r="X35" s="691"/>
      <c r="Y35" s="246"/>
      <c r="Z35" s="247"/>
      <c r="AA35" s="689"/>
      <c r="AB35" s="684"/>
      <c r="AC35" s="248"/>
      <c r="AD35" s="249"/>
    </row>
    <row r="36" spans="3:30">
      <c r="C36" s="238"/>
      <c r="W36" s="681"/>
      <c r="X36" s="682"/>
      <c r="Y36" s="246"/>
      <c r="Z36" s="251"/>
      <c r="AA36" s="683"/>
      <c r="AB36" s="684"/>
      <c r="AC36" s="248"/>
      <c r="AD36" s="249"/>
    </row>
    <row r="37" spans="3:30" ht="12.75" customHeight="1">
      <c r="C37" s="238"/>
      <c r="W37" s="685"/>
      <c r="X37" s="686"/>
      <c r="Y37" s="246"/>
      <c r="Z37" s="251"/>
      <c r="AA37" s="687"/>
      <c r="AB37" s="688"/>
      <c r="AC37" s="252"/>
      <c r="AD37" s="253"/>
    </row>
    <row r="38" spans="3:30" ht="12.75" customHeight="1">
      <c r="C38" s="238"/>
      <c r="W38" s="685"/>
      <c r="X38" s="686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1"/>
      <c r="W39" s="685"/>
      <c r="X39" s="686"/>
      <c r="Y39" s="254"/>
      <c r="Z39" s="257"/>
      <c r="AA39" s="677"/>
      <c r="AB39" s="678"/>
      <c r="AC39" s="252"/>
      <c r="AD39" s="253"/>
    </row>
    <row r="40" spans="3:30" ht="12" customHeight="1">
      <c r="C40" s="238"/>
      <c r="D40" s="521"/>
      <c r="W40" s="673"/>
      <c r="X40" s="674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1"/>
      <c r="W41" s="675"/>
      <c r="X41" s="676"/>
      <c r="Y41" s="260"/>
      <c r="Z41" s="261"/>
      <c r="AA41" s="677"/>
      <c r="AB41" s="678"/>
      <c r="AC41" s="252"/>
      <c r="AD41" s="253"/>
    </row>
    <row r="42" spans="3:30" ht="12" customHeight="1">
      <c r="C42" s="238"/>
      <c r="D42" s="521"/>
      <c r="W42" s="679" t="s">
        <v>1456</v>
      </c>
      <c r="X42" s="680"/>
      <c r="Y42" s="680"/>
      <c r="Z42" s="680"/>
      <c r="AA42" s="262"/>
      <c r="AB42" s="262"/>
      <c r="AC42" s="262"/>
      <c r="AD42" s="263"/>
    </row>
    <row r="43" spans="3:30" ht="12" customHeight="1">
      <c r="C43" s="238"/>
      <c r="D43" s="521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1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8" t="s">
        <v>11</v>
      </c>
      <c r="X44" s="659"/>
      <c r="Y44" s="661"/>
      <c r="Z44" s="661"/>
      <c r="AA44" s="661"/>
      <c r="AB44" s="661"/>
      <c r="AC44" s="661"/>
      <c r="AD44" s="662"/>
    </row>
    <row r="45" spans="3:30">
      <c r="C45" s="268"/>
      <c r="D45" s="521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8" t="s">
        <v>984</v>
      </c>
      <c r="X45" s="659"/>
      <c r="Y45" s="661">
        <v>1</v>
      </c>
      <c r="Z45" s="661"/>
      <c r="AA45" s="661"/>
      <c r="AB45" s="661" t="s">
        <v>12</v>
      </c>
      <c r="AC45" s="66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8" t="s">
        <v>15</v>
      </c>
      <c r="X46" s="659"/>
      <c r="Y46" s="672"/>
      <c r="Z46" s="672"/>
      <c r="AA46" s="672"/>
      <c r="AB46" s="661" t="s">
        <v>16</v>
      </c>
      <c r="AC46" s="66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6" t="s">
        <v>17</v>
      </c>
      <c r="X47" s="666"/>
      <c r="Y47" s="666"/>
      <c r="Z47" s="666"/>
      <c r="AA47" s="666"/>
      <c r="AB47" s="666"/>
      <c r="AC47" s="666"/>
      <c r="AD47" s="66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8" t="str">
        <f>RAB!G6</f>
        <v>IOH GETAS</v>
      </c>
      <c r="X48" s="668"/>
      <c r="Y48" s="668"/>
      <c r="Z48" s="668"/>
      <c r="AA48" s="668"/>
      <c r="AB48" s="668"/>
      <c r="AC48" s="668"/>
      <c r="AD48" s="66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8"/>
      <c r="X49" s="668"/>
      <c r="Y49" s="668"/>
      <c r="Z49" s="668"/>
      <c r="AA49" s="668"/>
      <c r="AB49" s="668"/>
      <c r="AC49" s="668"/>
      <c r="AD49" s="66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8"/>
      <c r="X50" s="668"/>
      <c r="Y50" s="668"/>
      <c r="Z50" s="668"/>
      <c r="AA50" s="668"/>
      <c r="AB50" s="668"/>
      <c r="AC50" s="668"/>
      <c r="AD50" s="66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70"/>
      <c r="X51" s="670"/>
      <c r="Y51" s="670"/>
      <c r="Z51" s="670"/>
      <c r="AA51" s="670"/>
      <c r="AB51" s="670"/>
      <c r="AC51" s="670"/>
      <c r="AD51" s="67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8" t="s">
        <v>18</v>
      </c>
      <c r="X52" s="659"/>
      <c r="Y52" s="661" t="s">
        <v>1549</v>
      </c>
      <c r="Z52" s="661"/>
      <c r="AA52" s="661"/>
      <c r="AB52" s="661"/>
      <c r="AC52" s="661"/>
      <c r="AD52" s="66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8" t="s">
        <v>19</v>
      </c>
      <c r="X53" s="659"/>
      <c r="Y53" s="661" t="s">
        <v>1549</v>
      </c>
      <c r="Z53" s="661"/>
      <c r="AA53" s="661"/>
      <c r="AB53" s="661"/>
      <c r="AC53" s="661"/>
      <c r="AD53" s="66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8" t="s">
        <v>20</v>
      </c>
      <c r="X54" s="659"/>
      <c r="Y54" s="660" t="s">
        <v>1550</v>
      </c>
      <c r="Z54" s="660"/>
      <c r="AA54" s="660"/>
      <c r="AB54" s="661"/>
      <c r="AC54" s="661"/>
      <c r="AD54" s="66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3" t="s">
        <v>21</v>
      </c>
      <c r="X55" s="664"/>
      <c r="Y55" s="660" t="s">
        <v>1551</v>
      </c>
      <c r="Z55" s="660"/>
      <c r="AA55" s="660"/>
      <c r="AB55" s="660"/>
      <c r="AC55" s="660"/>
      <c r="AD55" s="665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W64" sqref="W6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8" t="s">
        <v>1528</v>
      </c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20"/>
      <c r="AD4" s="217"/>
      <c r="AE4" s="216"/>
      <c r="AF4" s="216"/>
    </row>
    <row r="5" spans="2:32" ht="13.5" customHeight="1">
      <c r="B5" s="215"/>
      <c r="C5" s="215"/>
      <c r="D5" s="721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2"/>
      <c r="P5" s="722"/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2"/>
      <c r="AC5" s="723"/>
      <c r="AD5" s="217"/>
      <c r="AE5" s="216"/>
      <c r="AF5" s="216"/>
    </row>
    <row r="6" spans="2:32" ht="12.75" customHeight="1">
      <c r="B6" s="215"/>
      <c r="C6" s="215"/>
      <c r="D6" s="721"/>
      <c r="E6" s="722"/>
      <c r="F6" s="722"/>
      <c r="G6" s="722"/>
      <c r="H6" s="722"/>
      <c r="I6" s="722"/>
      <c r="J6" s="722"/>
      <c r="K6" s="722"/>
      <c r="L6" s="722"/>
      <c r="M6" s="722"/>
      <c r="N6" s="722"/>
      <c r="O6" s="722"/>
      <c r="P6" s="722"/>
      <c r="Q6" s="722"/>
      <c r="R6" s="722"/>
      <c r="S6" s="722"/>
      <c r="T6" s="722"/>
      <c r="U6" s="722"/>
      <c r="V6" s="722"/>
      <c r="W6" s="722"/>
      <c r="X6" s="722"/>
      <c r="Y6" s="722"/>
      <c r="Z6" s="722"/>
      <c r="AA6" s="722"/>
      <c r="AB6" s="722"/>
      <c r="AC6" s="723"/>
      <c r="AE6" s="216"/>
      <c r="AF6" s="216"/>
    </row>
    <row r="7" spans="2:32" ht="12.75" customHeight="1" thickBot="1">
      <c r="B7" s="215"/>
      <c r="C7" s="215"/>
      <c r="D7" s="724"/>
      <c r="E7" s="725"/>
      <c r="F7" s="725"/>
      <c r="G7" s="725"/>
      <c r="H7" s="725"/>
      <c r="I7" s="725"/>
      <c r="J7" s="725"/>
      <c r="K7" s="725"/>
      <c r="L7" s="725"/>
      <c r="M7" s="725"/>
      <c r="N7" s="725"/>
      <c r="O7" s="725"/>
      <c r="P7" s="725"/>
      <c r="Q7" s="725"/>
      <c r="R7" s="725"/>
      <c r="S7" s="725"/>
      <c r="T7" s="725"/>
      <c r="U7" s="725"/>
      <c r="V7" s="725"/>
      <c r="W7" s="725"/>
      <c r="X7" s="725"/>
      <c r="Y7" s="725"/>
      <c r="Z7" s="725"/>
      <c r="AA7" s="725"/>
      <c r="AB7" s="725"/>
      <c r="AC7" s="72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R67" sqref="R67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2" t="s">
        <v>1527</v>
      </c>
      <c r="D3" s="722"/>
      <c r="E3" s="722"/>
      <c r="F3" s="722"/>
      <c r="G3" s="722"/>
      <c r="H3" s="722"/>
      <c r="I3" s="722"/>
      <c r="J3" s="722"/>
      <c r="K3" s="722"/>
      <c r="L3" s="722"/>
      <c r="M3" s="722"/>
      <c r="N3" s="722"/>
      <c r="O3" s="722"/>
      <c r="P3" s="722"/>
      <c r="Q3" s="722"/>
      <c r="R3" s="722"/>
      <c r="S3" s="722"/>
      <c r="T3" s="722"/>
      <c r="U3" s="722"/>
      <c r="V3" s="722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22"/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7" t="s">
        <v>1637</v>
      </c>
      <c r="D6" s="727"/>
      <c r="E6" s="727"/>
      <c r="F6" s="727"/>
      <c r="G6" s="727"/>
      <c r="H6" s="727"/>
      <c r="I6" s="727"/>
      <c r="J6" s="727"/>
      <c r="K6" s="727"/>
      <c r="L6" s="727"/>
      <c r="M6" s="727"/>
      <c r="W6" s="182"/>
      <c r="Y6" s="428"/>
      <c r="Z6" s="428"/>
      <c r="AA6" s="428"/>
      <c r="AB6" s="429"/>
      <c r="AC6" s="429"/>
    </row>
    <row r="7" spans="1:29" ht="18" customHeight="1">
      <c r="A7" s="181"/>
      <c r="C7" s="727"/>
      <c r="D7" s="727"/>
      <c r="E7" s="727"/>
      <c r="F7" s="727"/>
      <c r="G7" s="727"/>
      <c r="H7" s="727"/>
      <c r="I7" s="727"/>
      <c r="J7" s="727"/>
      <c r="K7" s="727"/>
      <c r="L7" s="727"/>
      <c r="M7" s="727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2024-05-04T04:31:25Z</dcterms:modified>
</cp:coreProperties>
</file>