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B9F2FE95-551A-4A00-825E-947C163C2BCE}" xr6:coauthVersionLast="47" xr6:coauthVersionMax="47" xr10:uidLastSave="{00000000-0000-0000-0000-000000000000}"/>
  <bookViews>
    <workbookView xWindow="-120" yWindow="-120" windowWidth="29040" windowHeight="15720" tabRatio="859" activeTab="11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RAB!$A$1:$K$103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51" i="11" l="1"/>
  <c r="F55" i="11" s="1"/>
  <c r="F45" i="11"/>
  <c r="F49" i="11" s="1"/>
  <c r="F43" i="11"/>
  <c r="F42" i="11"/>
  <c r="F41" i="11"/>
  <c r="F40" i="11"/>
  <c r="F39" i="11"/>
  <c r="F38" i="11"/>
  <c r="D37" i="11"/>
  <c r="J37" i="11" s="1"/>
  <c r="E37" i="11"/>
  <c r="G37" i="11"/>
  <c r="D38" i="11"/>
  <c r="J38" i="11" s="1"/>
  <c r="E38" i="11"/>
  <c r="G38" i="11"/>
  <c r="D39" i="11"/>
  <c r="H39" i="11" s="1"/>
  <c r="E39" i="11"/>
  <c r="G39" i="11"/>
  <c r="D40" i="11"/>
  <c r="H40" i="11" s="1"/>
  <c r="E40" i="11"/>
  <c r="G40" i="11"/>
  <c r="D41" i="11"/>
  <c r="J41" i="11" s="1"/>
  <c r="E41" i="11"/>
  <c r="G41" i="11"/>
  <c r="D42" i="11"/>
  <c r="J42" i="11" s="1"/>
  <c r="E42" i="11"/>
  <c r="G42" i="11"/>
  <c r="D43" i="11"/>
  <c r="I43" i="11" s="1"/>
  <c r="E43" i="11"/>
  <c r="G43" i="11"/>
  <c r="D44" i="11"/>
  <c r="H44" i="11" s="1"/>
  <c r="E44" i="11"/>
  <c r="G44" i="11"/>
  <c r="D45" i="11"/>
  <c r="H45" i="11" s="1"/>
  <c r="E45" i="11"/>
  <c r="G45" i="11"/>
  <c r="D46" i="11"/>
  <c r="J46" i="11" s="1"/>
  <c r="E46" i="11"/>
  <c r="G46" i="11"/>
  <c r="D47" i="11"/>
  <c r="J47" i="11" s="1"/>
  <c r="E47" i="11"/>
  <c r="G47" i="11"/>
  <c r="D48" i="11"/>
  <c r="H48" i="11" s="1"/>
  <c r="E48" i="11"/>
  <c r="G48" i="11"/>
  <c r="D49" i="11"/>
  <c r="H49" i="11" s="1"/>
  <c r="E49" i="11"/>
  <c r="G49" i="11"/>
  <c r="D50" i="11"/>
  <c r="J50" i="11" s="1"/>
  <c r="E50" i="11"/>
  <c r="G50" i="11"/>
  <c r="D51" i="11"/>
  <c r="H51" i="11" s="1"/>
  <c r="E51" i="11"/>
  <c r="G51" i="11"/>
  <c r="D52" i="11"/>
  <c r="H52" i="11" s="1"/>
  <c r="E52" i="11"/>
  <c r="G52" i="11"/>
  <c r="D53" i="11"/>
  <c r="J53" i="11" s="1"/>
  <c r="E53" i="11"/>
  <c r="G53" i="11"/>
  <c r="D54" i="11"/>
  <c r="J54" i="11" s="1"/>
  <c r="E54" i="11"/>
  <c r="G54" i="11"/>
  <c r="D55" i="11"/>
  <c r="H55" i="11" s="1"/>
  <c r="E55" i="11"/>
  <c r="G55" i="11"/>
  <c r="D56" i="11"/>
  <c r="H56" i="11" s="1"/>
  <c r="E56" i="11"/>
  <c r="G56" i="11"/>
  <c r="D57" i="11"/>
  <c r="H57" i="11" s="1"/>
  <c r="E57" i="11"/>
  <c r="G57" i="11"/>
  <c r="F34" i="11"/>
  <c r="F33" i="11"/>
  <c r="F32" i="11"/>
  <c r="F31" i="11"/>
  <c r="F30" i="11"/>
  <c r="D29" i="11"/>
  <c r="J29" i="11" s="1"/>
  <c r="E29" i="11"/>
  <c r="G29" i="11"/>
  <c r="D30" i="11"/>
  <c r="J30" i="11" s="1"/>
  <c r="E30" i="11"/>
  <c r="G30" i="11"/>
  <c r="D31" i="11"/>
  <c r="H31" i="11" s="1"/>
  <c r="E31" i="11"/>
  <c r="G31" i="11"/>
  <c r="D32" i="11"/>
  <c r="H32" i="11" s="1"/>
  <c r="E32" i="11"/>
  <c r="G32" i="11"/>
  <c r="D33" i="11"/>
  <c r="J33" i="11" s="1"/>
  <c r="E33" i="11"/>
  <c r="G33" i="11"/>
  <c r="D34" i="11"/>
  <c r="E34" i="11"/>
  <c r="G34" i="11"/>
  <c r="D35" i="11"/>
  <c r="J35" i="11" s="1"/>
  <c r="E35" i="11"/>
  <c r="G35" i="11"/>
  <c r="G18" i="11"/>
  <c r="D18" i="11"/>
  <c r="H18" i="11" s="1"/>
  <c r="E18" i="11"/>
  <c r="D21" i="11"/>
  <c r="J21" i="11" s="1"/>
  <c r="E21" i="11"/>
  <c r="G21" i="11"/>
  <c r="J39" i="11" l="1"/>
  <c r="J45" i="11"/>
  <c r="I55" i="11"/>
  <c r="F46" i="11"/>
  <c r="I46" i="11" s="1"/>
  <c r="J48" i="11"/>
  <c r="I37" i="11"/>
  <c r="H37" i="11"/>
  <c r="F47" i="11"/>
  <c r="I47" i="11" s="1"/>
  <c r="I39" i="11"/>
  <c r="K39" i="11" s="1"/>
  <c r="F52" i="11"/>
  <c r="I52" i="11" s="1"/>
  <c r="J52" i="11"/>
  <c r="J57" i="11"/>
  <c r="J43" i="11"/>
  <c r="F48" i="11"/>
  <c r="I48" i="11" s="1"/>
  <c r="K48" i="11" s="1"/>
  <c r="F53" i="11"/>
  <c r="I53" i="11" s="1"/>
  <c r="J55" i="11"/>
  <c r="I45" i="11"/>
  <c r="K45" i="11" s="1"/>
  <c r="H43" i="11"/>
  <c r="F54" i="11"/>
  <c r="I54" i="11" s="1"/>
  <c r="J49" i="11"/>
  <c r="H47" i="11"/>
  <c r="H41" i="11"/>
  <c r="I40" i="11"/>
  <c r="J51" i="11"/>
  <c r="K51" i="11" s="1"/>
  <c r="I51" i="11"/>
  <c r="I49" i="11"/>
  <c r="I44" i="11"/>
  <c r="I41" i="11"/>
  <c r="H53" i="11"/>
  <c r="I57" i="11"/>
  <c r="J56" i="11"/>
  <c r="H54" i="11"/>
  <c r="H50" i="11"/>
  <c r="H46" i="11"/>
  <c r="J44" i="11"/>
  <c r="H42" i="11"/>
  <c r="J40" i="11"/>
  <c r="H38" i="11"/>
  <c r="I42" i="11"/>
  <c r="I38" i="11"/>
  <c r="I56" i="11"/>
  <c r="I50" i="11"/>
  <c r="J32" i="11"/>
  <c r="J31" i="11"/>
  <c r="I35" i="11"/>
  <c r="J34" i="11"/>
  <c r="I29" i="11"/>
  <c r="H35" i="11"/>
  <c r="I34" i="11"/>
  <c r="H33" i="11"/>
  <c r="I33" i="11"/>
  <c r="I32" i="11"/>
  <c r="I31" i="11"/>
  <c r="H29" i="11"/>
  <c r="I30" i="11"/>
  <c r="H34" i="11"/>
  <c r="H30" i="11"/>
  <c r="J18" i="11"/>
  <c r="I18" i="11"/>
  <c r="H21" i="11"/>
  <c r="I21" i="11"/>
  <c r="K49" i="11" l="1"/>
  <c r="K37" i="11"/>
  <c r="K55" i="11"/>
  <c r="K56" i="11"/>
  <c r="K52" i="11"/>
  <c r="K32" i="11"/>
  <c r="K41" i="11"/>
  <c r="K44" i="11"/>
  <c r="K57" i="11"/>
  <c r="K47" i="11"/>
  <c r="K43" i="11"/>
  <c r="K53" i="11"/>
  <c r="K40" i="11"/>
  <c r="K50" i="11"/>
  <c r="K42" i="11"/>
  <c r="K54" i="11"/>
  <c r="K31" i="11"/>
  <c r="K38" i="11"/>
  <c r="K46" i="11"/>
  <c r="K35" i="11"/>
  <c r="K33" i="11"/>
  <c r="K29" i="11"/>
  <c r="K34" i="11"/>
  <c r="K30" i="11"/>
  <c r="K18" i="11"/>
  <c r="K21" i="11"/>
  <c r="F27" i="11" l="1"/>
  <c r="F26" i="11"/>
  <c r="F25" i="11"/>
  <c r="F24" i="11"/>
  <c r="F23" i="11"/>
  <c r="D22" i="11"/>
  <c r="J22" i="11" s="1"/>
  <c r="E22" i="11"/>
  <c r="G22" i="11"/>
  <c r="D23" i="11"/>
  <c r="J23" i="11" s="1"/>
  <c r="E23" i="11"/>
  <c r="G23" i="11"/>
  <c r="D24" i="11"/>
  <c r="H24" i="11" s="1"/>
  <c r="E24" i="11"/>
  <c r="G24" i="11"/>
  <c r="D25" i="11"/>
  <c r="H25" i="11" s="1"/>
  <c r="E25" i="11"/>
  <c r="G25" i="11"/>
  <c r="D26" i="11"/>
  <c r="J26" i="11" s="1"/>
  <c r="E26" i="11"/>
  <c r="G26" i="11"/>
  <c r="D27" i="11"/>
  <c r="E27" i="11"/>
  <c r="G27" i="11"/>
  <c r="D28" i="11"/>
  <c r="H28" i="11" s="1"/>
  <c r="E28" i="11"/>
  <c r="G28" i="11"/>
  <c r="I22" i="11" l="1"/>
  <c r="I26" i="11"/>
  <c r="J28" i="11"/>
  <c r="I28" i="11"/>
  <c r="H26" i="11"/>
  <c r="I25" i="11"/>
  <c r="J24" i="11"/>
  <c r="H22" i="11"/>
  <c r="I24" i="11"/>
  <c r="J27" i="11"/>
  <c r="I27" i="11"/>
  <c r="I23" i="11"/>
  <c r="H27" i="11"/>
  <c r="J25" i="11"/>
  <c r="H23" i="11"/>
  <c r="F69" i="11"/>
  <c r="F68" i="11"/>
  <c r="F67" i="11"/>
  <c r="F66" i="11"/>
  <c r="F78" i="11"/>
  <c r="F77" i="11"/>
  <c r="F76" i="11"/>
  <c r="F75" i="11"/>
  <c r="F74" i="11"/>
  <c r="F73" i="11"/>
  <c r="F72" i="11"/>
  <c r="K22" i="11" l="1"/>
  <c r="K25" i="11"/>
  <c r="K26" i="11"/>
  <c r="K24" i="11"/>
  <c r="K28" i="11"/>
  <c r="K27" i="11"/>
  <c r="K23" i="11"/>
  <c r="G70" i="11" l="1"/>
  <c r="G71" i="11"/>
  <c r="G72" i="11"/>
  <c r="G73" i="11"/>
  <c r="G74" i="11"/>
  <c r="G75" i="11"/>
  <c r="G76" i="11"/>
  <c r="G77" i="11"/>
  <c r="G78" i="11"/>
  <c r="G79" i="11"/>
  <c r="G80" i="11"/>
  <c r="G81" i="11"/>
  <c r="G82" i="11"/>
  <c r="D70" i="11"/>
  <c r="H70" i="11" s="1"/>
  <c r="E70" i="11"/>
  <c r="D71" i="11"/>
  <c r="J71" i="11" s="1"/>
  <c r="E71" i="11"/>
  <c r="D72" i="11"/>
  <c r="E72" i="11"/>
  <c r="D73" i="11"/>
  <c r="H73" i="11" s="1"/>
  <c r="E73" i="11"/>
  <c r="D74" i="11"/>
  <c r="H74" i="11" s="1"/>
  <c r="E74" i="11"/>
  <c r="D75" i="11"/>
  <c r="J75" i="11" s="1"/>
  <c r="E75" i="11"/>
  <c r="D76" i="11"/>
  <c r="E76" i="11"/>
  <c r="D77" i="11"/>
  <c r="H77" i="11" s="1"/>
  <c r="E77" i="11"/>
  <c r="D78" i="11"/>
  <c r="H78" i="11" s="1"/>
  <c r="E78" i="11"/>
  <c r="D79" i="11"/>
  <c r="J79" i="11" s="1"/>
  <c r="E79" i="11"/>
  <c r="D80" i="11"/>
  <c r="J80" i="11" s="1"/>
  <c r="E80" i="11"/>
  <c r="D81" i="11"/>
  <c r="I81" i="11" s="1"/>
  <c r="E81" i="11"/>
  <c r="D82" i="11"/>
  <c r="H82" i="11" s="1"/>
  <c r="E82" i="11"/>
  <c r="D60" i="11"/>
  <c r="H60" i="11" s="1"/>
  <c r="E60" i="11"/>
  <c r="G60" i="11"/>
  <c r="D61" i="11"/>
  <c r="J61" i="11" s="1"/>
  <c r="E61" i="11"/>
  <c r="G61" i="11"/>
  <c r="D62" i="11"/>
  <c r="J62" i="11" s="1"/>
  <c r="E62" i="11"/>
  <c r="G62" i="11"/>
  <c r="F59" i="11"/>
  <c r="I76" i="11" l="1"/>
  <c r="I72" i="11"/>
  <c r="I78" i="11"/>
  <c r="J70" i="11"/>
  <c r="H81" i="11"/>
  <c r="J74" i="11"/>
  <c r="H72" i="11"/>
  <c r="I70" i="11"/>
  <c r="J78" i="11"/>
  <c r="H76" i="11"/>
  <c r="I74" i="11"/>
  <c r="I80" i="11"/>
  <c r="I79" i="11"/>
  <c r="I75" i="11"/>
  <c r="I71" i="11"/>
  <c r="J82" i="11"/>
  <c r="H80" i="11"/>
  <c r="H79" i="11"/>
  <c r="J77" i="11"/>
  <c r="H75" i="11"/>
  <c r="J73" i="11"/>
  <c r="H71" i="11"/>
  <c r="I82" i="11"/>
  <c r="J81" i="11"/>
  <c r="I77" i="11"/>
  <c r="J76" i="11"/>
  <c r="I73" i="11"/>
  <c r="J72" i="11"/>
  <c r="I61" i="11"/>
  <c r="H61" i="11"/>
  <c r="I62" i="11"/>
  <c r="H62" i="11"/>
  <c r="J60" i="11"/>
  <c r="I60" i="11"/>
  <c r="K79" i="11" l="1"/>
  <c r="K74" i="11"/>
  <c r="K76" i="11"/>
  <c r="K73" i="11"/>
  <c r="K82" i="11"/>
  <c r="K71" i="11"/>
  <c r="K80" i="11"/>
  <c r="K78" i="11"/>
  <c r="K77" i="11"/>
  <c r="K72" i="11"/>
  <c r="K70" i="11"/>
  <c r="K81" i="11"/>
  <c r="K75" i="11"/>
  <c r="K62" i="11"/>
  <c r="K60" i="11"/>
  <c r="K61" i="11"/>
  <c r="D58" i="11" l="1"/>
  <c r="E58" i="11"/>
  <c r="G58" i="11"/>
  <c r="J59" i="11"/>
  <c r="D64" i="11"/>
  <c r="D65" i="11"/>
  <c r="D66" i="11"/>
  <c r="D67" i="11"/>
  <c r="D68" i="11"/>
  <c r="D69" i="11"/>
  <c r="D17" i="11"/>
  <c r="J17" i="11" s="1"/>
  <c r="E17" i="11"/>
  <c r="G17" i="11"/>
  <c r="D20" i="11"/>
  <c r="H20" i="11" s="1"/>
  <c r="E20" i="11"/>
  <c r="G20" i="11"/>
  <c r="D15" i="11"/>
  <c r="J15" i="11" s="1"/>
  <c r="E15" i="11"/>
  <c r="G15" i="11"/>
  <c r="D16" i="11"/>
  <c r="J16" i="11" s="1"/>
  <c r="E16" i="11"/>
  <c r="G16" i="11"/>
  <c r="H58" i="11" l="1"/>
  <c r="I59" i="11"/>
  <c r="J58" i="11"/>
  <c r="I58" i="11"/>
  <c r="H59" i="11"/>
  <c r="J20" i="11"/>
  <c r="I20" i="11"/>
  <c r="I17" i="11"/>
  <c r="H17" i="11"/>
  <c r="I15" i="11"/>
  <c r="H15" i="11"/>
  <c r="I16" i="11"/>
  <c r="H16" i="11"/>
  <c r="K59" i="11" l="1"/>
  <c r="K58" i="11"/>
  <c r="K20" i="11"/>
  <c r="K17" i="11"/>
  <c r="K15" i="11"/>
  <c r="K16" i="11"/>
  <c r="G6" i="11" l="1"/>
  <c r="D63" i="11"/>
  <c r="J63" i="11" s="1"/>
  <c r="E63" i="11"/>
  <c r="G63" i="11"/>
  <c r="H64" i="11"/>
  <c r="E64" i="11"/>
  <c r="G64" i="11"/>
  <c r="E65" i="11"/>
  <c r="G65" i="11"/>
  <c r="J66" i="11"/>
  <c r="E66" i="11"/>
  <c r="G66" i="11"/>
  <c r="J67" i="11"/>
  <c r="E67" i="11"/>
  <c r="G67" i="11"/>
  <c r="E68" i="11"/>
  <c r="G68" i="11"/>
  <c r="H69" i="11"/>
  <c r="E69" i="11"/>
  <c r="G69" i="11"/>
  <c r="D20" i="60"/>
  <c r="H65" i="11" l="1"/>
  <c r="H68" i="11"/>
  <c r="J69" i="11"/>
  <c r="J68" i="11"/>
  <c r="I66" i="11"/>
  <c r="H66" i="11"/>
  <c r="J65" i="11"/>
  <c r="J64" i="11"/>
  <c r="I64" i="11"/>
  <c r="I68" i="11"/>
  <c r="H67" i="11"/>
  <c r="H63" i="11"/>
  <c r="I67" i="11"/>
  <c r="I63" i="11"/>
  <c r="I69" i="11"/>
  <c r="I65" i="11"/>
  <c r="D14" i="11"/>
  <c r="J14" i="11" s="1"/>
  <c r="E14" i="11"/>
  <c r="G14" i="11"/>
  <c r="K19" i="60"/>
  <c r="D19" i="60"/>
  <c r="K64" i="11" l="1"/>
  <c r="K66" i="11"/>
  <c r="K68" i="11"/>
  <c r="K69" i="11"/>
  <c r="K65" i="11"/>
  <c r="K63" i="11"/>
  <c r="K67" i="11"/>
  <c r="H14" i="1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A16" i="11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83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83" i="11"/>
  <c r="D84" i="11"/>
  <c r="H84" i="11" s="1"/>
  <c r="E84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84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91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83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84" i="11"/>
  <c r="I84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36" i="39"/>
  <c r="K84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86" i="11"/>
  <c r="H87" i="11" s="1"/>
  <c r="I86" i="11"/>
  <c r="I87" i="11" s="1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0" i="54"/>
  <c r="F337" i="29" l="1"/>
  <c r="F345" i="29"/>
  <c r="F316" i="29"/>
  <c r="F292" i="29"/>
  <c r="F352" i="29"/>
  <c r="F299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88" i="11"/>
  <c r="I88" i="11"/>
  <c r="F364" i="29"/>
  <c r="F69" i="39"/>
  <c r="F72" i="39"/>
  <c r="F367" i="29"/>
  <c r="J83" i="11"/>
  <c r="K83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86" i="11" l="1"/>
  <c r="K87" i="11" s="1"/>
  <c r="K88" i="11" s="1"/>
  <c r="B89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86" i="11"/>
  <c r="J87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88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27" i="41" l="1"/>
  <c r="F835" i="41"/>
  <c r="F782" i="41"/>
  <c r="F842" i="41"/>
  <c r="F789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<sst xmlns="http://schemas.openxmlformats.org/spreadsheetml/2006/main" count="4756" uniqueCount="1640">
  <si>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</si>
  <si>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</si>
  <si>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</si>
  <si>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</si>
  <si>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</si>
  <si>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</si>
  <si>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</si>
  <si>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</si>
  <si>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</si>
  <si>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</si>
  <si>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</si>
  <si>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</si>
  <si>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</si>
  <si>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</si>
  <si>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</si>
  <si>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</si>
  <si>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</si>
  <si>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</si>
  <si>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</si>
  <si>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</si>
  <si>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</si>
  <si>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</si>
  <si>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</si>
  <si>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</si>
  <si>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</si>
  <si>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</si>
  <si>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</si>
  <si>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</si>
  <si>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</si>
  <si>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</si>
  <si>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</si>
  <si>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</si>
  <si>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</si>
  <si>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</si>
  <si>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</si>
  <si>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</si>
  <si>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</si>
  <si>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</si>
  <si>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</si>
  <si>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</si>
  <si>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</si>
  <si>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</si>
  <si>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</si>
  <si>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</si>
  <si>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</si>
  <si>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</si>
  <si>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</si>
  <si>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</si>
  <si>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</si>
  <si>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</si>
  <si>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</si>
  <si>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</si>
  <si>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</si>
  <si>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</si>
  <si>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</si>
  <si>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</si>
  <si>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</si>
  <si>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</si>
  <si>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</si>
  <si>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</si>
  <si>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</si>
  <si>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</si>
  <si>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</si>
  <si>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</si>
  <si>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</si>
  <si>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</si>
  <si>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</si>
  <si>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</si>
  <si>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</si>
  <si>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</si>
  <si>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</si>
  <si>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</si>
  <si>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</si>
  <si>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</si>
  <si>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</si>
  <si>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</si>
  <si>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</si>
  <si>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</si>
  <si>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</si>
  <si>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</si>
  <si>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</si>
  <si>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</si>
  <si>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</si>
  <si>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</si>
  <si>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</si>
  <si>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</si>
  <si>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</si>
  <si>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</si>
  <si>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</si>
  <si>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</si>
  <si>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</si>
  <si>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</si>
  <si>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</si>
  <si>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</si>
  <si>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</si>
  <si>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</si>
  <si>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</si>
  <si>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</si>
  <si>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</si>
  <si>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</si>
  <si>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</si>
  <si>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</si>
  <si>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</si>
  <si>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</si>
  <si>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</si>
  <si>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</si>
  <si>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</si>
  <si>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</si>
  <si>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</si>
  <si>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</si>
  <si>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</si>
  <si>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</si>
  <si>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</si>
  <si>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</si>
  <si>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</si>
  <si>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</si>
  <si>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</si>
  <si>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</si>
  <si>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</si>
  <si>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</si>
  <si>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</si>
  <si>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</si>
  <si>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</si>
  <si>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</si>
  <si>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</si>
  <si>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</si>
  <si>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</si>
  <si>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</si>
  <si>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</si>
  <si>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</si>
  <si>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</si>
  <si>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</si>
  <si>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</si>
  <si>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</si>
  <si>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</si>
  <si>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</si>
  <si>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</si>
  <si>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</si>
  <si>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</si>
  <si>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</si>
  <si>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</si>
  <si>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</si>
  <si>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</si>
  <si>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</si>
  <si>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</si>
  <si>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</si>
  <si>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</si>
  <si>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</si>
  <si>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</si>
  <si>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</si>
  <si>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</si>
  <si>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</si>
  <si>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</si>
  <si>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</si>
  <si>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</si>
  <si>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</si>
  <si>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</si>
  <si>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</si>
  <si>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</si>
  <si>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</si>
  <si>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</si>
  <si>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</si>
  <si>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</si>
  <si>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</si>
  <si>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</si>
  <si>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</si>
  <si>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</si>
  <si>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</si>
  <si>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</si>
  <si>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</si>
  <si>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</si>
  <si>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</si>
  <si>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</si>
  <si>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</si>
  <si>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</si>
  <si>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</si>
  <si>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</si>
  <si>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</si>
  <si>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</si>
  <si>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</si>
  <si>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</si>
  <si>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</si>
  <si>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</si>
  <si>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</si>
  <si>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</si>
  <si>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</si>
  <si>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</si>
  <si>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</si>
  <si>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</si>
  <si>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</si>
  <si>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</si>
  <si>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</si>
  <si>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</si>
  <si>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</si>
  <si>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</si>
  <si>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</si>
  <si>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</si>
  <si>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</si>
  <si>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</si>
  <si>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</si>
  <si>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</si>
  <si>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</si>
  <si>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</si>
  <si>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</si>
  <si>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</si>
  <si>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</si>
  <si>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</si>
  <si>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</si>
  <si>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</si>
  <si>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</si>
  <si>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</si>
  <si>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</si>
  <si>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</si>
  <si>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</si>
  <si>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</si>
  <si>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</si>
  <si>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</si>
  <si>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</si>
  <si>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</si>
  <si>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</si>
  <si>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</si>
  <si>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</si>
  <si>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</si>
  <si>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</si>
  <si>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</si>
  <si>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</si>
  <si>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</si>
  <si>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</si>
  <si>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</si>
  <si>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</si>
  <si>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</si>
  <si>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</si>
  <si>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</si>
  <si>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</si>
  <si>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</si>
  <si>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</si>
  <si>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</si>
  <si>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</si>
  <si>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</si>
  <si>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</si>
  <si>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</si>
  <si>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</si>
  <si>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</si>
  <si>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</si>
  <si>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</si>
  <si>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</si>
  <si>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</si>
  <si>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</si>
  <si>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</si>
  <si>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</si>
  <si>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</si>
  <si>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</si>
  <si>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</si>
  <si>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</si>
  <si>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</si>
  <si>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</si>
  <si>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</si>
  <si>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</si>
  <si>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</si>
  <si>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</si>
  <si>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</si>
  <si>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</si>
  <si>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</si>
  <si>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</si>
  <si>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</si>
  <si>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</si>
  <si>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</si>
  <si>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</si>
  <si>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</si>
  <si>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</si>
  <si>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</si>
  <si>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</si>
  <si>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</si>
  <si>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</si>
  <si>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</si>
  <si>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</si>
  <si>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</si>
  <si>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</si>
  <si>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</si>
  <si>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</si>
  <si>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</si>
  <si>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</si>
  <si>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</si>
  <si>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</si>
  <si>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</si>
  <si>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</si>
  <si>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</si>
  <si>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</si>
  <si>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</si>
  <si>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</si>
  <si>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</si>
  <si>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</si>
  <si>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</si>
  <si>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</si>
  <si>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</si>
  <si>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</si>
  <si>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</si>
  <si>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</si>
  <si>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</si>
  <si>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</si>
  <si>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</si>
  <si>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</si>
  <si>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</si>
  <si>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</si>
  <si>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</si>
  <si>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</si>
  <si>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</si>
  <si>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</si>
  <si>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</si>
  <si>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</si>
  <si>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</si>
  <si>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</si>
  <si>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</si>
  <si>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</si>
  <si>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</si>
  <si>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</si>
  <si>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</si>
  <si>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</si>
  <si>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</si>
  <si>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</si>
  <si>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</si>
  <si>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</si>
  <si>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</si>
  <si>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</si>
  <si>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</si>
  <si>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</si>
  <si>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</si>
  <si>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</si>
  <si>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</si>
  <si>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</si>
  <si>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</si>
  <si>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</si>
  <si>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</si>
  <si>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</si>
  <si>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</si>
  <si>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</si>
  <si>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</si>
  <si>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</si>
  <si>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</si>
  <si>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</si>
  <si>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</si>
  <si>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</si>
  <si>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</si>
  <si>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</si>
  <si>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</si>
  <si>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</si>
  <si>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</si>
  <si>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</si>
  <si>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</si>
  <si>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</si>
  <si>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</si>
  <si>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</si>
  <si>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</si>
  <si>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</si>
  <si>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</si>
  <si>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</si>
  <si>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</si>
  <si>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</si>
  <si>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</si>
  <si>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</si>
  <si>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</si>
  <si>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</si>
  <si>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</si>
  <si>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</si>
  <si>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</si>
  <si>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</si>
  <si>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</si>
  <si>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</si>
  <si>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</si>
  <si>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</si>
  <si>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</si>
  <si>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</si>
  <si>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</si>
  <si>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</si>
  <si>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</si>
  <si>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</si>
  <si>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</si>
  <si>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</si>
  <si>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</si>
  <si>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</si>
  <si>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</si>
  <si>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</si>
  <si>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</si>
  <si>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</si>
  <si>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</si>
  <si>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</si>
  <si>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</si>
  <si>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</si>
  <si>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</si>
  <si>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</si>
  <si>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</si>
  <si>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</si>
  <si>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</si>
  <si>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</si>
  <si>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</si>
  <si>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</si>
  <si>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</si>
  <si>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</si>
  <si>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</si>
  <si>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</si>
  <si>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</si>
  <si>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</si>
  <si>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</si>
  <si>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</si>
  <si>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</si>
  <si>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</si>
  <si>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</si>
  <si>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</si>
  <si>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</si>
  <si>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</si>
  <si>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</si>
  <si>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</si>
  <si>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</si>
  <si>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</si>
  <si>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</si>
  <si>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</si>
  <si>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</si>
  <si>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</si>
  <si>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</si>
  <si>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</si>
  <si>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</si>
  <si>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</si>
  <si>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</si>
  <si>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</si>
  <si>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</si>
  <si>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</si>
  <si>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</si>
  <si>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</si>
  <si>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</si>
  <si>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</si>
  <si>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</si>
  <si>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</si>
  <si>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</si>
  <si>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</si>
  <si>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</si>
  <si>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</si>
  <si>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</si>
  <si>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</si>
  <si>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</si>
  <si>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</si>
  <si>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</si>
  <si>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</si>
  <si>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</si>
  <si>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</si>
  <si>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</si>
  <si>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</si>
  <si>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</si>
  <si>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</si>
  <si>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</si>
  <si>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</si>
  <si>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</si>
  <si>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</si>
  <si>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</si>
  <si>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</si>
  <si>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</si>
  <si>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</si>
  <si>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</si>
  <si>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</si>
  <si>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</si>
  <si>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</si>
  <si>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</si>
  <si>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</si>
  <si>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</si>
  <si>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</si>
  <si>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</si>
  <si>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</si>
  <si>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</si>
  <si>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</si>
  <si>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</si>
  <si>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</si>
  <si>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</si>
  <si>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</si>
  <si>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</si>
  <si>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</si>
  <si>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</si>
  <si>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</si>
  <si>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</si>
  <si>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</si>
  <si>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</si>
  <si>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</si>
  <si>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</si>
  <si>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</si>
  <si>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</si>
  <si>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</si>
  <si>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</si>
  <si>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</si>
  <si>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</si>
  <si>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</si>
  <si>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</si>
  <si>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</si>
  <si>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</si>
  <si>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</si>
  <si>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</si>
  <si>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</si>
  <si>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</si>
  <si>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</si>
  <si>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</si>
  <si>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</si>
  <si>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</si>
  <si>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</si>
  <si>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</si>
  <si>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</si>
  <si>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</si>
  <si>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</si>
  <si>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</si>
  <si>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</si>
  <si>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</si>
  <si>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</si>
  <si>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</si>
  <si>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</si>
  <si>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</si>
  <si>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</si>
  <si>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</si>
  <si>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</si>
  <si>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</si>
  <si>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</si>
  <si>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</si>
  <si>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</si>
  <si>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</si>
  <si>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</si>
  <si>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</si>
  <si>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</si>
  <si>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</si>
  <si>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</si>
  <si>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</si>
  <si>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</si>
  <si>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</si>
  <si>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</si>
  <si>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</si>
  <si>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</si>
  <si>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</si>
  <si>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</si>
  <si>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</si>
  <si>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</si>
  <si>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</si>
  <si>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</si>
  <si>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</si>
  <si>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</si>
  <si>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</si>
  <si>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</si>
  <si>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</si>
  <si>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</si>
  <si>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</si>
  <si>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</si>
  <si>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</si>
  <si>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</si>
  <si>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</si>
  <si>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</si>
  <si>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</si>
  <si>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</si>
  <si>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</si>
  <si>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</si>
  <si>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</si>
  <si>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</si>
  <si>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</si>
  <si>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</si>
  <si>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</si>
  <si>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</si>
  <si>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</si>
  <si>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</si>
  <si>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</si>
  <si>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</si>
  <si>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</si>
  <si>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</si>
  <si>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</si>
  <si>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</si>
  <si>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</si>
  <si>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</si>
  <si>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</si>
  <si>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</si>
  <si>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</si>
  <si>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</si>
  <si>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</si>
  <si>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</si>
  <si>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</si>
  <si>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</si>
  <si>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</si>
  <si>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</si>
  <si>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</si>
  <si>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</si>
  <si>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</si>
  <si>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</si>
  <si>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</si>
  <si>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</si>
  <si>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</si>
  <si>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</si>
  <si>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</si>
  <si>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</si>
  <si>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</si>
  <si>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</si>
  <si>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</si>
  <si>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</si>
  <si>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</si>
  <si>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</si>
  <si>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</si>
  <si>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</si>
  <si>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</si>
  <si>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</si>
  <si>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</si>
  <si>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</si>
  <si>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</si>
  <si>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</si>
  <si>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</si>
  <si>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</si>
  <si>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</si>
  <si>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</si>
  <si>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</si>
  <si>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</si>
  <si>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</si>
  <si>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</si>
  <si>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</si>
  <si>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</si>
  <si>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</si>
  <si>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</si>
  <si>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</si>
  <si>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</si>
  <si>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</si>
  <si>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</si>
  <si>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</si>
  <si>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</si>
  <si>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</si>
  <si>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</si>
  <si>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</si>
  <si>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</si>
  <si>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</si>
  <si>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</si>
  <si>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</si>
  <si>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</si>
  <si>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</si>
  <si>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</si>
  <si>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</si>
  <si>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</si>
  <si>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</si>
  <si>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</si>
  <si>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</si>
  <si>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</si>
  <si>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</si>
  <si>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</si>
  <si>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</si>
  <si>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</si>
  <si>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</si>
  <si>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</si>
  <si>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</si>
  <si>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</si>
  <si>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</si>
  <si>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</si>
  <si>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</si>
  <si>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</si>
  <si>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</si>
  <si>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</si>
  <si>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</si>
  <si>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</si>
  <si>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</si>
  <si>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</si>
  <si>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</si>
  <si>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</si>
  <si>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</si>
  <si>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</si>
  <si>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</si>
  <si>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</si>
  <si>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</si>
  <si>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</si>
  <si>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</si>
  <si>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</si>
  <si>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</si>
  <si>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</si>
  <si>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</si>
  <si>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</si>
  <si>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</si>
  <si>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</si>
  <si>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</si>
  <si>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</si>
  <si>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</si>
  <si>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</si>
  <si>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</si>
  <si>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</si>
  <si>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</si>
  <si>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</si>
  <si>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</si>
  <si>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</si>
  <si>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</si>
  <si>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</si>
  <si>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</si>
  <si>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</si>
  <si>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</si>
  <si>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</si>
  <si>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</si>
  <si>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</si>
  <si>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</si>
  <si>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</si>
  <si>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</si>
  <si>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</si>
  <si>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</si>
  <si>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</si>
  <si>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</si>
  <si>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</si>
  <si>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</si>
  <si>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</si>
  <si>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</si>
  <si>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</si>
  <si>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</si>
  <si>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</si>
  <si>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</si>
  <si>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</si>
  <si>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</si>
  <si>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</si>
  <si>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</si>
  <si>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</si>
  <si>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</si>
  <si>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</si>
  <si>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</si>
  <si>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</si>
  <si>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</si>
  <si>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</si>
  <si>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</si>
  <si>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</si>
  <si>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</si>
  <si>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</si>
  <si>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</si>
  <si>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</si>
  <si>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</si>
  <si>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</si>
  <si>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</si>
  <si>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</si>
  <si>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</si>
  <si>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</si>
  <si>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</si>
  <si>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</si>
  <si>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</si>
  <si>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</si>
  <si>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</si>
  <si>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</si>
  <si>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</si>
  <si>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</si>
  <si>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</si>
  <si>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</si>
  <si>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</si>
  <si>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</si>
  <si>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</si>
  <si>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</si>
  <si>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</si>
  <si>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</si>
  <si>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</si>
  <si>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</si>
  <si>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</si>
  <si>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</si>
  <si>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</si>
  <si>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</si>
  <si>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</si>
  <si>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</si>
  <si>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</si>
  <si>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</si>
  <si>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</si>
  <si>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</si>
  <si>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</si>
  <si>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</si>
  <si>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</si>
  <si>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</si>
  <si>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</si>
  <si>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</si>
  <si>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</si>
  <si>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</si>
  <si>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</si>
  <si>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</si>
  <si>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</si>
  <si>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</si>
  <si>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</si>
  <si>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</si>
  <si>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</si>
  <si>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</si>
  <si>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</si>
  <si>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</si>
  <si>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</si>
  <si>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</si>
  <si>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</si>
  <si>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</si>
  <si>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</si>
  <si>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</si>
  <si>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</si>
  <si>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</si>
  <si>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</si>
  <si>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</si>
  <si>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</si>
  <si>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</si>
  <si>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</si>
  <si>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</si>
  <si>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</si>
  <si>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</si>
  <si>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</si>
  <si>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</si>
  <si>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</si>
  <si>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</si>
  <si>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</si>
  <si>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</si>
  <si>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</si>
  <si>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</si>
  <si>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</si>
  <si>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</si>
  <si>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</si>
  <si>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</si>
  <si>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</si>
  <si>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</si>
  <si>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</si>
  <si>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</si>
  <si>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</si>
  <si>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</si>
  <si>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</si>
  <si>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</si>
  <si>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</si>
  <si>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</si>
  <si>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</si>
  <si>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</si>
  <si>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</si>
  <si>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</si>
  <si>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</si>
  <si>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</si>
  <si>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</si>
  <si>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</si>
  <si>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</si>
  <si>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</si>
  <si>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</si>
  <si>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</si>
  <si>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</si>
  <si>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</si>
  <si>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</si>
  <si>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</si>
  <si>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</si>
  <si>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</si>
  <si>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</si>
  <si>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</si>
  <si>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</si>
  <si>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</si>
  <si>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</si>
  <si>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</si>
  <si>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</si>
  <si>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</si>
  <si>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</si>
  <si>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</si>
  <si>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</si>
  <si>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</si>
  <si>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</si>
  <si>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</si>
  <si>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</si>
  <si>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</si>
  <si>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</si>
  <si>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</si>
  <si>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</si>
  <si>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</si>
  <si>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</si>
  <si>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</si>
  <si>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</si>
  <si>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</si>
  <si>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</si>
  <si>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</si>
  <si>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</si>
  <si>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</si>
  <si>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</si>
  <si>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</si>
  <si>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</si>
  <si>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</si>
  <si>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</si>
  <si>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</si>
  <si>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</si>
  <si>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</si>
  <si>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</si>
  <si>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</si>
  <si>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</si>
  <si>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</si>
  <si>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</si>
  <si>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</si>
  <si>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</si>
  <si>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</si>
  <si>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</si>
  <si>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</si>
  <si>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</si>
  <si>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</si>
  <si>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</si>
  <si>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</si>
  <si>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</si>
  <si>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</si>
  <si>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</si>
  <si>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</si>
  <si>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</si>
  <si>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</si>
  <si>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</si>
  <si>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</si>
  <si>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</si>
  <si>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</si>
  <si>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</si>
  <si>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</si>
  <si>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</si>
  <si>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</si>
  <si>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</si>
  <si>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</si>
  <si>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</si>
  <si>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</si>
  <si>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</si>
  <si>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</si>
  <si>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</si>
  <si>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</si>
  <si>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</si>
  <si>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</si>
  <si>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</si>
  <si>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</si>
  <si>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</si>
  <si>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</si>
  <si>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</si>
  <si>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</si>
  <si>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</si>
  <si>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</si>
  <si>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</si>
  <si>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</si>
  <si>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</si>
  <si>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</si>
  <si>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</si>
  <si>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</si>
  <si>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</si>
  <si>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</si>
  <si>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</si>
  <si>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</si>
  <si>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</si>
  <si>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</si>
  <si>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</si>
  <si>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</si>
  <si>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</si>
  <si>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</si>
  <si>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</si>
  <si>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</si>
  <si>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</si>
  <si>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</si>
  <si>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</si>
  <si>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</si>
  <si>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</si>
  <si>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</si>
  <si>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</si>
  <si>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</si>
  <si>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</si>
  <si>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</si>
  <si>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</si>
  <si>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</si>
  <si>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</si>
  <si>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</si>
  <si>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</si>
  <si>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</si>
  <si>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</si>
  <si>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</si>
  <si>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</si>
  <si>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</si>
  <si>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</si>
  <si>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</si>
  <si>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</si>
  <si>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</si>
  <si>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</si>
  <si>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</si>
  <si>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</si>
  <si>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</si>
  <si>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</si>
  <si>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</si>
  <si>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</si>
  <si>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</si>
  <si>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</si>
  <si>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</si>
  <si>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</si>
  <si>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</si>
  <si>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</si>
  <si>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</si>
  <si>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</si>
  <si>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</si>
  <si>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</si>
  <si>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</si>
  <si>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</si>
  <si>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</si>
  <si>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</si>
  <si>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</si>
  <si>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</si>
  <si>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</si>
  <si>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</si>
  <si>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</si>
  <si>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</si>
  <si>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</si>
  <si>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</si>
  <si>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</si>
  <si>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</si>
  <si>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</si>
  <si>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</si>
  <si>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</si>
  <si>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</si>
  <si>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</si>
  <si>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</si>
  <si>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</si>
  <si>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</si>
  <si>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</si>
  <si>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</si>
  <si>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</si>
  <si>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</si>
  <si>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</si>
  <si>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</si>
  <si>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</si>
  <si>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</si>
  <si>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</si>
  <si>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</si>
  <si>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</si>
  <si>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</si>
  <si>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</si>
  <si>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</si>
  <si>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</si>
  <si>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</si>
  <si>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</si>
  <si>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</si>
  <si>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</si>
  <si>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</si>
  <si>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</si>
  <si>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</si>
  <si>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</si>
  <si>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</si>
  <si>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</si>
  <si>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</si>
  <si>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</si>
  <si>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</si>
  <si>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</si>
  <si>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</si>
  <si>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</si>
  <si>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</si>
  <si>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</si>
  <si>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</si>
  <si>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</si>
  <si>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</si>
  <si>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</si>
  <si>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</si>
  <si>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</si>
  <si>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</si>
  <si>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</si>
  <si>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</si>
  <si>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</si>
  <si>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</si>
  <si>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</si>
  <si>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</si>
  <si>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</si>
  <si>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</si>
  <si>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</si>
  <si>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</si>
  <si>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</si>
  <si>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</si>
  <si>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</si>
  <si>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</si>
  <si>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</si>
  <si>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</si>
  <si>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</si>
  <si>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</si>
  <si>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</si>
  <si>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</si>
  <si>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</si>
  <si>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</si>
  <si>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</si>
  <si>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</si>
  <si>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</si>
  <si>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</si>
  <si>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</si>
  <si>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</si>
  <si>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</si>
  <si>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</si>
  <si>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</si>
  <si>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</si>
  <si>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</si>
  <si>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</si>
  <si>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</si>
  <si>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</si>
  <si>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</si>
  <si>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</si>
  <si>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</si>
  <si>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</si>
  <si>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</si>
  <si>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</si>
  <si>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</si>
  <si>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</si>
  <si>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</si>
  <si>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</si>
  <si>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</si>
  <si>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</si>
  <si>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</si>
  <si>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</si>
  <si>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</si>
  <si>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</si>
  <si>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</si>
  <si>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</si>
  <si>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</si>
  <si>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</si>
  <si>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</si>
  <si>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</si>
  <si>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</si>
  <si>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</si>
  <si>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</si>
  <si>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</si>
  <si>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</si>
  <si>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</si>
  <si>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</si>
  <si>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</si>
  <si>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</si>
  <si>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</si>
  <si>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</si>
  <si>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</si>
  <si>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</si>
  <si>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</si>
  <si>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</si>
  <si>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</si>
  <si>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</si>
  <si>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</si>
  <si>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</si>
  <si>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</si>
  <si>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</si>
  <si>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</si>
  <si>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</si>
  <si>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</si>
  <si>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</si>
  <si>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</si>
  <si>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</si>
  <si>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</si>
  <si>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</si>
  <si>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</si>
  <si>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</si>
  <si>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</si>
  <si>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</si>
  <si>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</si>
  <si>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</si>
  <si>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</si>
  <si>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</si>
  <si>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</si>
  <si>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</si>
  <si>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</si>
  <si>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</si>
  <si>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</si>
  <si>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</si>
  <si>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</si>
  <si>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</si>
  <si>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</si>
  <si>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</si>
  <si>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</si>
  <si>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</si>
  <si>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</si>
  <si>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</si>
  <si>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</si>
  <si>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</si>
  <si>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</si>
  <si>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</si>
  <si>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</si>
  <si>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</si>
  <si>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</si>
  <si>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</si>
  <si>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</si>
  <si>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</si>
  <si>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</si>
  <si>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</si>
  <si>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</si>
  <si>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</si>
  <si>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</si>
  <si>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</si>
  <si>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</si>
  <si>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</si>
  <si>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</si>
  <si>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</si>
  <si>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</si>
  <si>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</si>
  <si>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</si>
  <si>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</si>
  <si>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</si>
  <si>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</si>
  <si>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</si>
  <si>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</si>
  <si>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</si>
  <si>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</si>
  <si>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</si>
  <si>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</si>
  <si>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</si>
  <si>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</si>
  <si>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</si>
  <si>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</si>
  <si>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</si>
  <si>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</si>
  <si>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</si>
  <si>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</si>
  <si>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</si>
  <si>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</si>
  <si>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</si>
  <si>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</si>
  <si>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</si>
  <si>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</si>
  <si>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</si>
  <si>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</si>
  <si>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</si>
  <si>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</si>
  <si>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</si>
  <si>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</si>
  <si>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</si>
  <si>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</si>
  <si>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</si>
  <si>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</si>
  <si>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</si>
  <si>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</si>
  <si>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</si>
  <si>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</si>
  <si>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</si>
  <si>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</si>
  <si>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</si>
  <si>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</si>
  <si>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</si>
  <si>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</si>
  <si>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</si>
  <si>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</si>
  <si>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</si>
  <si>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</si>
  <si>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</si>
  <si>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</si>
  <si>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</si>
  <si>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</si>
  <si>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</si>
  <si>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</si>
  <si>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</si>
  <si>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</si>
  <si>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</si>
  <si>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</si>
  <si>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</si>
  <si>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</si>
  <si>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</si>
  <si>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</si>
  <si>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</si>
  <si>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</si>
  <si>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</si>
  <si>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</si>
  <si>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</si>
  <si>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</si>
  <si>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</si>
  <si>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</si>
  <si>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</si>
  <si>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</si>
  <si>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</si>
  <si>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</si>
  <si>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</si>
  <si>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</si>
  <si>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</si>
  <si>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</si>
  <si>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</si>
  <si>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</si>
  <si>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</si>
  <si>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</si>
  <si>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</si>
  <si>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</si>
  <si>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</si>
  <si>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</si>
  <si>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</si>
  <si>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</si>
  <si>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</si>
  <si>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</si>
  <si>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</si>
  <si>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</si>
  <si>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</si>
  <si>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</si>
  <si>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</si>
  <si>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</si>
  <si>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</si>
  <si>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</si>
  <si>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</si>
  <si>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</si>
  <si>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</si>
  <si>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</si>
  <si>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</si>
  <si>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</si>
  <si>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</si>
  <si>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</si>
  <si>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</si>
  <si>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</si>
  <si>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</si>
  <si>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</si>
  <si>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</si>
  <si>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</si>
  <si>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</si>
  <si>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</si>
  <si>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</si>
  <si>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</si>
  <si>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</si>
  <si>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</si>
  <si>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</si>
  <si>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</si>
  <si>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</si>
  <si>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</si>
  <si>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</si>
  <si>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</si>
  <si>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</si>
  <si>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</si>
  <si>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</si>
  <si>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</si>
  <si>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</si>
  <si>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</si>
  <si>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</si>
  <si>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</si>
  <si>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</si>
  <si>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</si>
  <si>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</si>
  <si>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</si>
  <si>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</si>
  <si>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</si>
  <si>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</si>
  <si>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</si>
  <si>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</si>
  <si>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</si>
  <si>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</si>
  <si>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</si>
  <si>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</si>
  <si>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</si>
  <si>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</si>
  <si>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</si>
  <si>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</si>
  <si>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</si>
  <si>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</si>
  <si>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</si>
  <si>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</si>
  <si>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</si>
  <si>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</si>
  <si>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</si>
  <si>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</si>
  <si>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</si>
  <si>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</si>
  <si>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</si>
  <si>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</si>
  <si>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</si>
  <si>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</si>
  <si>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</si>
  <si>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</si>
  <si>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</si>
  <si>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</si>
  <si>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</si>
  <si>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</si>
  <si>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</si>
  <si>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</si>
  <si>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</si>
  <si>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</si>
  <si>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</si>
  <si>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</si>
  <si>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</si>
  <si>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</si>
  <si>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</si>
  <si>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</si>
  <si>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</si>
  <si>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</si>
  <si>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</si>
  <si>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</si>
  <si>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</si>
  <si>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</si>
  <si>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</si>
  <si>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</si>
  <si>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</si>
  <si>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</si>
  <si>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</si>
  <si>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</si>
  <si>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</si>
  <si>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</si>
  <si>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</si>
  <si>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</si>
  <si>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</si>
  <si>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</si>
  <si>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</si>
  <si>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</si>
  <si>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</si>
  <si>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</si>
  <si>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</si>
  <si>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</si>
  <si>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</si>
  <si>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</si>
  <si>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</si>
  <si>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</si>
  <si>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</si>
  <si>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</si>
  <si>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</si>
  <si>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</si>
  <si>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</si>
  <si>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</si>
  <si>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</si>
  <si>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</si>
  <si>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</si>
  <si>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</si>
  <si>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</si>
  <si>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</si>
  <si>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</si>
  <si>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</si>
  <si>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</si>
  <si>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</si>
  <si>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</si>
  <si>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</si>
  <si>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</si>
  <si>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</si>
  <si>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</si>
  <si>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</si>
  <si>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</si>
  <si>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</si>
  <si>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</si>
  <si>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</si>
  <si>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</si>
  <si>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</si>
  <si>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</si>
  <si>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</si>
  <si>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</si>
  <si>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</si>
  <si>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</si>
  <si>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</si>
  <si>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</si>
  <si>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</si>
  <si>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</si>
  <si>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</si>
  <si>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</si>
  <si>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</si>
  <si>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</si>
  <si>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</si>
  <si>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</si>
  <si>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</si>
  <si>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</si>
  <si>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</si>
  <si>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</si>
  <si>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</si>
  <si>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</si>
  <si>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</si>
  <si>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</si>
  <si>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</si>
  <si>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</si>
  <si>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</si>
  <si>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</si>
  <si>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</si>
  <si>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</si>
  <si>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</si>
  <si>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</si>
  <si>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</si>
  <si>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</si>
  <si>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</si>
  <si>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</si>
  <si>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</si>
  <si>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</si>
  <si>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</si>
  <si>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</si>
  <si>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</si>
  <si>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</si>
  <si>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</si>
  <si>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</si>
  <si>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</si>
  <si>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</si>
  <si>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</si>
  <si>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</si>
  <si>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</si>
  <si>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</si>
  <si>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</si>
  <si>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</si>
  <si>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</si>
  <si>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</si>
  <si>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</si>
  <si>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</si>
  <si>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</si>
  <si>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</si>
  <si>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</si>
  <si>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</si>
  <si>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</si>
  <si>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</si>
  <si>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</si>
  <si>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</si>
  <si>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</si>
  <si>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</si>
  <si>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</si>
  <si>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</si>
  <si>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</si>
  <si>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</si>
  <si>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</si>
  <si>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</si>
  <si>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</si>
  <si>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</si>
  <si>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</si>
  <si>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</si>
  <si>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</si>
  <si>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</si>
  <si>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</si>
  <si>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</si>
  <si>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</si>
  <si>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</si>
  <si>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</si>
  <si>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</si>
  <si>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</si>
  <si>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</si>
  <si>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</si>
  <si>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</si>
  <si>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</si>
  <si>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</si>
  <si>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</si>
  <si>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</si>
  <si>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</si>
  <si>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</si>
  <si>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</si>
  <si>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</si>
  <si>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</si>
  <si>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</si>
  <si>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</si>
  <si>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</si>
  <si>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</si>
  <si>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</si>
  <si>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</si>
  <si>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</si>
  <si>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</si>
  <si>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</si>
  <si>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</si>
  <si>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</si>
  <si>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</si>
  <si>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</si>
  <si>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</si>
  <si>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</si>
  <si>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</si>
  <si>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</si>
  <si>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</si>
  <si>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</si>
  <si>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</si>
  <si>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</si>
  <si>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</si>
  <si>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</si>
  <si>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</si>
  <si>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</si>
  <si>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</si>
  <si>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</si>
  <si>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</si>
  <si>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</si>
  <si>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</si>
  <si>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</si>
  <si>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</si>
  <si>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</si>
  <si>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</si>
  <si>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</si>
  <si>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</si>
  <si>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</si>
  <si>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</si>
  <si>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</si>
  <si>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</si>
  <si>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</si>
  <si>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</si>
  <si>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</si>
  <si>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</si>
  <si>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</si>
  <si>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</si>
  <si>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</si>
  <si>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</si>
  <si>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</si>
  <si>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</si>
  <si>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</si>
  <si>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</si>
  <si>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</si>
  <si>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</si>
  <si>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</si>
  <si>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</si>
  <si>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</si>
  <si>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</si>
  <si>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</si>
  <si>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</si>
  <si>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</si>
  <si>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</si>
  <si>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</si>
  <si>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</si>
  <si>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</si>
  <si>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</si>
  <si>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</si>
  <si>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</si>
  <si>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</si>
  <si>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</si>
  <si>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</si>
  <si>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</si>
  <si>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</si>
  <si>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</si>
  <si>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</si>
  <si>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</si>
  <si>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</si>
  <si>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</si>
  <si>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</si>
  <si>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</si>
  <si>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</si>
  <si>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</si>
  <si>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</si>
  <si>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</si>
  <si>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</si>
  <si>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</si>
  <si>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</si>
  <si>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</si>
  <si>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</si>
  <si>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</si>
  <si>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</si>
  <si>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</si>
  <si>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</si>
  <si>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</si>
  <si>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</si>
  <si>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</si>
  <si>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</si>
  <si>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</si>
  <si>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</si>
  <si>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</si>
  <si>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</si>
  <si>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</si>
  <si>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</si>
  <si>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</si>
  <si>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</si>
  <si>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</si>
  <si>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</si>
  <si>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</si>
  <si>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</si>
  <si>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</si>
  <si>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</si>
  <si>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</si>
  <si>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</si>
  <si>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</si>
  <si>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</si>
  <si>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</si>
  <si>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</si>
  <si>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</si>
  <si>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</si>
  <si>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PENANAMAN TIANG BETON</t>
  </si>
  <si>
    <t>II</t>
  </si>
  <si>
    <t>III</t>
  </si>
  <si>
    <t>IV</t>
  </si>
  <si>
    <t>PEMASANGAN TRAFO</t>
  </si>
  <si>
    <t>PEKERJAAN LAIN-LAIN</t>
  </si>
  <si>
    <t>CM2-11M</t>
  </si>
  <si>
    <t xml:space="preserve">Pemasangan APP </t>
  </si>
  <si>
    <t>CJ6-T</t>
  </si>
  <si>
    <t>KONDUKTOR</t>
  </si>
  <si>
    <t>Pemasangan APP 1 Fasa Di Bangunan</t>
  </si>
  <si>
    <t>Daya 11.000 VA</t>
  </si>
  <si>
    <t>CJ5-T</t>
  </si>
  <si>
    <t>CG105</t>
  </si>
  <si>
    <t>B2</t>
  </si>
  <si>
    <t>P12C-2</t>
  </si>
  <si>
    <t>CM5-6</t>
  </si>
  <si>
    <t>CA1</t>
  </si>
  <si>
    <t>CA3</t>
  </si>
  <si>
    <t xml:space="preserve"> </t>
  </si>
  <si>
    <t>KONSTRUKSI JARINGAN 1 PHASE JTR</t>
  </si>
  <si>
    <t>KOORDINAT : -6.947050, 110.655060</t>
  </si>
  <si>
    <t>CE1-3</t>
  </si>
  <si>
    <t>F1-3</t>
  </si>
  <si>
    <t>CM2-12A</t>
  </si>
  <si>
    <t>SCHOOR</t>
  </si>
  <si>
    <t>DS TLOGODOWO, KEC WONOSALAM</t>
  </si>
  <si>
    <t>IOH TLOGODOWO WONOSALAM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</si>
</sst>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&quot;Rp&quot;#,##0.00_);\(&quot;Rp&quot;#,##0.00\)"/>
    <numFmt numFmtId="168" formatCode="_(* #,##0_);_(* \(#,##0\);_(* &quot;-&quot;??_);_(@_)"/>
    <numFmt numFmtId="169" formatCode="_(&quot;Rp&quot;* #,##0_);_(&quot;Rp&quot;* \(#,##0\);_(&quot;Rp&quot;* &quot;-&quot;???_);_(@_)"/>
    <numFmt numFmtId="170" formatCode="_([$Rp-421]* #,##0_);_([$Rp-421]* \(#,##0\);_([$Rp-421]* &quot;-&quot;??_);_(@_)"/>
    <numFmt numFmtId="171" formatCode="General_)"/>
    <numFmt numFmtId="172" formatCode="0.000000%"/>
    <numFmt numFmtId="173" formatCode="_(&quot;$&quot;* #,##0.0_);_(&quot;$&quot;* \(#,##0.0\);_(&quot;$&quot;* &quot;-&quot;?_);_(@_)"/>
    <numFmt numFmtId="174" formatCode="00000"/>
    <numFmt numFmtId="175" formatCode="m/d"/>
    <numFmt numFmtId="176" formatCode="0.0000000000"/>
    <numFmt numFmtId="177" formatCode="d\ayy"/>
    <numFmt numFmtId="178" formatCode="dd/mm/yy;@"/>
    <numFmt numFmtId="179" formatCode="_-* #,##0.000_-;\-* #,##0.000_-;_-* &quot;-&quot;_-;_-@_-"/>
    <numFmt numFmtId="180" formatCode="0.000"/>
    <numFmt numFmtId="181" formatCode="_(* #,##0.000_);_(* \(#,##0.000\);_(* &quot;-&quot;??_);_(@_)"/>
    <numFmt numFmtId="182" formatCode="[$-409]d\-mmm\-yy;@"/>
    <numFmt numFmtId="183" formatCode="0.0"/>
    <numFmt numFmtId="184" formatCode="_(* #,##0.000_);_(* \(#,##0.000\);_(* &quot;-&quot;_);_(@_)"/>
    <numFmt numFmtId="185" formatCode="&quot;IR£&quot;#,##0.00;[Red]\-&quot;IR£&quot;#,##0.00"/>
    <numFmt numFmtId="186" formatCode="&quot;$&quot;#,##0\ ;\(&quot;$&quot;#,##0\)"/>
    <numFmt numFmtId="187" formatCode="m\o\n\th\ \D\,\ \y\y\y\y"/>
    <numFmt numFmtId="188" formatCode="#."/>
    <numFmt numFmtId="189" formatCode="#,#00"/>
    <numFmt numFmtId="190" formatCode="#,"/>
    <numFmt numFmtId="191" formatCode="_-* #,##0\ _€_-;\-* #,##0\ _€_-;_-* &quot;-&quot;\ _€_-;_-@_-"/>
    <numFmt numFmtId="192" formatCode="&quot;Rp.&quot;#,##0.00;&quot;Rp.&quot;\-#,##0.00"/>
    <numFmt numFmtId="193" formatCode="0.00_)"/>
    <numFmt numFmtId="194" formatCode="[$-421]dd\ mmmm\ yyyy;@"/>
    <numFmt numFmtId="195" formatCode="_([$Rp-421]* #,##0.00_);_([$Rp-421]* \(#,##0.00\);_([$Rp-421]* &quot;-&quot;??_);_(@_)"/>
    <numFmt numFmtId="196" formatCode="_-&quot;£&quot;* #,##0_-;\-&quot;£&quot;* #,##0_-;_-&quot;£&quot;* &quot;-&quot;_-;_-@_-"/>
    <numFmt numFmtId="197" formatCode="_(* #,##0.0000_);_(* \(#,##0.0000\);_(* &quot;-&quot;??_);_(@_)"/>
    <numFmt numFmtId="198" formatCode="[$-409]d\-mmm\-yyyy;@"/>
    <numFmt numFmtId="199" formatCode="#,##0&quot;NT$&quot;;[Red]\-#,##0&quot;NT$&quot;"/>
    <numFmt numFmtId="200" formatCode="mm/dd/yy"/>
    <numFmt numFmtId="201" formatCode="dddd"/>
    <numFmt numFmtId="202" formatCode="ddd"/>
    <numFmt numFmtId="203" formatCode="#.##0_);\(#.##\)"/>
    <numFmt numFmtId="204" formatCode="_(* #,##0.0_);_(* \(#,##0.0\);_(* &quot;-&quot;_);_(@_)"/>
    <numFmt numFmtId="205" formatCode="0.E+00"/>
    <numFmt numFmtId="206" formatCode="0.0%"/>
    <numFmt numFmtId="207" formatCode="&quot;$&quot;#,##0.00"/>
  </numFmts>
  <fonts count="17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1" fontId="42" fillId="0" borderId="0">
      <alignment horizontal="centerContinuous"/>
    </xf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64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4" fontId="36" fillId="0" borderId="0" applyFill="0" applyBorder="0" applyAlignment="0"/>
    <xf numFmtId="174" fontId="22" fillId="0" borderId="0" applyFill="0" applyBorder="0" applyAlignment="0"/>
    <xf numFmtId="175" fontId="36" fillId="0" borderId="0" applyFill="0" applyBorder="0" applyAlignment="0"/>
    <xf numFmtId="175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43" fontId="105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43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78" fontId="36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3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79" fontId="2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69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22" fillId="0" borderId="0" applyFont="0" applyFill="0" applyBorder="0" applyAlignment="0" applyProtection="0"/>
    <xf numFmtId="168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180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81" fontId="36" fillId="0" borderId="0" applyFont="0" applyFill="0" applyBorder="0" applyAlignment="0" applyProtection="0"/>
    <xf numFmtId="181" fontId="36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22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22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7" fillId="0" borderId="0" applyFont="0" applyFill="0" applyBorder="0" applyAlignment="0" applyProtection="0"/>
    <xf numFmtId="184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205" fontId="22" fillId="0" borderId="0" applyFont="0" applyFill="0" applyBorder="0" applyAlignment="0" applyProtection="0"/>
    <xf numFmtId="204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3" fontId="70" fillId="0" borderId="0" applyFont="0" applyFill="0" applyBorder="0" applyAlignment="0" applyProtection="0"/>
    <xf numFmtId="0" fontId="71" fillId="0" borderId="0" applyNumberFormat="0" applyAlignment="0">
      <alignment horizontal="left"/>
    </xf>
    <xf numFmtId="0" fontId="65" fillId="0" borderId="0"/>
    <xf numFmtId="0" fontId="65" fillId="0" borderId="0"/>
    <xf numFmtId="185" fontId="36" fillId="0" borderId="3"/>
    <xf numFmtId="185" fontId="22" fillId="0" borderId="3"/>
    <xf numFmtId="42" fontId="23" fillId="0" borderId="0" applyFont="0" applyFill="0" applyBorder="0" applyAlignment="0" applyProtection="0"/>
    <xf numFmtId="42" fontId="48" fillId="0" borderId="0" applyFont="0" applyFill="0" applyBorder="0" applyAlignment="0" applyProtection="0"/>
    <xf numFmtId="172" fontId="36" fillId="0" borderId="0" applyFont="0" applyFill="0" applyBorder="0" applyAlignment="0" applyProtection="0"/>
    <xf numFmtId="172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44" fontId="36" fillId="0" borderId="0" applyFont="0" applyFill="0" applyBorder="0" applyAlignment="0" applyProtection="0"/>
    <xf numFmtId="44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70" fillId="0" borderId="0" applyFont="0" applyFill="0" applyBorder="0" applyAlignment="0" applyProtection="0"/>
    <xf numFmtId="187" fontId="72" fillId="0" borderId="0">
      <protection locked="0"/>
    </xf>
    <xf numFmtId="14" fontId="64" fillId="0" borderId="0" applyFill="0" applyBorder="0" applyAlignment="0"/>
    <xf numFmtId="188" fontId="73" fillId="0" borderId="0">
      <protection locked="0"/>
    </xf>
    <xf numFmtId="0" fontId="74" fillId="0" borderId="0"/>
    <xf numFmtId="0" fontId="74" fillId="0" borderId="4"/>
    <xf numFmtId="0" fontId="74" fillId="0" borderId="4"/>
    <xf numFmtId="0" fontId="74" fillId="0" borderId="4"/>
    <xf numFmtId="0" fontId="74" fillId="0" borderId="4"/>
    <xf numFmtId="0" fontId="75" fillId="22" borderId="0"/>
    <xf numFmtId="176" fontId="36" fillId="0" borderId="0" applyFill="0" applyBorder="0" applyAlignment="0"/>
    <xf numFmtId="176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0" fontId="76" fillId="0" borderId="0" applyNumberFormat="0" applyAlignment="0">
      <alignment horizontal="left"/>
    </xf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8" fillId="0" borderId="0">
      <protection locked="0"/>
    </xf>
    <xf numFmtId="189" fontId="72" fillId="0" borderId="0">
      <protection locked="0"/>
    </xf>
    <xf numFmtId="0" fontId="79" fillId="0" borderId="5"/>
    <xf numFmtId="0" fontId="79" fillId="0" borderId="5"/>
    <xf numFmtId="0" fontId="79" fillId="0" borderId="5"/>
    <xf numFmtId="0" fontId="79" fillId="0" borderId="5"/>
    <xf numFmtId="0" fontId="79" fillId="0" borderId="4"/>
    <xf numFmtId="0" fontId="79" fillId="0" borderId="4"/>
    <xf numFmtId="0" fontId="79" fillId="23" borderId="4"/>
    <xf numFmtId="0" fontId="79" fillId="23" borderId="4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80" fillId="0" borderId="0" applyNumberFormat="0"/>
    <xf numFmtId="38" fontId="41" fillId="24" borderId="0" applyNumberFormat="0" applyBorder="0" applyAlignment="0" applyProtection="0"/>
    <xf numFmtId="0" fontId="81" fillId="0" borderId="6" applyNumberFormat="0" applyAlignment="0" applyProtection="0">
      <alignment horizontal="left" vertical="center"/>
    </xf>
    <xf numFmtId="0" fontId="81" fillId="0" borderId="7">
      <alignment horizontal="left" vertical="center"/>
    </xf>
    <xf numFmtId="0" fontId="81" fillId="0" borderId="7">
      <alignment horizontal="left" vertical="center"/>
    </xf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90" fontId="77" fillId="0" borderId="0">
      <protection locked="0"/>
    </xf>
    <xf numFmtId="190" fontId="77" fillId="0" borderId="0"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33" fillId="7" borderId="1" applyNumberFormat="0" applyAlignment="0" applyProtection="0"/>
    <xf numFmtId="10" fontId="41" fillId="25" borderId="3" applyNumberFormat="0" applyBorder="0" applyAlignment="0" applyProtection="0"/>
    <xf numFmtId="10" fontId="41" fillId="25" borderId="3" applyNumberFormat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176" fontId="36" fillId="0" borderId="0" applyFill="0" applyBorder="0" applyAlignment="0"/>
    <xf numFmtId="176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191" fontId="36" fillId="0" borderId="0" applyFont="0" applyFill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37" fontId="82" fillId="0" borderId="0"/>
    <xf numFmtId="192" fontId="36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192" fontId="36" fillId="0" borderId="0"/>
    <xf numFmtId="192" fontId="22" fillId="0" borderId="0"/>
    <xf numFmtId="192" fontId="36" fillId="0" borderId="0"/>
    <xf numFmtId="192" fontId="22" fillId="0" borderId="0"/>
    <xf numFmtId="192" fontId="36" fillId="0" borderId="0"/>
    <xf numFmtId="192" fontId="22" fillId="0" borderId="0"/>
    <xf numFmtId="192" fontId="22" fillId="0" borderId="0"/>
    <xf numFmtId="192" fontId="36" fillId="0" borderId="0"/>
    <xf numFmtId="171" fontId="83" fillId="0" borderId="0"/>
    <xf numFmtId="171" fontId="84" fillId="0" borderId="0"/>
    <xf numFmtId="171" fontId="84" fillId="0" borderId="0"/>
    <xf numFmtId="0" fontId="66" fillId="0" borderId="0"/>
    <xf numFmtId="0" fontId="112" fillId="0" borderId="0"/>
    <xf numFmtId="0" fontId="36" fillId="0" borderId="0"/>
    <xf numFmtId="0" fontId="22" fillId="0" borderId="0"/>
    <xf numFmtId="0" fontId="69" fillId="0" borderId="0"/>
    <xf numFmtId="0" fontId="36" fillId="0" borderId="0"/>
    <xf numFmtId="12" fontId="36" fillId="0" borderId="0"/>
    <xf numFmtId="12" fontId="2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85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113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69" fillId="0" borderId="0"/>
    <xf numFmtId="0" fontId="36" fillId="0" borderId="0"/>
    <xf numFmtId="0" fontId="11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36" fillId="0" borderId="0"/>
    <xf numFmtId="0" fontId="36" fillId="0" borderId="0"/>
    <xf numFmtId="0" fontId="67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23" fillId="0" borderId="0"/>
    <xf numFmtId="0" fontId="23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64" fillId="0" borderId="0">
      <alignment vertical="top"/>
    </xf>
    <xf numFmtId="0" fontId="23" fillId="0" borderId="0"/>
    <xf numFmtId="193" fontId="43" fillId="0" borderId="0"/>
    <xf numFmtId="0" fontId="112" fillId="0" borderId="0"/>
    <xf numFmtId="0" fontId="11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0" fontId="36" fillId="0" borderId="0" applyNumberFormat="0" applyFont="0" applyFill="0" applyAlignment="0" applyProtection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 applyNumberFormat="0" applyFont="0" applyFill="0" applyAlignment="0" applyProtection="0"/>
    <xf numFmtId="0" fontId="84" fillId="0" borderId="0"/>
    <xf numFmtId="0" fontId="84" fillId="0" borderId="0"/>
    <xf numFmtId="0" fontId="22" fillId="0" borderId="0" applyNumberFormat="0" applyFont="0" applyFill="0" applyAlignment="0" applyProtection="0"/>
    <xf numFmtId="0" fontId="36" fillId="0" borderId="0"/>
    <xf numFmtId="0" fontId="112" fillId="0" borderId="0"/>
    <xf numFmtId="181" fontId="84" fillId="0" borderId="0"/>
    <xf numFmtId="0" fontId="84" fillId="0" borderId="0"/>
    <xf numFmtId="194" fontId="84" fillId="0" borderId="0"/>
    <xf numFmtId="195" fontId="84" fillId="0" borderId="0"/>
    <xf numFmtId="0" fontId="84" fillId="0" borderId="0"/>
    <xf numFmtId="196" fontId="84" fillId="0" borderId="0"/>
    <xf numFmtId="196" fontId="84" fillId="0" borderId="0"/>
    <xf numFmtId="196" fontId="84" fillId="0" borderId="0"/>
    <xf numFmtId="194" fontId="84" fillId="0" borderId="0"/>
    <xf numFmtId="0" fontId="84" fillId="0" borderId="0"/>
    <xf numFmtId="0" fontId="36" fillId="0" borderId="0"/>
    <xf numFmtId="0" fontId="22" fillId="0" borderId="0"/>
    <xf numFmtId="181" fontId="8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 applyNumberFormat="0" applyFont="0" applyFill="0" applyAlignment="0" applyProtection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197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196" fontId="84" fillId="0" borderId="0"/>
    <xf numFmtId="196" fontId="84" fillId="0" borderId="0"/>
    <xf numFmtId="196" fontId="84" fillId="0" borderId="0"/>
    <xf numFmtId="196" fontId="84" fillId="0" borderId="0"/>
    <xf numFmtId="198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23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36" fillId="0" borderId="0"/>
    <xf numFmtId="0" fontId="22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193" fontId="43" fillId="0" borderId="0"/>
    <xf numFmtId="0" fontId="22" fillId="0" borderId="0"/>
    <xf numFmtId="0" fontId="22" fillId="0" borderId="0" applyProtection="0"/>
    <xf numFmtId="0" fontId="112" fillId="0" borderId="0"/>
    <xf numFmtId="0" fontId="112" fillId="0" borderId="0"/>
    <xf numFmtId="0" fontId="112" fillId="0" borderId="0"/>
    <xf numFmtId="0" fontId="22" fillId="0" borderId="0"/>
    <xf numFmtId="0" fontId="22" fillId="0" borderId="0" applyProtection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4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36" fillId="0" borderId="0"/>
    <xf numFmtId="0" fontId="22" fillId="0" borderId="0"/>
    <xf numFmtId="0" fontId="11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114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23" fillId="0" borderId="0"/>
    <xf numFmtId="0" fontId="113" fillId="0" borderId="0"/>
    <xf numFmtId="0" fontId="67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22" fillId="0" borderId="0"/>
    <xf numFmtId="193" fontId="43" fillId="0" borderId="0"/>
    <xf numFmtId="193" fontId="43" fillId="0" borderId="0"/>
    <xf numFmtId="0" fontId="11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175" fontId="36" fillId="0" borderId="0" applyFont="0" applyFill="0" applyBorder="0" applyAlignment="0" applyProtection="0"/>
    <xf numFmtId="175" fontId="22" fillId="0" borderId="0" applyFont="0" applyFill="0" applyBorder="0" applyAlignment="0" applyProtection="0"/>
    <xf numFmtId="199" fontId="36" fillId="0" borderId="0" applyFont="0" applyFill="0" applyBorder="0" applyAlignment="0" applyProtection="0"/>
    <xf numFmtId="199" fontId="22" fillId="0" borderId="0" applyFont="0" applyFill="0" applyBorder="0" applyAlignment="0" applyProtection="0"/>
    <xf numFmtId="10" fontId="36" fillId="0" borderId="0" applyFont="0" applyFill="0" applyBorder="0" applyAlignment="0" applyProtection="0"/>
    <xf numFmtId="10" fontId="2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6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176" fontId="36" fillId="0" borderId="0" applyFill="0" applyBorder="0" applyAlignment="0"/>
    <xf numFmtId="176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0" fontId="74" fillId="0" borderId="0"/>
    <xf numFmtId="200" fontId="87" fillId="0" borderId="0" applyNumberFormat="0" applyFill="0" applyBorder="0" applyAlignment="0" applyProtection="0">
      <alignment horizontal="left"/>
    </xf>
    <xf numFmtId="0" fontId="88" fillId="0" borderId="14"/>
    <xf numFmtId="0" fontId="88" fillId="0" borderId="14"/>
    <xf numFmtId="0" fontId="89" fillId="0" borderId="15"/>
    <xf numFmtId="0" fontId="89" fillId="0" borderId="15"/>
    <xf numFmtId="40" fontId="90" fillId="0" borderId="0" applyBorder="0">
      <alignment horizontal="right"/>
    </xf>
    <xf numFmtId="49" fontId="64" fillId="0" borderId="0" applyFill="0" applyBorder="0" applyAlignment="0"/>
    <xf numFmtId="201" fontId="36" fillId="0" borderId="0" applyFill="0" applyBorder="0" applyAlignment="0"/>
    <xf numFmtId="201" fontId="22" fillId="0" borderId="0" applyFill="0" applyBorder="0" applyAlignment="0"/>
    <xf numFmtId="202" fontId="36" fillId="0" borderId="0" applyFill="0" applyBorder="0" applyAlignment="0"/>
    <xf numFmtId="202" fontId="22" fillId="0" borderId="0" applyFill="0" applyBorder="0" applyAlignment="0"/>
    <xf numFmtId="203" fontId="91" fillId="0" borderId="16" applyFont="0" applyBorder="0" applyAlignment="0">
      <alignment horizontal="right"/>
    </xf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6" fillId="0" borderId="0"/>
    <xf numFmtId="0" fontId="10" fillId="0" borderId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9" fillId="0" borderId="0"/>
    <xf numFmtId="165" fontId="22" fillId="0" borderId="0" applyFont="0" applyFill="0" applyBorder="0" applyAlignment="0" applyProtection="0"/>
    <xf numFmtId="9" fontId="163" fillId="0" borderId="0" applyFont="0" applyFill="0" applyBorder="0" applyAlignment="0" applyProtection="0"/>
    <xf numFmtId="165" fontId="175" fillId="0" borderId="0" applyFont="0" applyFill="0" applyBorder="0" applyAlignment="0" applyProtection="0"/>
    <xf numFmtId="0" fontId="22" fillId="0" borderId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165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5" fillId="0" borderId="0"/>
    <xf numFmtId="165" fontId="22" fillId="0" borderId="0" applyFont="0" applyFill="0" applyBorder="0" applyAlignment="0" applyProtection="0"/>
    <xf numFmtId="0" fontId="5" fillId="0" borderId="0"/>
    <xf numFmtId="166" fontId="22" fillId="0" borderId="0" applyFont="0" applyFill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69" fillId="0" borderId="0" applyFont="0" applyFill="0" applyBorder="0" applyAlignment="0" applyProtection="0"/>
    <xf numFmtId="166" fontId="69" fillId="0" borderId="0" applyFont="0" applyFill="0" applyBorder="0" applyAlignment="0" applyProtection="0"/>
    <xf numFmtId="166" fontId="16" fillId="0" borderId="0" applyFont="0" applyFill="0" applyBorder="0" applyAlignment="0" applyProtection="0"/>
    <xf numFmtId="42" fontId="16" fillId="0" borderId="0" applyFont="0" applyFill="0" applyBorder="0" applyAlignment="0" applyProtection="0"/>
    <xf numFmtId="42" fontId="11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5" fillId="0" borderId="0"/>
    <xf numFmtId="0" fontId="16" fillId="0" borderId="0"/>
    <xf numFmtId="0" fontId="5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12" fillId="0" borderId="0" applyFont="0" applyFill="0" applyBorder="0" applyAlignment="0" applyProtection="0"/>
    <xf numFmtId="0" fontId="88" fillId="0" borderId="100"/>
    <xf numFmtId="0" fontId="89" fillId="0" borderId="101"/>
    <xf numFmtId="166" fontId="22" fillId="0" borderId="0" applyFont="0" applyFill="0" applyBorder="0" applyAlignment="0" applyProtection="0"/>
  </cellStyleXfs>
  <cellXfs count="715">
    <xf numFmtId="0" fontId="0" fillId="0" borderId="0" xfId="0"/>
    <xf numFmtId="0" fontId="45" fillId="0" borderId="0" xfId="1448" applyFont="1" applyAlignment="1">
      <alignment horizontal="center" wrapText="1"/>
    </xf>
    <xf numFmtId="0" fontId="44" fillId="0" borderId="0" xfId="1448" applyFont="1" applyAlignment="1">
      <alignment horizontal="left" vertical="center" wrapText="1"/>
    </xf>
    <xf numFmtId="0" fontId="54" fillId="0" borderId="0" xfId="1448" applyFont="1" applyAlignment="1">
      <alignment horizontal="center" wrapText="1"/>
    </xf>
    <xf numFmtId="3" fontId="45" fillId="0" borderId="0" xfId="1448" applyNumberFormat="1" applyFont="1" applyAlignment="1">
      <alignment horizontal="center" vertical="center" wrapText="1"/>
    </xf>
    <xf numFmtId="0" fontId="54" fillId="0" borderId="0" xfId="1448" applyFont="1" applyAlignment="1">
      <alignment wrapText="1"/>
    </xf>
    <xf numFmtId="0" fontId="55" fillId="0" borderId="0" xfId="1448" applyFont="1" applyAlignment="1">
      <alignment wrapText="1"/>
    </xf>
    <xf numFmtId="0" fontId="44" fillId="0" borderId="0" xfId="1448" applyFont="1" applyAlignment="1">
      <alignment horizontal="center" wrapText="1"/>
    </xf>
    <xf numFmtId="0" fontId="44" fillId="0" borderId="0" xfId="1448" applyFont="1" applyAlignment="1">
      <alignment horizontal="center" vertical="center" wrapText="1"/>
    </xf>
    <xf numFmtId="3" fontId="44" fillId="0" borderId="0" xfId="1448" applyNumberFormat="1" applyFont="1" applyAlignment="1">
      <alignment horizontal="center" vertical="center" wrapText="1"/>
    </xf>
    <xf numFmtId="0" fontId="44" fillId="0" borderId="18" xfId="1448" applyFont="1" applyBorder="1" applyAlignment="1">
      <alignment horizontal="center" vertical="center" wrapText="1"/>
    </xf>
    <xf numFmtId="0" fontId="45" fillId="0" borderId="0" xfId="1448" applyFont="1" applyAlignment="1">
      <alignment horizontal="center" vertical="center" wrapText="1"/>
    </xf>
    <xf numFmtId="0" fontId="54" fillId="0" borderId="0" xfId="1448" applyFont="1" applyAlignment="1">
      <alignment horizontal="center" vertical="center" wrapText="1"/>
    </xf>
    <xf numFmtId="0" fontId="57" fillId="0" borderId="18" xfId="1448" applyFont="1" applyBorder="1" applyAlignment="1">
      <alignment horizontal="center" wrapText="1"/>
    </xf>
    <xf numFmtId="0" fontId="58" fillId="0" borderId="0" xfId="1448" applyFont="1" applyAlignment="1">
      <alignment wrapText="1"/>
    </xf>
    <xf numFmtId="0" fontId="45" fillId="0" borderId="18" xfId="1448" applyFont="1" applyBorder="1" applyAlignment="1">
      <alignment horizontal="center" vertical="center" wrapText="1"/>
    </xf>
    <xf numFmtId="41" fontId="45" fillId="0" borderId="0" xfId="527" applyNumberFormat="1" applyFont="1" applyFill="1" applyBorder="1" applyAlignment="1">
      <alignment horizontal="center" wrapText="1"/>
    </xf>
    <xf numFmtId="0" fontId="45" fillId="0" borderId="18" xfId="1448" quotePrefix="1" applyFont="1" applyBorder="1" applyAlignment="1">
      <alignment horizontal="center" vertical="center" wrapText="1"/>
    </xf>
    <xf numFmtId="18" fontId="45" fillId="0" borderId="18" xfId="1448" quotePrefix="1" applyNumberFormat="1" applyFont="1" applyBorder="1" applyAlignment="1">
      <alignment horizontal="center" vertical="center" wrapText="1"/>
    </xf>
    <xf numFmtId="0" fontId="54" fillId="0" borderId="0" xfId="1448" applyFont="1" applyAlignment="1">
      <alignment vertical="top" wrapText="1"/>
    </xf>
    <xf numFmtId="41" fontId="45" fillId="0" borderId="18" xfId="1448" applyNumberFormat="1" applyFont="1" applyBorder="1" applyAlignment="1">
      <alignment horizontal="center" vertical="center" wrapText="1"/>
    </xf>
    <xf numFmtId="17" fontId="45" fillId="0" borderId="18" xfId="1448" quotePrefix="1" applyNumberFormat="1" applyFont="1" applyBorder="1" applyAlignment="1">
      <alignment horizontal="center" vertical="center" wrapText="1"/>
    </xf>
    <xf numFmtId="41" fontId="45" fillId="0" borderId="0" xfId="1448" applyNumberFormat="1" applyFont="1" applyAlignment="1">
      <alignment horizontal="center" wrapText="1"/>
    </xf>
    <xf numFmtId="0" fontId="112" fillId="0" borderId="0" xfId="1614" applyAlignment="1">
      <alignment horizontal="center"/>
    </xf>
    <xf numFmtId="0" fontId="49" fillId="0" borderId="0" xfId="1614" applyFont="1" applyAlignment="1">
      <alignment horizontal="center" vertical="center"/>
    </xf>
    <xf numFmtId="0" fontId="44" fillId="0" borderId="0" xfId="1614" applyFont="1" applyAlignment="1">
      <alignment vertical="center"/>
    </xf>
    <xf numFmtId="0" fontId="112" fillId="0" borderId="0" xfId="1614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/>
    </xf>
    <xf numFmtId="43" fontId="53" fillId="0" borderId="0" xfId="1652" applyNumberFormat="1" applyFont="1"/>
    <xf numFmtId="0" fontId="112" fillId="0" borderId="19" xfId="1614" applyBorder="1" applyAlignment="1">
      <alignment horizontal="center"/>
    </xf>
    <xf numFmtId="0" fontId="53" fillId="0" borderId="0" xfId="1614" applyFont="1" applyAlignment="1">
      <alignment horizontal="center"/>
    </xf>
    <xf numFmtId="0" fontId="53" fillId="0" borderId="0" xfId="1614" applyFont="1" applyAlignment="1">
      <alignment horizontal="center" vertical="center" wrapText="1"/>
    </xf>
    <xf numFmtId="3" fontId="45" fillId="0" borderId="0" xfId="1614" applyNumberFormat="1" applyFont="1" applyAlignment="1">
      <alignment vertical="center"/>
    </xf>
    <xf numFmtId="0" fontId="21" fillId="0" borderId="0" xfId="1614" applyFont="1" applyAlignment="1">
      <alignment horizontal="center"/>
    </xf>
    <xf numFmtId="0" fontId="45" fillId="0" borderId="20" xfId="1614" applyFont="1" applyBorder="1" applyAlignment="1">
      <alignment horizontal="center" vertical="center"/>
    </xf>
    <xf numFmtId="0" fontId="45" fillId="0" borderId="21" xfId="1614" applyFont="1" applyBorder="1" applyAlignment="1">
      <alignment horizontal="left" vertical="center" wrapText="1"/>
    </xf>
    <xf numFmtId="0" fontId="45" fillId="0" borderId="21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/>
    </xf>
    <xf numFmtId="3" fontId="47" fillId="0" borderId="21" xfId="1614" applyNumberFormat="1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5" fillId="0" borderId="22" xfId="1614" applyNumberFormat="1" applyFont="1" applyBorder="1" applyAlignment="1">
      <alignment horizontal="center" vertical="center"/>
    </xf>
    <xf numFmtId="0" fontId="62" fillId="0" borderId="0" xfId="1614" applyFont="1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3" fontId="62" fillId="0" borderId="0" xfId="1614" applyNumberFormat="1" applyFont="1" applyAlignment="1">
      <alignment horizontal="center" vertical="center"/>
    </xf>
    <xf numFmtId="0" fontId="62" fillId="0" borderId="0" xfId="1614" applyFont="1" applyAlignment="1">
      <alignment horizontal="center"/>
    </xf>
    <xf numFmtId="0" fontId="50" fillId="0" borderId="23" xfId="1614" applyFont="1" applyBorder="1" applyAlignment="1">
      <alignment horizontal="center" vertical="center"/>
    </xf>
    <xf numFmtId="0" fontId="50" fillId="0" borderId="24" xfId="1614" applyFont="1" applyBorder="1" applyAlignment="1">
      <alignment horizontal="left" vertical="center"/>
    </xf>
    <xf numFmtId="0" fontId="50" fillId="0" borderId="24" xfId="1614" applyFont="1" applyBorder="1" applyAlignment="1">
      <alignment vertical="center"/>
    </xf>
    <xf numFmtId="0" fontId="21" fillId="0" borderId="24" xfId="1614" applyFont="1" applyBorder="1" applyAlignment="1">
      <alignment horizontal="center" vertical="center"/>
    </xf>
    <xf numFmtId="3" fontId="45" fillId="0" borderId="24" xfId="1614" applyNumberFormat="1" applyFont="1" applyBorder="1" applyAlignment="1">
      <alignment horizontal="center" vertical="center"/>
    </xf>
    <xf numFmtId="3" fontId="45" fillId="0" borderId="25" xfId="1614" applyNumberFormat="1" applyFont="1" applyBorder="1" applyAlignment="1">
      <alignment horizontal="center" vertical="center"/>
    </xf>
    <xf numFmtId="0" fontId="112" fillId="0" borderId="26" xfId="1614" applyBorder="1" applyAlignment="1">
      <alignment horizontal="center" vertical="center"/>
    </xf>
    <xf numFmtId="37" fontId="112" fillId="0" borderId="27" xfId="1614" applyNumberFormat="1" applyBorder="1" applyAlignment="1">
      <alignment horizontal="center"/>
    </xf>
    <xf numFmtId="0" fontId="112" fillId="0" borderId="28" xfId="1614" applyBorder="1" applyAlignment="1">
      <alignment horizontal="center" vertical="center"/>
    </xf>
    <xf numFmtId="37" fontId="21" fillId="0" borderId="0" xfId="1614" applyNumberFormat="1" applyFont="1" applyAlignment="1">
      <alignment horizontal="center"/>
    </xf>
    <xf numFmtId="37" fontId="63" fillId="0" borderId="0" xfId="1614" applyNumberFormat="1" applyFont="1" applyAlignment="1">
      <alignment horizontal="center"/>
    </xf>
    <xf numFmtId="37" fontId="53" fillId="0" borderId="29" xfId="1614" applyNumberFormat="1" applyFont="1" applyBorder="1" applyAlignment="1">
      <alignment horizontal="center"/>
    </xf>
    <xf numFmtId="37" fontId="112" fillId="0" borderId="29" xfId="1614" applyNumberFormat="1" applyBorder="1" applyAlignment="1">
      <alignment horizontal="center"/>
    </xf>
    <xf numFmtId="37" fontId="63" fillId="0" borderId="30" xfId="1614" applyNumberFormat="1" applyFont="1" applyBorder="1" applyAlignment="1">
      <alignment horizontal="center"/>
    </xf>
    <xf numFmtId="0" fontId="52" fillId="0" borderId="0" xfId="1614" applyFont="1" applyAlignment="1">
      <alignment horizontal="center" vertical="center"/>
    </xf>
    <xf numFmtId="0" fontId="112" fillId="0" borderId="19" xfId="1614" applyBorder="1"/>
    <xf numFmtId="0" fontId="112" fillId="0" borderId="19" xfId="1614" applyBorder="1" applyAlignment="1">
      <alignment horizontal="right"/>
    </xf>
    <xf numFmtId="0" fontId="112" fillId="0" borderId="31" xfId="1614" applyBorder="1" applyAlignment="1">
      <alignment horizontal="right"/>
    </xf>
    <xf numFmtId="0" fontId="50" fillId="0" borderId="0" xfId="1614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0" fontId="50" fillId="0" borderId="0" xfId="1614" applyFont="1" applyAlignment="1">
      <alignment vertical="center"/>
    </xf>
    <xf numFmtId="0" fontId="21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112" fillId="0" borderId="0" xfId="1652" applyAlignment="1">
      <alignment horizontal="right"/>
    </xf>
    <xf numFmtId="0" fontId="49" fillId="0" borderId="0" xfId="1614" applyFont="1" applyAlignment="1">
      <alignment vertical="center"/>
    </xf>
    <xf numFmtId="0" fontId="49" fillId="0" borderId="0" xfId="1614" applyFont="1" applyAlignment="1">
      <alignment horizontal="center"/>
    </xf>
    <xf numFmtId="0" fontId="92" fillId="0" borderId="0" xfId="1614" applyFont="1" applyAlignment="1">
      <alignment horizontal="center" vertical="center" wrapText="1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37" fontId="53" fillId="0" borderId="27" xfId="1614" applyNumberFormat="1" applyFont="1" applyBorder="1" applyAlignment="1">
      <alignment horizontal="center"/>
    </xf>
    <xf numFmtId="37" fontId="63" fillId="0" borderId="32" xfId="1614" applyNumberFormat="1" applyFont="1" applyBorder="1" applyAlignment="1">
      <alignment horizontal="center"/>
    </xf>
    <xf numFmtId="0" fontId="21" fillId="0" borderId="21" xfId="1652" applyFont="1" applyBorder="1" applyAlignment="1">
      <alignment horizontal="center" vertical="center"/>
    </xf>
    <xf numFmtId="0" fontId="44" fillId="0" borderId="0" xfId="1448" applyFont="1" applyAlignment="1">
      <alignment horizontal="left" vertical="center"/>
    </xf>
    <xf numFmtId="0" fontId="54" fillId="0" borderId="0" xfId="1448" applyFont="1" applyAlignment="1">
      <alignment horizontal="left" wrapText="1"/>
    </xf>
    <xf numFmtId="3" fontId="61" fillId="0" borderId="0" xfId="1614" applyNumberFormat="1" applyFont="1" applyAlignment="1">
      <alignment horizontal="center"/>
    </xf>
    <xf numFmtId="0" fontId="53" fillId="0" borderId="0" xfId="1614" applyFont="1"/>
    <xf numFmtId="0" fontId="45" fillId="0" borderId="21" xfId="1448" applyFont="1" applyBorder="1" applyAlignment="1">
      <alignment horizontal="center" vertical="center"/>
    </xf>
    <xf numFmtId="0" fontId="45" fillId="0" borderId="21" xfId="1448" applyFont="1" applyBorder="1" applyAlignment="1">
      <alignment horizontal="left" wrapText="1"/>
    </xf>
    <xf numFmtId="0" fontId="54" fillId="0" borderId="21" xfId="1448" applyFont="1" applyBorder="1" applyAlignment="1">
      <alignment horizontal="center" wrapText="1"/>
    </xf>
    <xf numFmtId="0" fontId="45" fillId="0" borderId="21" xfId="1448" applyFont="1" applyBorder="1" applyAlignment="1">
      <alignment horizontal="center" vertical="center" wrapText="1"/>
    </xf>
    <xf numFmtId="3" fontId="45" fillId="0" borderId="21" xfId="1448" applyNumberFormat="1" applyFont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63" fillId="0" borderId="34" xfId="1614" applyFont="1" applyBorder="1" applyAlignment="1">
      <alignment vertical="center"/>
    </xf>
    <xf numFmtId="168" fontId="45" fillId="0" borderId="0" xfId="714" applyFont="1" applyFill="1" applyAlignment="1">
      <alignment horizontal="center" wrapText="1"/>
    </xf>
    <xf numFmtId="168" fontId="44" fillId="0" borderId="0" xfId="714" applyFont="1" applyFill="1" applyAlignment="1">
      <alignment horizontal="center" wrapText="1"/>
    </xf>
    <xf numFmtId="4" fontId="94" fillId="0" borderId="3" xfId="1448" applyNumberFormat="1" applyFont="1" applyBorder="1" applyAlignment="1">
      <alignment horizontal="center" vertical="center" wrapText="1"/>
    </xf>
    <xf numFmtId="0" fontId="45" fillId="0" borderId="0" xfId="1448" applyFont="1" applyAlignment="1">
      <alignment vertical="center" wrapText="1"/>
    </xf>
    <xf numFmtId="168" fontId="45" fillId="0" borderId="21" xfId="715" applyNumberFormat="1" applyFont="1" applyFill="1" applyBorder="1" applyAlignment="1">
      <alignment horizontal="center" vertical="center" wrapText="1"/>
    </xf>
    <xf numFmtId="168" fontId="45" fillId="0" borderId="21" xfId="714" applyFont="1" applyFill="1" applyBorder="1" applyAlignment="1">
      <alignment horizontal="center" vertical="center" wrapText="1"/>
    </xf>
    <xf numFmtId="168" fontId="45" fillId="0" borderId="33" xfId="714" applyFont="1" applyFill="1" applyBorder="1" applyAlignment="1">
      <alignment horizontal="center" vertical="center" wrapText="1"/>
    </xf>
    <xf numFmtId="43" fontId="44" fillId="0" borderId="0" xfId="1614" applyNumberFormat="1" applyFont="1" applyAlignment="1">
      <alignment horizontal="left" vertical="center"/>
    </xf>
    <xf numFmtId="37" fontId="112" fillId="0" borderId="0" xfId="1614" applyNumberFormat="1" applyAlignment="1">
      <alignment horizontal="center"/>
    </xf>
    <xf numFmtId="0" fontId="19" fillId="0" borderId="20" xfId="1652" applyFont="1" applyBorder="1" applyAlignment="1">
      <alignment horizontal="center" vertical="center"/>
    </xf>
    <xf numFmtId="0" fontId="19" fillId="0" borderId="21" xfId="1652" applyFont="1" applyBorder="1" applyAlignment="1">
      <alignment horizontal="center" vertical="center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0" fontId="95" fillId="0" borderId="21" xfId="1614" applyFont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3" fillId="0" borderId="0" xfId="1614" applyFont="1" applyAlignment="1">
      <alignment horizontal="left" vertical="center"/>
    </xf>
    <xf numFmtId="3" fontId="44" fillId="0" borderId="0" xfId="1614" applyNumberFormat="1" applyFont="1" applyAlignment="1">
      <alignment horizontal="left" vertical="center"/>
    </xf>
    <xf numFmtId="3" fontId="44" fillId="0" borderId="3" xfId="1448" applyNumberFormat="1" applyFont="1" applyBorder="1" applyAlignment="1">
      <alignment horizontal="center" vertical="center" wrapText="1"/>
    </xf>
    <xf numFmtId="0" fontId="45" fillId="0" borderId="21" xfId="1451" applyFont="1" applyBorder="1" applyAlignment="1">
      <alignment horizontal="left" vertical="center" wrapText="1"/>
    </xf>
    <xf numFmtId="0" fontId="57" fillId="0" borderId="18" xfId="1448" quotePrefix="1" applyFont="1" applyBorder="1" applyAlignment="1">
      <alignment horizontal="center" vertical="center" wrapText="1"/>
    </xf>
    <xf numFmtId="0" fontId="49" fillId="0" borderId="0" xfId="1505" applyFont="1"/>
    <xf numFmtId="0" fontId="61" fillId="0" borderId="0" xfId="1615" applyFont="1" applyAlignment="1">
      <alignment horizontal="center"/>
    </xf>
    <xf numFmtId="0" fontId="49" fillId="0" borderId="0" xfId="1615" applyFont="1" applyAlignment="1">
      <alignment horizontal="center" vertical="center"/>
    </xf>
    <xf numFmtId="0" fontId="44" fillId="0" borderId="0" xfId="1615" applyFont="1" applyAlignment="1">
      <alignment horizontal="left" vertical="center"/>
    </xf>
    <xf numFmtId="0" fontId="44" fillId="0" borderId="0" xfId="1615" applyFont="1" applyAlignment="1">
      <alignment vertical="center"/>
    </xf>
    <xf numFmtId="0" fontId="112" fillId="0" borderId="0" xfId="1615" applyAlignment="1">
      <alignment horizontal="center" vertical="center"/>
    </xf>
    <xf numFmtId="3" fontId="46" fillId="0" borderId="0" xfId="1615" applyNumberFormat="1" applyFont="1" applyAlignment="1">
      <alignment horizontal="center" vertical="center"/>
    </xf>
    <xf numFmtId="0" fontId="112" fillId="0" borderId="0" xfId="1615" applyAlignment="1">
      <alignment horizontal="center"/>
    </xf>
    <xf numFmtId="43" fontId="44" fillId="0" borderId="0" xfId="1615" applyNumberFormat="1" applyFont="1" applyAlignment="1">
      <alignment horizontal="left" vertical="center"/>
    </xf>
    <xf numFmtId="43" fontId="53" fillId="0" borderId="0" xfId="1653" applyNumberFormat="1" applyFont="1" applyAlignment="1">
      <alignment horizontal="left" vertical="center"/>
    </xf>
    <xf numFmtId="0" fontId="97" fillId="0" borderId="0" xfId="1653" applyFont="1" applyAlignment="1">
      <alignment horizontal="center" vertical="center"/>
    </xf>
    <xf numFmtId="0" fontId="45" fillId="0" borderId="35" xfId="1615" applyFont="1" applyBorder="1" applyAlignment="1">
      <alignment horizontal="center" vertical="center"/>
    </xf>
    <xf numFmtId="0" fontId="45" fillId="0" borderId="35" xfId="1615" applyFont="1" applyBorder="1" applyAlignment="1">
      <alignment horizontal="left" vertical="center" wrapText="1"/>
    </xf>
    <xf numFmtId="0" fontId="45" fillId="0" borderId="35" xfId="1615" applyFont="1" applyBorder="1" applyAlignment="1">
      <alignment horizontal="center" vertical="center" wrapText="1"/>
    </xf>
    <xf numFmtId="0" fontId="47" fillId="0" borderId="35" xfId="1615" applyFont="1" applyBorder="1" applyAlignment="1">
      <alignment horizontal="center" vertical="center"/>
    </xf>
    <xf numFmtId="0" fontId="14" fillId="0" borderId="35" xfId="1653" applyFont="1" applyBorder="1" applyAlignment="1">
      <alignment horizontal="center" vertical="center"/>
    </xf>
    <xf numFmtId="3" fontId="47" fillId="0" borderId="35" xfId="1615" applyNumberFormat="1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0" fontId="14" fillId="0" borderId="0" xfId="1615" applyFont="1" applyAlignment="1">
      <alignment horizontal="center"/>
    </xf>
    <xf numFmtId="0" fontId="53" fillId="0" borderId="21" xfId="1653" applyFont="1" applyBorder="1" applyAlignment="1">
      <alignment horizontal="center" vertical="center"/>
    </xf>
    <xf numFmtId="0" fontId="53" fillId="0" borderId="21" xfId="1653" applyFont="1" applyBorder="1" applyAlignment="1">
      <alignment vertical="center" wrapText="1"/>
    </xf>
    <xf numFmtId="0" fontId="45" fillId="0" borderId="21" xfId="1615" applyFont="1" applyBorder="1" applyAlignment="1">
      <alignment horizontal="center" vertical="center" wrapText="1"/>
    </xf>
    <xf numFmtId="0" fontId="47" fillId="0" borderId="21" xfId="1615" applyFont="1" applyBorder="1" applyAlignment="1">
      <alignment horizontal="center" vertical="center"/>
    </xf>
    <xf numFmtId="0" fontId="14" fillId="0" borderId="21" xfId="1653" applyFont="1" applyBorder="1" applyAlignment="1">
      <alignment horizontal="center" vertical="center"/>
    </xf>
    <xf numFmtId="3" fontId="47" fillId="0" borderId="21" xfId="1615" applyNumberFormat="1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0" fontId="62" fillId="0" borderId="0" xfId="1615" applyFont="1" applyAlignment="1">
      <alignment horizontal="center"/>
    </xf>
    <xf numFmtId="3" fontId="14" fillId="0" borderId="21" xfId="1653" applyNumberFormat="1" applyFont="1" applyBorder="1" applyAlignment="1">
      <alignment horizontal="center" vertical="center"/>
    </xf>
    <xf numFmtId="0" fontId="49" fillId="0" borderId="0" xfId="1615" applyFont="1" applyAlignment="1">
      <alignment vertical="center"/>
    </xf>
    <xf numFmtId="0" fontId="49" fillId="0" borderId="33" xfId="1615" applyFont="1" applyBorder="1" applyAlignment="1">
      <alignment horizontal="center" vertical="center"/>
    </xf>
    <xf numFmtId="0" fontId="49" fillId="0" borderId="33" xfId="1615" applyFont="1" applyBorder="1" applyAlignment="1">
      <alignment vertical="center"/>
    </xf>
    <xf numFmtId="0" fontId="112" fillId="0" borderId="33" xfId="1615" applyBorder="1" applyAlignment="1">
      <alignment horizontal="center" vertical="center"/>
    </xf>
    <xf numFmtId="3" fontId="46" fillId="0" borderId="33" xfId="1615" applyNumberFormat="1" applyFont="1" applyBorder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96" fillId="0" borderId="0" xfId="1448" applyFont="1" applyAlignment="1">
      <alignment horizontal="center" wrapText="1"/>
    </xf>
    <xf numFmtId="0" fontId="51" fillId="0" borderId="0" xfId="1614" applyFont="1" applyAlignment="1">
      <alignment vertical="center"/>
    </xf>
    <xf numFmtId="0" fontId="61" fillId="0" borderId="0" xfId="1614" applyFont="1" applyAlignment="1">
      <alignment horizontal="center" vertical="center"/>
    </xf>
    <xf numFmtId="0" fontId="61" fillId="0" borderId="0" xfId="1614" applyFont="1" applyAlignment="1">
      <alignment vertical="center"/>
    </xf>
    <xf numFmtId="3" fontId="101" fillId="0" borderId="0" xfId="1614" applyNumberFormat="1" applyFont="1" applyAlignment="1">
      <alignment horizontal="center" vertical="center"/>
    </xf>
    <xf numFmtId="0" fontId="101" fillId="0" borderId="0" xfId="1614" applyFont="1" applyAlignment="1">
      <alignment horizontal="center" vertical="center"/>
    </xf>
    <xf numFmtId="0" fontId="20" fillId="0" borderId="0" xfId="1614" applyFont="1" applyAlignment="1">
      <alignment horizontal="center"/>
    </xf>
    <xf numFmtId="0" fontId="92" fillId="0" borderId="0" xfId="1614" applyFont="1" applyAlignment="1">
      <alignment horizontal="center" vertical="center"/>
    </xf>
    <xf numFmtId="0" fontId="92" fillId="0" borderId="0" xfId="1614" applyFont="1" applyAlignment="1">
      <alignment vertical="center"/>
    </xf>
    <xf numFmtId="206" fontId="45" fillId="0" borderId="21" xfId="2549" applyNumberFormat="1" applyFont="1" applyFill="1" applyBorder="1" applyAlignment="1">
      <alignment horizontal="center" vertical="center" wrapText="1"/>
    </xf>
    <xf numFmtId="0" fontId="95" fillId="0" borderId="0" xfId="1448" applyFont="1" applyAlignment="1">
      <alignment horizontal="center" wrapText="1"/>
    </xf>
    <xf numFmtId="0" fontId="96" fillId="0" borderId="0" xfId="1448" applyFont="1" applyAlignment="1">
      <alignment wrapText="1"/>
    </xf>
    <xf numFmtId="0" fontId="103" fillId="0" borderId="0" xfId="1448" applyFont="1" applyAlignment="1">
      <alignment horizontal="center" wrapText="1"/>
    </xf>
    <xf numFmtId="0" fontId="102" fillId="0" borderId="0" xfId="1448" applyFont="1" applyAlignment="1">
      <alignment horizontal="center" wrapText="1"/>
    </xf>
    <xf numFmtId="0" fontId="102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/>
    </xf>
    <xf numFmtId="0" fontId="95" fillId="0" borderId="0" xfId="1448" applyFont="1" applyAlignment="1">
      <alignment horizontal="center" vertical="center"/>
    </xf>
    <xf numFmtId="0" fontId="95" fillId="0" borderId="0" xfId="1448" applyFont="1" applyAlignment="1">
      <alignment vertical="center" wrapText="1"/>
    </xf>
    <xf numFmtId="0" fontId="95" fillId="0" borderId="0" xfId="527" applyNumberFormat="1" applyFont="1" applyFill="1" applyBorder="1" applyAlignment="1">
      <alignment horizontal="center" wrapText="1"/>
    </xf>
    <xf numFmtId="41" fontId="96" fillId="0" borderId="0" xfId="1448" applyNumberFormat="1" applyFont="1" applyAlignment="1">
      <alignment wrapText="1"/>
    </xf>
    <xf numFmtId="41" fontId="96" fillId="0" borderId="0" xfId="527" applyNumberFormat="1" applyFont="1" applyFill="1" applyAlignment="1">
      <alignment wrapText="1"/>
    </xf>
    <xf numFmtId="0" fontId="96" fillId="0" borderId="0" xfId="1448" applyFont="1" applyAlignment="1">
      <alignment vertical="top" wrapText="1"/>
    </xf>
    <xf numFmtId="0" fontId="95" fillId="0" borderId="0" xfId="527" applyNumberFormat="1" applyFont="1" applyFill="1" applyAlignment="1">
      <alignment horizontal="center" wrapText="1"/>
    </xf>
    <xf numFmtId="0" fontId="96" fillId="0" borderId="0" xfId="527" applyNumberFormat="1" applyFont="1" applyFill="1" applyAlignment="1">
      <alignment horizontal="center" wrapText="1"/>
    </xf>
    <xf numFmtId="168" fontId="45" fillId="0" borderId="21" xfId="717" applyNumberFormat="1" applyFont="1" applyFill="1" applyBorder="1" applyAlignment="1" applyProtection="1">
      <alignment horizontal="center" vertical="center" wrapText="1"/>
    </xf>
    <xf numFmtId="41" fontId="45" fillId="0" borderId="21" xfId="1451" applyNumberFormat="1" applyFont="1" applyBorder="1" applyAlignment="1">
      <alignment horizontal="center" vertical="center" wrapText="1"/>
    </xf>
    <xf numFmtId="168" fontId="57" fillId="0" borderId="21" xfId="717" applyNumberFormat="1" applyFont="1" applyFill="1" applyBorder="1" applyAlignment="1" applyProtection="1">
      <alignment horizontal="center" vertical="center" wrapText="1"/>
    </xf>
    <xf numFmtId="0" fontId="45" fillId="0" borderId="21" xfId="1451" applyFont="1" applyBorder="1" applyAlignment="1">
      <alignment horizontal="center" vertical="center" wrapText="1"/>
    </xf>
    <xf numFmtId="168" fontId="45" fillId="0" borderId="21" xfId="728" applyFont="1" applyFill="1" applyBorder="1" applyAlignment="1" applyProtection="1">
      <alignment horizontal="center" vertical="center" wrapText="1"/>
    </xf>
    <xf numFmtId="3" fontId="45" fillId="0" borderId="21" xfId="1450" applyNumberFormat="1" applyFont="1" applyBorder="1" applyAlignment="1">
      <alignment horizontal="center" vertical="center" wrapText="1"/>
    </xf>
    <xf numFmtId="168" fontId="45" fillId="0" borderId="21" xfId="728" applyFont="1" applyFill="1" applyBorder="1" applyAlignment="1">
      <alignment horizontal="center" vertical="center" wrapText="1"/>
    </xf>
    <xf numFmtId="0" fontId="122" fillId="0" borderId="26" xfId="1451" applyFont="1" applyBorder="1"/>
    <xf numFmtId="0" fontId="122" fillId="0" borderId="36" xfId="1451" applyFont="1" applyBorder="1"/>
    <xf numFmtId="0" fontId="122" fillId="0" borderId="48" xfId="1451" applyFont="1" applyBorder="1"/>
    <xf numFmtId="0" fontId="122" fillId="0" borderId="28" xfId="1451" applyFont="1" applyBorder="1"/>
    <xf numFmtId="0" fontId="122" fillId="0" borderId="37" xfId="1451" applyFont="1" applyBorder="1"/>
    <xf numFmtId="0" fontId="117" fillId="0" borderId="37" xfId="1451" applyFont="1" applyBorder="1" applyAlignment="1">
      <alignment vertical="center"/>
    </xf>
    <xf numFmtId="0" fontId="122" fillId="0" borderId="34" xfId="1451" applyFont="1" applyBorder="1"/>
    <xf numFmtId="0" fontId="122" fillId="0" borderId="19" xfId="1451" applyFont="1" applyBorder="1"/>
    <xf numFmtId="0" fontId="117" fillId="0" borderId="19" xfId="1451" applyFont="1" applyBorder="1" applyAlignment="1">
      <alignment vertical="center"/>
    </xf>
    <xf numFmtId="0" fontId="117" fillId="0" borderId="19" xfId="1451" applyFont="1" applyBorder="1" applyAlignment="1">
      <alignment horizontal="center" vertical="center"/>
    </xf>
    <xf numFmtId="0" fontId="117" fillId="0" borderId="31" xfId="1451" applyFont="1" applyBorder="1" applyAlignment="1">
      <alignment vertical="center"/>
    </xf>
    <xf numFmtId="0" fontId="44" fillId="0" borderId="3" xfId="1448" applyFont="1" applyBorder="1" applyAlignment="1">
      <alignment horizontal="center" vertical="center"/>
    </xf>
    <xf numFmtId="0" fontId="44" fillId="0" borderId="3" xfId="1448" applyFont="1" applyBorder="1" applyAlignment="1">
      <alignment horizontal="left" vertical="center" wrapText="1"/>
    </xf>
    <xf numFmtId="0" fontId="44" fillId="0" borderId="3" xfId="1448" applyFont="1" applyBorder="1" applyAlignment="1">
      <alignment horizontal="center" vertical="center" wrapText="1"/>
    </xf>
    <xf numFmtId="168" fontId="44" fillId="0" borderId="3" xfId="715" applyNumberFormat="1" applyFont="1" applyFill="1" applyBorder="1" applyAlignment="1">
      <alignment horizontal="center" vertical="center" wrapText="1"/>
    </xf>
    <xf numFmtId="3" fontId="131" fillId="32" borderId="3" xfId="1448" applyNumberFormat="1" applyFont="1" applyFill="1" applyBorder="1" applyAlignment="1">
      <alignment horizontal="center" vertical="center" wrapText="1"/>
    </xf>
    <xf numFmtId="0" fontId="45" fillId="0" borderId="21" xfId="1451" applyFont="1" applyBorder="1" applyAlignment="1">
      <alignment horizontal="center" vertical="center"/>
    </xf>
    <xf numFmtId="0" fontId="137" fillId="0" borderId="21" xfId="1451" applyFont="1" applyBorder="1" applyAlignment="1">
      <alignment horizontal="left" vertical="center" wrapText="1"/>
    </xf>
    <xf numFmtId="0" fontId="45" fillId="33" borderId="21" xfId="1451" applyFont="1" applyFill="1" applyBorder="1" applyAlignment="1">
      <alignment horizontal="left" vertical="center" wrapText="1"/>
    </xf>
    <xf numFmtId="0" fontId="45" fillId="0" borderId="21" xfId="1451" applyFont="1" applyBorder="1" applyAlignment="1">
      <alignment horizontal="left" wrapText="1"/>
    </xf>
    <xf numFmtId="0" fontId="45" fillId="0" borderId="21" xfId="1450" applyFont="1" applyBorder="1" applyAlignment="1">
      <alignment horizontal="center" vertical="center"/>
    </xf>
    <xf numFmtId="0" fontId="45" fillId="0" borderId="21" xfId="1450" applyFont="1" applyBorder="1" applyAlignment="1">
      <alignment horizontal="left" wrapText="1"/>
    </xf>
    <xf numFmtId="0" fontId="115" fillId="0" borderId="21" xfId="1615" applyFont="1" applyBorder="1" applyAlignment="1">
      <alignment vertical="top" wrapText="1"/>
    </xf>
    <xf numFmtId="43" fontId="130" fillId="0" borderId="0" xfId="523" applyFont="1" applyFill="1" applyAlignment="1">
      <alignment horizontal="left" wrapText="1"/>
    </xf>
    <xf numFmtId="0" fontId="9" fillId="0" borderId="0" xfId="2673" applyAlignment="1">
      <alignment vertical="center" wrapText="1"/>
    </xf>
    <xf numFmtId="0" fontId="9" fillId="0" borderId="0" xfId="2673" applyAlignment="1">
      <alignment horizontal="center" vertical="center" wrapText="1"/>
    </xf>
    <xf numFmtId="0" fontId="9" fillId="0" borderId="28" xfId="2673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0" fontId="98" fillId="0" borderId="0" xfId="2673" applyFont="1" applyAlignment="1">
      <alignment vertical="center" wrapText="1"/>
    </xf>
    <xf numFmtId="2" fontId="106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5" fillId="0" borderId="28" xfId="2673" applyFont="1" applyBorder="1" applyAlignment="1">
      <alignment vertical="center" wrapText="1"/>
    </xf>
    <xf numFmtId="0" fontId="11" fillId="0" borderId="21" xfId="1615" applyFont="1" applyBorder="1" applyAlignment="1">
      <alignment horizontal="center" vertical="center"/>
    </xf>
    <xf numFmtId="0" fontId="122" fillId="33" borderId="0" xfId="1451" applyFont="1" applyFill="1"/>
    <xf numFmtId="0" fontId="122" fillId="33" borderId="26" xfId="1451" applyFont="1" applyFill="1" applyBorder="1"/>
    <xf numFmtId="0" fontId="122" fillId="33" borderId="36" xfId="1451" applyFont="1" applyFill="1" applyBorder="1"/>
    <xf numFmtId="0" fontId="122" fillId="33" borderId="48" xfId="1451" applyFont="1" applyFill="1" applyBorder="1"/>
    <xf numFmtId="0" fontId="122" fillId="33" borderId="28" xfId="1451" applyFont="1" applyFill="1" applyBorder="1"/>
    <xf numFmtId="0" fontId="122" fillId="33" borderId="37" xfId="1451" applyFont="1" applyFill="1" applyBorder="1"/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horizontal="center" vertical="center"/>
    </xf>
    <xf numFmtId="0" fontId="126" fillId="33" borderId="0" xfId="1451" applyFont="1" applyFill="1"/>
    <xf numFmtId="0" fontId="127" fillId="33" borderId="0" xfId="1451" applyFont="1" applyFill="1"/>
    <xf numFmtId="0" fontId="117" fillId="33" borderId="0" xfId="1451" applyFont="1" applyFill="1" applyAlignment="1">
      <alignment vertical="center"/>
    </xf>
    <xf numFmtId="0" fontId="117" fillId="33" borderId="37" xfId="1451" applyFont="1" applyFill="1" applyBorder="1" applyAlignment="1">
      <alignment vertical="center"/>
    </xf>
    <xf numFmtId="0" fontId="127" fillId="33" borderId="0" xfId="1451" applyFont="1" applyFill="1" applyAlignment="1">
      <alignment horizontal="center"/>
    </xf>
    <xf numFmtId="0" fontId="117" fillId="33" borderId="0" xfId="1451" applyFont="1" applyFill="1" applyAlignment="1">
      <alignment horizontal="center" vertical="center"/>
    </xf>
    <xf numFmtId="0" fontId="117" fillId="33" borderId="37" xfId="1451" applyFont="1" applyFill="1" applyBorder="1" applyAlignment="1">
      <alignment horizontal="center" vertical="center"/>
    </xf>
    <xf numFmtId="0" fontId="128" fillId="33" borderId="0" xfId="1451" applyFont="1" applyFill="1" applyAlignment="1">
      <alignment vertical="center"/>
    </xf>
    <xf numFmtId="0" fontId="128" fillId="33" borderId="37" xfId="1451" applyFont="1" applyFill="1" applyBorder="1" applyAlignment="1">
      <alignment vertical="center"/>
    </xf>
    <xf numFmtId="0" fontId="122" fillId="33" borderId="34" xfId="1451" applyFont="1" applyFill="1" applyBorder="1"/>
    <xf numFmtId="0" fontId="122" fillId="33" borderId="19" xfId="1451" applyFont="1" applyFill="1" applyBorder="1"/>
    <xf numFmtId="0" fontId="117" fillId="33" borderId="19" xfId="1451" applyFont="1" applyFill="1" applyBorder="1" applyAlignment="1">
      <alignment vertical="center"/>
    </xf>
    <xf numFmtId="0" fontId="117" fillId="33" borderId="19" xfId="1451" applyFont="1" applyFill="1" applyBorder="1" applyAlignment="1">
      <alignment horizontal="center" vertical="center"/>
    </xf>
    <xf numFmtId="0" fontId="117" fillId="33" borderId="31" xfId="1451" applyFont="1" applyFill="1" applyBorder="1" applyAlignment="1">
      <alignment vertical="center"/>
    </xf>
    <xf numFmtId="0" fontId="122" fillId="33" borderId="31" xfId="1451" applyFont="1" applyFill="1" applyBorder="1"/>
    <xf numFmtId="0" fontId="116" fillId="33" borderId="0" xfId="0" applyFont="1" applyFill="1" applyAlignment="1">
      <alignment horizontal="center"/>
    </xf>
    <xf numFmtId="0" fontId="116" fillId="33" borderId="26" xfId="0" applyFont="1" applyFill="1" applyBorder="1" applyAlignment="1">
      <alignment horizontal="center"/>
    </xf>
    <xf numFmtId="0" fontId="116" fillId="33" borderId="36" xfId="0" applyFont="1" applyFill="1" applyBorder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7" fillId="33" borderId="18" xfId="0" applyFont="1" applyFill="1" applyBorder="1" applyAlignment="1">
      <alignment horizontal="left"/>
    </xf>
    <xf numFmtId="0" fontId="116" fillId="33" borderId="37" xfId="0" applyFont="1" applyFill="1" applyBorder="1" applyAlignment="1">
      <alignment horizontal="center"/>
    </xf>
    <xf numFmtId="0" fontId="116" fillId="33" borderId="3" xfId="0" applyFont="1" applyFill="1" applyBorder="1" applyAlignment="1">
      <alignment horizontal="center"/>
    </xf>
    <xf numFmtId="0" fontId="138" fillId="33" borderId="0" xfId="0" applyFont="1" applyFill="1" applyAlignment="1">
      <alignment horizontal="center"/>
    </xf>
    <xf numFmtId="0" fontId="118" fillId="33" borderId="28" xfId="0" applyFont="1" applyFill="1" applyBorder="1" applyAlignment="1">
      <alignment horizontal="center"/>
    </xf>
    <xf numFmtId="0" fontId="118" fillId="33" borderId="0" xfId="0" applyFont="1" applyFill="1" applyAlignment="1">
      <alignment horizontal="center"/>
    </xf>
    <xf numFmtId="0" fontId="116" fillId="33" borderId="38" xfId="0" applyFont="1" applyFill="1" applyBorder="1" applyAlignment="1">
      <alignment horizontal="center"/>
    </xf>
    <xf numFmtId="0" fontId="93" fillId="33" borderId="40" xfId="0" applyFont="1" applyFill="1" applyBorder="1" applyAlignment="1">
      <alignment horizontal="center" vertical="center"/>
    </xf>
    <xf numFmtId="0" fontId="93" fillId="33" borderId="47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horizontal="center" vertical="center"/>
    </xf>
    <xf numFmtId="0" fontId="116" fillId="33" borderId="39" xfId="0" applyFont="1" applyFill="1" applyBorder="1" applyAlignment="1">
      <alignment horizontal="center" vertical="center"/>
    </xf>
    <xf numFmtId="0" fontId="119" fillId="33" borderId="0" xfId="0" applyFont="1" applyFill="1" applyAlignment="1">
      <alignment horizontal="center"/>
    </xf>
    <xf numFmtId="0" fontId="93" fillId="33" borderId="68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vertical="top" wrapText="1"/>
    </xf>
    <xf numFmtId="0" fontId="116" fillId="33" borderId="39" xfId="0" applyFont="1" applyFill="1" applyBorder="1" applyAlignment="1">
      <alignment vertical="top" wrapText="1"/>
    </xf>
    <xf numFmtId="0" fontId="120" fillId="33" borderId="69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0" fontId="120" fillId="33" borderId="7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121" fillId="33" borderId="71" xfId="0" applyFont="1" applyFill="1" applyBorder="1" applyAlignment="1">
      <alignment horizontal="center" vertical="top" wrapText="1"/>
    </xf>
    <xf numFmtId="0" fontId="121" fillId="33" borderId="72" xfId="0" applyFont="1" applyFill="1" applyBorder="1" applyAlignment="1">
      <alignment horizontal="center" vertical="top" wrapText="1"/>
    </xf>
    <xf numFmtId="0" fontId="116" fillId="33" borderId="0" xfId="0" applyFont="1" applyFill="1" applyAlignment="1">
      <alignment vertical="top" wrapText="1"/>
    </xf>
    <xf numFmtId="0" fontId="116" fillId="33" borderId="37" xfId="0" applyFont="1" applyFill="1" applyBorder="1" applyAlignment="1">
      <alignment vertical="top" wrapText="1"/>
    </xf>
    <xf numFmtId="0" fontId="116" fillId="33" borderId="42" xfId="0" applyFont="1" applyFill="1" applyBorder="1" applyAlignment="1">
      <alignment horizontal="center"/>
    </xf>
    <xf numFmtId="0" fontId="116" fillId="33" borderId="43" xfId="0" applyFont="1" applyFill="1" applyBorder="1" applyAlignment="1">
      <alignment vertical="top" wrapText="1"/>
    </xf>
    <xf numFmtId="0" fontId="116" fillId="33" borderId="44" xfId="0" applyFont="1" applyFill="1" applyBorder="1" applyAlignment="1">
      <alignment vertical="top" wrapText="1"/>
    </xf>
    <xf numFmtId="0" fontId="116" fillId="33" borderId="45" xfId="0" applyFont="1" applyFill="1" applyBorder="1" applyAlignment="1">
      <alignment vertical="top" wrapText="1"/>
    </xf>
    <xf numFmtId="0" fontId="121" fillId="33" borderId="28" xfId="0" applyFont="1" applyFill="1" applyBorder="1" applyAlignment="1">
      <alignment horizontal="center"/>
    </xf>
    <xf numFmtId="0" fontId="121" fillId="33" borderId="0" xfId="0" applyFont="1" applyFill="1" applyAlignment="1">
      <alignment horizontal="center"/>
    </xf>
    <xf numFmtId="0" fontId="116" fillId="33" borderId="39" xfId="0" applyFont="1" applyFill="1" applyBorder="1" applyAlignment="1">
      <alignment horizontal="center"/>
    </xf>
    <xf numFmtId="20" fontId="116" fillId="33" borderId="39" xfId="0" applyNumberFormat="1" applyFont="1" applyFill="1" applyBorder="1" applyAlignment="1">
      <alignment horizontal="center"/>
    </xf>
    <xf numFmtId="0" fontId="116" fillId="33" borderId="42" xfId="0" applyFont="1" applyFill="1" applyBorder="1" applyAlignment="1">
      <alignment horizontal="center" vertical="center" wrapText="1"/>
    </xf>
    <xf numFmtId="0" fontId="121" fillId="33" borderId="34" xfId="0" applyFont="1" applyFill="1" applyBorder="1" applyAlignment="1">
      <alignment horizontal="center"/>
    </xf>
    <xf numFmtId="0" fontId="121" fillId="33" borderId="19" xfId="0" applyFont="1" applyFill="1" applyBorder="1" applyAlignment="1">
      <alignment horizontal="center"/>
    </xf>
    <xf numFmtId="0" fontId="116" fillId="33" borderId="19" xfId="0" applyFont="1" applyFill="1" applyBorder="1" applyAlignment="1">
      <alignment horizontal="center"/>
    </xf>
    <xf numFmtId="0" fontId="116" fillId="33" borderId="46" xfId="0" applyFont="1" applyFill="1" applyBorder="1" applyAlignment="1">
      <alignment horizontal="center"/>
    </xf>
    <xf numFmtId="0" fontId="148" fillId="0" borderId="7" xfId="2673" applyFont="1" applyBorder="1" applyAlignment="1">
      <alignment horizontal="center" vertical="center" wrapText="1"/>
    </xf>
    <xf numFmtId="0" fontId="98" fillId="0" borderId="0" xfId="2673" applyFont="1" applyAlignment="1">
      <alignment horizontal="left" vertical="center" wrapText="1"/>
    </xf>
    <xf numFmtId="0" fontId="54" fillId="0" borderId="21" xfId="1450" applyFont="1" applyBorder="1" applyAlignment="1">
      <alignment horizontal="center" wrapText="1"/>
    </xf>
    <xf numFmtId="0" fontId="45" fillId="0" borderId="21" xfId="1450" applyFont="1" applyBorder="1" applyAlignment="1">
      <alignment horizontal="center" vertical="center" wrapText="1"/>
    </xf>
    <xf numFmtId="3" fontId="45" fillId="0" borderId="21" xfId="1451" applyNumberFormat="1" applyFont="1" applyBorder="1" applyAlignment="1">
      <alignment horizontal="center" vertical="center" wrapText="1"/>
    </xf>
    <xf numFmtId="41" fontId="45" fillId="0" borderId="21" xfId="1450" applyNumberFormat="1" applyFont="1" applyBorder="1" applyAlignment="1">
      <alignment horizontal="center" vertical="center" wrapText="1"/>
    </xf>
    <xf numFmtId="3" fontId="45" fillId="0" borderId="0" xfId="1451" applyNumberFormat="1" applyFont="1" applyAlignment="1">
      <alignment horizontal="center" vertical="center" wrapText="1"/>
    </xf>
    <xf numFmtId="0" fontId="22" fillId="0" borderId="0" xfId="1649"/>
    <xf numFmtId="3" fontId="137" fillId="0" borderId="21" xfId="1451" applyNumberFormat="1" applyFont="1" applyBorder="1" applyAlignment="1">
      <alignment horizontal="center" vertical="center" wrapText="1"/>
    </xf>
    <xf numFmtId="3" fontId="11" fillId="0" borderId="21" xfId="1615" applyNumberFormat="1" applyFont="1" applyBorder="1" applyAlignment="1">
      <alignment horizontal="center" vertical="center"/>
    </xf>
    <xf numFmtId="0" fontId="10" fillId="0" borderId="0" xfId="2670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left" vertical="center"/>
    </xf>
    <xf numFmtId="0" fontId="146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right" vertical="center"/>
    </xf>
    <xf numFmtId="9" fontId="147" fillId="36" borderId="0" xfId="2671" applyFont="1" applyFill="1" applyBorder="1" applyAlignment="1" applyProtection="1">
      <alignment horizontal="right" vertical="center"/>
    </xf>
    <xf numFmtId="43" fontId="146" fillId="36" borderId="0" xfId="2672" applyFont="1" applyFill="1" applyBorder="1" applyAlignment="1" applyProtection="1">
      <alignment horizontal="right" vertical="center"/>
    </xf>
    <xf numFmtId="43" fontId="147" fillId="36" borderId="0" xfId="2672" applyFont="1" applyFill="1" applyBorder="1" applyAlignment="1" applyProtection="1">
      <alignment horizontal="right" vertical="center"/>
    </xf>
    <xf numFmtId="10" fontId="147" fillId="36" borderId="0" xfId="2671" applyNumberFormat="1" applyFont="1" applyFill="1" applyBorder="1" applyAlignment="1" applyProtection="1">
      <alignment horizontal="right" vertical="center"/>
    </xf>
    <xf numFmtId="168" fontId="146" fillId="36" borderId="0" xfId="2672" applyNumberFormat="1" applyFont="1" applyFill="1" applyBorder="1" applyAlignment="1" applyProtection="1">
      <alignment horizontal="right" vertical="center"/>
    </xf>
    <xf numFmtId="0" fontId="140" fillId="0" borderId="0" xfId="2670" applyFont="1" applyAlignment="1">
      <alignment horizontal="left" vertical="center"/>
    </xf>
    <xf numFmtId="0" fontId="143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3" fillId="0" borderId="0" xfId="1538"/>
    <xf numFmtId="43" fontId="113" fillId="0" borderId="0" xfId="1538" applyNumberFormat="1"/>
    <xf numFmtId="0" fontId="62" fillId="0" borderId="0" xfId="1538" applyFont="1"/>
    <xf numFmtId="0" fontId="129" fillId="0" borderId="0" xfId="1538" applyFont="1"/>
    <xf numFmtId="0" fontId="53" fillId="0" borderId="44" xfId="1538" applyFont="1" applyBorder="1" applyAlignment="1">
      <alignment horizontal="left"/>
    </xf>
    <xf numFmtId="0" fontId="113" fillId="38" borderId="3" xfId="1538" applyFill="1" applyBorder="1" applyAlignment="1">
      <alignment vertical="center"/>
    </xf>
    <xf numFmtId="0" fontId="113" fillId="38" borderId="0" xfId="1538" applyFill="1"/>
    <xf numFmtId="0" fontId="62" fillId="38" borderId="0" xfId="1538" applyFont="1" applyFill="1"/>
    <xf numFmtId="0" fontId="104" fillId="0" borderId="0" xfId="1538" applyFont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/>
    </xf>
    <xf numFmtId="0" fontId="113" fillId="0" borderId="0" xfId="1538" applyAlignment="1">
      <alignment horizontal="center" vertical="center"/>
    </xf>
    <xf numFmtId="1" fontId="113" fillId="0" borderId="0" xfId="1538" applyNumberFormat="1"/>
    <xf numFmtId="0" fontId="113" fillId="0" borderId="3" xfId="1538" applyBorder="1"/>
    <xf numFmtId="43" fontId="0" fillId="0" borderId="3" xfId="1026" applyFont="1" applyFill="1" applyBorder="1" applyProtection="1"/>
    <xf numFmtId="43" fontId="113" fillId="0" borderId="3" xfId="1538" applyNumberFormat="1" applyBorder="1"/>
    <xf numFmtId="43" fontId="141" fillId="0" borderId="3" xfId="1026" applyFont="1" applyBorder="1" applyProtection="1"/>
    <xf numFmtId="43" fontId="0" fillId="0" borderId="3" xfId="1026" applyFont="1" applyBorder="1" applyProtection="1"/>
    <xf numFmtId="43" fontId="129" fillId="0" borderId="3" xfId="1538" applyNumberFormat="1" applyFont="1" applyBorder="1"/>
    <xf numFmtId="0" fontId="62" fillId="0" borderId="3" xfId="1538" applyFont="1" applyBorder="1"/>
    <xf numFmtId="41" fontId="113" fillId="0" borderId="3" xfId="1538" applyNumberFormat="1" applyBorder="1"/>
    <xf numFmtId="43" fontId="105" fillId="0" borderId="3" xfId="1026" applyFont="1" applyFill="1" applyBorder="1" applyProtection="1"/>
    <xf numFmtId="0" fontId="50" fillId="0" borderId="0" xfId="1538" applyFont="1"/>
    <xf numFmtId="0" fontId="50" fillId="0" borderId="3" xfId="1538" applyFont="1" applyBorder="1" applyAlignment="1">
      <alignment horizontal="center"/>
    </xf>
    <xf numFmtId="43" fontId="50" fillId="0" borderId="3" xfId="1538" applyNumberFormat="1" applyFont="1" applyBorder="1"/>
    <xf numFmtId="0" fontId="113" fillId="29" borderId="0" xfId="1538" applyFill="1"/>
    <xf numFmtId="0" fontId="50" fillId="0" borderId="0" xfId="1538" applyFont="1" applyAlignment="1">
      <alignment horizontal="center"/>
    </xf>
    <xf numFmtId="43" fontId="50" fillId="0" borderId="0" xfId="1538" applyNumberFormat="1" applyFont="1"/>
    <xf numFmtId="0" fontId="113" fillId="29" borderId="3" xfId="1538" applyFill="1" applyBorder="1"/>
    <xf numFmtId="168" fontId="113" fillId="29" borderId="3" xfId="1538" applyNumberFormat="1" applyFill="1" applyBorder="1" applyAlignment="1">
      <alignment horizontal="right"/>
    </xf>
    <xf numFmtId="166" fontId="113" fillId="0" borderId="0" xfId="1538" applyNumberFormat="1"/>
    <xf numFmtId="43" fontId="113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3" fillId="29" borderId="3" xfId="1538" applyNumberFormat="1" applyFill="1" applyBorder="1"/>
    <xf numFmtId="10" fontId="113" fillId="29" borderId="3" xfId="1538" applyNumberFormat="1" applyFill="1" applyBorder="1"/>
    <xf numFmtId="0" fontId="150" fillId="0" borderId="0" xfId="1614" applyFont="1" applyAlignment="1">
      <alignment horizontal="center"/>
    </xf>
    <xf numFmtId="0" fontId="151" fillId="0" borderId="0" xfId="1614" applyFont="1" applyAlignment="1">
      <alignment horizontal="center" vertical="center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3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3" fontId="150" fillId="0" borderId="0" xfId="1614" applyNumberFormat="1" applyFont="1" applyAlignment="1">
      <alignment horizontal="center"/>
    </xf>
    <xf numFmtId="0" fontId="155" fillId="0" borderId="0" xfId="1614" applyFont="1"/>
    <xf numFmtId="43" fontId="155" fillId="0" borderId="0" xfId="1652" applyNumberFormat="1" applyFont="1"/>
    <xf numFmtId="0" fontId="155" fillId="0" borderId="0" xfId="1614" applyFont="1" applyAlignment="1">
      <alignment horizontal="left" vertical="center"/>
    </xf>
    <xf numFmtId="0" fontId="155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left" vertical="center"/>
    </xf>
    <xf numFmtId="0" fontId="155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0" fontId="155" fillId="0" borderId="0" xfId="1614" applyFont="1" applyAlignment="1">
      <alignment horizontal="center" vertical="center" wrapText="1"/>
    </xf>
    <xf numFmtId="0" fontId="152" fillId="0" borderId="0" xfId="1614" applyFont="1" applyAlignment="1">
      <alignment horizontal="center" vertical="center" wrapText="1"/>
    </xf>
    <xf numFmtId="3" fontId="151" fillId="0" borderId="0" xfId="1614" applyNumberFormat="1" applyFont="1" applyAlignment="1">
      <alignment vertical="center"/>
    </xf>
    <xf numFmtId="0" fontId="152" fillId="0" borderId="20" xfId="1615" applyFont="1" applyBorder="1" applyAlignment="1">
      <alignment horizontal="center" vertical="center"/>
    </xf>
    <xf numFmtId="0" fontId="152" fillId="0" borderId="21" xfId="1615" applyFont="1" applyBorder="1" applyAlignment="1">
      <alignment horizontal="left" vertical="center" wrapText="1"/>
    </xf>
    <xf numFmtId="0" fontId="151" fillId="0" borderId="21" xfId="1614" applyFont="1" applyBorder="1" applyAlignment="1">
      <alignment horizontal="center" vertical="center" wrapText="1"/>
    </xf>
    <xf numFmtId="0" fontId="158" fillId="0" borderId="21" xfId="1614" applyFont="1" applyBorder="1" applyAlignment="1">
      <alignment horizontal="center" vertical="center"/>
    </xf>
    <xf numFmtId="3" fontId="158" fillId="0" borderId="21" xfId="1614" applyNumberFormat="1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51" fillId="0" borderId="22" xfId="1614" applyNumberFormat="1" applyFont="1" applyBorder="1" applyAlignment="1">
      <alignment horizontal="center" vertical="center"/>
    </xf>
    <xf numFmtId="3" fontId="151" fillId="0" borderId="0" xfId="1614" applyNumberFormat="1" applyFont="1" applyAlignment="1">
      <alignment horizontal="center"/>
    </xf>
    <xf numFmtId="3" fontId="150" fillId="0" borderId="0" xfId="1614" applyNumberFormat="1" applyFont="1" applyAlignment="1">
      <alignment horizontal="center" vertical="center"/>
    </xf>
    <xf numFmtId="0" fontId="158" fillId="0" borderId="0" xfId="1614" applyFont="1" applyAlignment="1">
      <alignment horizontal="center"/>
    </xf>
    <xf numFmtId="0" fontId="152" fillId="0" borderId="20" xfId="1653" applyFont="1" applyBorder="1" applyAlignment="1">
      <alignment horizontal="center" vertical="center"/>
    </xf>
    <xf numFmtId="0" fontId="152" fillId="0" borderId="21" xfId="1451" applyFont="1" applyBorder="1" applyAlignment="1">
      <alignment horizontal="left" vertical="center" wrapText="1"/>
    </xf>
    <xf numFmtId="0" fontId="153" fillId="0" borderId="21" xfId="1653" applyFont="1" applyBorder="1" applyAlignment="1">
      <alignment horizontal="center" vertical="center"/>
    </xf>
    <xf numFmtId="3" fontId="154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3" fillId="0" borderId="20" xfId="1653" applyFont="1" applyBorder="1" applyAlignment="1">
      <alignment horizontal="center" vertical="center"/>
    </xf>
    <xf numFmtId="0" fontId="153" fillId="0" borderId="21" xfId="1653" applyFont="1" applyBorder="1" applyAlignment="1">
      <alignment vertical="center" wrapText="1"/>
    </xf>
    <xf numFmtId="0" fontId="153" fillId="0" borderId="21" xfId="1652" applyFont="1" applyBorder="1" applyAlignment="1">
      <alignment vertical="center" wrapText="1"/>
    </xf>
    <xf numFmtId="0" fontId="151" fillId="0" borderId="20" xfId="1652" applyFont="1" applyBorder="1" applyAlignment="1">
      <alignment horizontal="center" vertical="center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58" fillId="0" borderId="21" xfId="1652" applyFont="1" applyBorder="1" applyAlignment="1">
      <alignment horizontal="center" vertical="center"/>
    </xf>
    <xf numFmtId="0" fontId="158" fillId="0" borderId="49" xfId="1652" applyFont="1" applyBorder="1" applyAlignment="1">
      <alignment horizontal="center" vertical="center"/>
    </xf>
    <xf numFmtId="0" fontId="158" fillId="0" borderId="3" xfId="1652" applyFont="1" applyBorder="1" applyAlignment="1">
      <alignment vertical="center" wrapText="1"/>
    </xf>
    <xf numFmtId="0" fontId="151" fillId="0" borderId="3" xfId="1614" applyFont="1" applyBorder="1" applyAlignment="1">
      <alignment horizontal="center" vertical="center" wrapText="1"/>
    </xf>
    <xf numFmtId="0" fontId="158" fillId="0" borderId="3" xfId="1614" applyFont="1" applyBorder="1" applyAlignment="1">
      <alignment horizontal="center" vertical="center"/>
    </xf>
    <xf numFmtId="0" fontId="158" fillId="0" borderId="3" xfId="1652" applyFont="1" applyBorder="1" applyAlignment="1">
      <alignment horizontal="center" vertical="center"/>
    </xf>
    <xf numFmtId="206" fontId="158" fillId="0" borderId="3" xfId="1614" applyNumberFormat="1" applyFont="1" applyBorder="1" applyAlignment="1">
      <alignment horizontal="center" vertical="center"/>
    </xf>
    <xf numFmtId="3" fontId="151" fillId="0" borderId="3" xfId="1614" applyNumberFormat="1" applyFont="1" applyBorder="1" applyAlignment="1">
      <alignment horizontal="center" vertical="center"/>
    </xf>
    <xf numFmtId="3" fontId="151" fillId="0" borderId="39" xfId="1614" applyNumberFormat="1" applyFont="1" applyBorder="1" applyAlignment="1">
      <alignment horizontal="center" vertical="center"/>
    </xf>
    <xf numFmtId="0" fontId="158" fillId="0" borderId="20" xfId="1652" applyFont="1" applyBorder="1" applyAlignment="1">
      <alignment horizontal="center" vertical="center"/>
    </xf>
    <xf numFmtId="0" fontId="158" fillId="0" borderId="21" xfId="1652" applyFont="1" applyBorder="1" applyAlignment="1">
      <alignment vertical="center" wrapText="1"/>
    </xf>
    <xf numFmtId="0" fontId="151" fillId="0" borderId="23" xfId="1614" applyFont="1" applyBorder="1" applyAlignment="1">
      <alignment horizontal="center" vertical="center"/>
    </xf>
    <xf numFmtId="0" fontId="151" fillId="0" borderId="24" xfId="1614" applyFont="1" applyBorder="1" applyAlignment="1">
      <alignment horizontal="left" vertical="center"/>
    </xf>
    <xf numFmtId="0" fontId="151" fillId="0" borderId="24" xfId="1614" applyFont="1" applyBorder="1" applyAlignment="1">
      <alignment vertical="center"/>
    </xf>
    <xf numFmtId="0" fontId="158" fillId="0" borderId="24" xfId="1614" applyFont="1" applyBorder="1" applyAlignment="1">
      <alignment horizontal="center" vertical="center"/>
    </xf>
    <xf numFmtId="3" fontId="151" fillId="0" borderId="24" xfId="1614" applyNumberFormat="1" applyFont="1" applyBorder="1" applyAlignment="1">
      <alignment horizontal="center" vertical="center"/>
    </xf>
    <xf numFmtId="3" fontId="151" fillId="0" borderId="25" xfId="1614" applyNumberFormat="1" applyFont="1" applyBorder="1" applyAlignment="1">
      <alignment horizontal="center" vertical="center"/>
    </xf>
    <xf numFmtId="0" fontId="153" fillId="0" borderId="26" xfId="1614" applyFont="1" applyBorder="1" applyAlignment="1">
      <alignment horizontal="center" vertical="center"/>
    </xf>
    <xf numFmtId="37" fontId="155" fillId="0" borderId="27" xfId="1614" applyNumberFormat="1" applyFont="1" applyBorder="1" applyAlignment="1">
      <alignment horizontal="center"/>
    </xf>
    <xf numFmtId="37" fontId="153" fillId="0" borderId="27" xfId="1614" applyNumberFormat="1" applyFont="1" applyBorder="1" applyAlignment="1">
      <alignment horizontal="center"/>
    </xf>
    <xf numFmtId="37" fontId="151" fillId="0" borderId="0" xfId="1614" applyNumberFormat="1" applyFont="1" applyAlignment="1">
      <alignment horizontal="center"/>
    </xf>
    <xf numFmtId="0" fontId="153" fillId="0" borderId="28" xfId="1614" applyFont="1" applyBorder="1" applyAlignment="1">
      <alignment horizontal="center" vertical="center"/>
    </xf>
    <xf numFmtId="37" fontId="155" fillId="0" borderId="29" xfId="1614" applyNumberFormat="1" applyFont="1" applyBorder="1" applyAlignment="1">
      <alignment horizontal="center"/>
    </xf>
    <xf numFmtId="37" fontId="153" fillId="0" borderId="29" xfId="1614" applyNumberFormat="1" applyFont="1" applyBorder="1" applyAlignment="1">
      <alignment horizontal="center"/>
    </xf>
    <xf numFmtId="37" fontId="159" fillId="0" borderId="30" xfId="1614" applyNumberFormat="1" applyFont="1" applyBorder="1" applyAlignment="1">
      <alignment horizontal="center"/>
    </xf>
    <xf numFmtId="37" fontId="159" fillId="0" borderId="32" xfId="1614" applyNumberFormat="1" applyFont="1" applyBorder="1" applyAlignment="1">
      <alignment horizontal="center"/>
    </xf>
    <xf numFmtId="0" fontId="159" fillId="0" borderId="34" xfId="1614" applyFont="1" applyBorder="1" applyAlignment="1">
      <alignment vertical="center"/>
    </xf>
    <xf numFmtId="0" fontId="153" fillId="0" borderId="19" xfId="1614" applyFont="1" applyBorder="1"/>
    <xf numFmtId="0" fontId="153" fillId="0" borderId="19" xfId="1614" applyFont="1" applyBorder="1" applyAlignment="1">
      <alignment horizontal="center"/>
    </xf>
    <xf numFmtId="0" fontId="153" fillId="0" borderId="19" xfId="1614" applyFont="1" applyBorder="1" applyAlignment="1">
      <alignment horizontal="right"/>
    </xf>
    <xf numFmtId="0" fontId="153" fillId="0" borderId="31" xfId="1614" applyFont="1" applyBorder="1" applyAlignment="1">
      <alignment horizontal="right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8" fillId="0" borderId="0" xfId="1614" applyFont="1" applyAlignment="1">
      <alignment horizontal="center" vertical="center"/>
    </xf>
    <xf numFmtId="41" fontId="158" fillId="0" borderId="0" xfId="1652" applyNumberFormat="1" applyFont="1" applyAlignment="1">
      <alignment vertical="center"/>
    </xf>
    <xf numFmtId="0" fontId="153" fillId="0" borderId="0" xfId="1652" applyFont="1" applyAlignment="1">
      <alignment horizontal="right"/>
    </xf>
    <xf numFmtId="0" fontId="160" fillId="0" borderId="0" xfId="1644" applyFont="1" applyAlignment="1">
      <alignment horizontal="center" vertical="center"/>
    </xf>
    <xf numFmtId="0" fontId="158" fillId="0" borderId="0" xfId="1652" applyFont="1" applyAlignment="1">
      <alignment vertical="center"/>
    </xf>
    <xf numFmtId="0" fontId="161" fillId="39" borderId="83" xfId="2670" applyFont="1" applyFill="1" applyBorder="1" applyAlignment="1">
      <alignment horizontal="left" vertical="center"/>
    </xf>
    <xf numFmtId="0" fontId="161" fillId="39" borderId="84" xfId="2670" applyFont="1" applyFill="1" applyBorder="1" applyAlignment="1">
      <alignment horizontal="center" vertical="center"/>
    </xf>
    <xf numFmtId="0" fontId="161" fillId="39" borderId="86" xfId="2670" applyFont="1" applyFill="1" applyBorder="1" applyAlignment="1">
      <alignment horizontal="left" vertical="center"/>
    </xf>
    <xf numFmtId="0" fontId="161" fillId="39" borderId="82" xfId="2670" applyFont="1" applyFill="1" applyBorder="1" applyAlignment="1">
      <alignment horizontal="center" vertical="center"/>
    </xf>
    <xf numFmtId="0" fontId="161" fillId="39" borderId="88" xfId="2670" applyFont="1" applyFill="1" applyBorder="1" applyAlignment="1">
      <alignment horizontal="left" vertical="center"/>
    </xf>
    <xf numFmtId="0" fontId="161" fillId="39" borderId="89" xfId="2670" applyFont="1" applyFill="1" applyBorder="1" applyAlignment="1">
      <alignment horizontal="center" vertical="center"/>
    </xf>
    <xf numFmtId="43" fontId="142" fillId="40" borderId="85" xfId="2672" applyFont="1" applyFill="1" applyBorder="1" applyAlignment="1" applyProtection="1">
      <alignment horizontal="right" vertical="center" wrapText="1"/>
      <protection locked="0"/>
    </xf>
    <xf numFmtId="43" fontId="142" fillId="40" borderId="87" xfId="2672" applyFont="1" applyFill="1" applyBorder="1" applyAlignment="1" applyProtection="1">
      <alignment horizontal="right" vertical="center"/>
      <protection locked="0"/>
    </xf>
    <xf numFmtId="168" fontId="142" fillId="40" borderId="87" xfId="2672" applyNumberFormat="1" applyFont="1" applyFill="1" applyBorder="1" applyAlignment="1" applyProtection="1">
      <alignment horizontal="right" vertical="center"/>
      <protection locked="0"/>
    </xf>
    <xf numFmtId="168" fontId="142" fillId="40" borderId="90" xfId="2672" applyNumberFormat="1" applyFont="1" applyFill="1" applyBorder="1" applyAlignment="1" applyProtection="1">
      <alignment horizontal="right" vertical="center"/>
      <protection locked="0"/>
    </xf>
    <xf numFmtId="0" fontId="122" fillId="0" borderId="0" xfId="1451" applyFont="1"/>
    <xf numFmtId="0" fontId="123" fillId="0" borderId="0" xfId="1451" applyFont="1" applyAlignment="1">
      <alignment vertical="center"/>
    </xf>
    <xf numFmtId="0" fontId="149" fillId="0" borderId="0" xfId="1451" applyFont="1"/>
    <xf numFmtId="0" fontId="124" fillId="0" borderId="0" xfId="1451" applyFont="1" applyAlignment="1">
      <alignment vertical="center"/>
    </xf>
    <xf numFmtId="0" fontId="125" fillId="0" borderId="0" xfId="1451" applyFont="1" applyAlignment="1">
      <alignment horizontal="center" vertical="center"/>
    </xf>
    <xf numFmtId="0" fontId="126" fillId="0" borderId="0" xfId="1451" applyFont="1"/>
    <xf numFmtId="0" fontId="127" fillId="0" borderId="0" xfId="1451" applyFont="1"/>
    <xf numFmtId="0" fontId="117" fillId="0" borderId="0" xfId="1451" applyFont="1" applyAlignment="1">
      <alignment vertical="center"/>
    </xf>
    <xf numFmtId="0" fontId="117" fillId="0" borderId="0" xfId="1451" applyFont="1" applyAlignment="1">
      <alignment horizontal="center" vertical="center"/>
    </xf>
    <xf numFmtId="0" fontId="122" fillId="0" borderId="0" xfId="1451" applyFont="1" applyAlignment="1">
      <alignment horizontal="center" vertical="center"/>
    </xf>
    <xf numFmtId="0" fontId="122" fillId="0" borderId="0" xfId="1451" applyFont="1" applyAlignment="1">
      <alignment horizontal="center"/>
    </xf>
    <xf numFmtId="0" fontId="124" fillId="35" borderId="0" xfId="1451" applyFont="1" applyFill="1" applyAlignment="1">
      <alignment vertical="center"/>
    </xf>
    <xf numFmtId="0" fontId="127" fillId="0" borderId="19" xfId="1451" applyFont="1" applyBorder="1" applyAlignment="1">
      <alignment horizontal="center"/>
    </xf>
    <xf numFmtId="0" fontId="127" fillId="0" borderId="19" xfId="1451" applyFont="1" applyBorder="1"/>
    <xf numFmtId="1" fontId="108" fillId="0" borderId="0" xfId="2673" applyNumberFormat="1" applyFont="1" applyAlignment="1">
      <alignment horizontal="center" vertical="center" wrapText="1"/>
    </xf>
    <xf numFmtId="1" fontId="106" fillId="0" borderId="0" xfId="2673" applyNumberFormat="1" applyFont="1" applyAlignment="1">
      <alignment horizontal="center" vertical="center" wrapText="1"/>
    </xf>
    <xf numFmtId="0" fontId="107" fillId="0" borderId="62" xfId="2673" applyFont="1" applyBorder="1" applyAlignment="1">
      <alignment horizontal="center" vertical="center" wrapText="1"/>
    </xf>
    <xf numFmtId="0" fontId="165" fillId="0" borderId="0" xfId="2673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67" fillId="0" borderId="0" xfId="2673" applyFont="1" applyAlignment="1">
      <alignment vertical="center" wrapText="1"/>
    </xf>
    <xf numFmtId="0" fontId="148" fillId="35" borderId="94" xfId="2673" applyFont="1" applyFill="1" applyBorder="1" applyAlignment="1">
      <alignment vertical="center" wrapText="1"/>
    </xf>
    <xf numFmtId="0" fontId="148" fillId="43" borderId="94" xfId="2673" applyFont="1" applyFill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6" fillId="35" borderId="32" xfId="2673" applyFont="1" applyFill="1" applyBorder="1" applyAlignment="1">
      <alignment vertical="center" wrapText="1"/>
    </xf>
    <xf numFmtId="0" fontId="136" fillId="43" borderId="32" xfId="2673" applyFont="1" applyFill="1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2" fontId="136" fillId="0" borderId="0" xfId="2673" applyNumberFormat="1" applyFont="1" applyAlignment="1">
      <alignment horizontal="center" vertical="center" wrapText="1"/>
    </xf>
    <xf numFmtId="0" fontId="107" fillId="0" borderId="3" xfId="2673" applyFont="1" applyBorder="1" applyAlignment="1">
      <alignment horizontal="center" vertical="center" wrapText="1"/>
    </xf>
    <xf numFmtId="0" fontId="148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9" fillId="0" borderId="0" xfId="2673" applyNumberFormat="1" applyAlignment="1">
      <alignment vertical="center" wrapText="1"/>
    </xf>
    <xf numFmtId="1" fontId="9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6" fillId="0" borderId="0" xfId="2675" applyFont="1" applyFill="1" applyBorder="1" applyAlignment="1">
      <alignment horizontal="center" vertical="center" wrapText="1"/>
    </xf>
    <xf numFmtId="1" fontId="136" fillId="0" borderId="50" xfId="2673" applyNumberFormat="1" applyFont="1" applyBorder="1" applyAlignment="1">
      <alignment vertical="center" wrapText="1"/>
    </xf>
    <xf numFmtId="0" fontId="172" fillId="0" borderId="0" xfId="2673" applyFont="1" applyAlignment="1">
      <alignment vertical="center" wrapText="1"/>
    </xf>
    <xf numFmtId="0" fontId="172" fillId="0" borderId="0" xfId="2673" applyFont="1" applyAlignment="1">
      <alignment horizontal="center" vertical="center" wrapText="1"/>
    </xf>
    <xf numFmtId="2" fontId="172" fillId="0" borderId="0" xfId="2673" applyNumberFormat="1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73" fillId="0" borderId="0" xfId="2673" applyFont="1" applyAlignment="1">
      <alignment vertical="center" wrapText="1"/>
    </xf>
    <xf numFmtId="0" fontId="148" fillId="35" borderId="51" xfId="2673" applyFont="1" applyFill="1" applyBorder="1" applyAlignment="1">
      <alignment vertical="center" wrapText="1"/>
    </xf>
    <xf numFmtId="0" fontId="148" fillId="0" borderId="53" xfId="2673" applyFont="1" applyBorder="1" applyAlignment="1">
      <alignment horizontal="center" vertical="center" wrapText="1"/>
    </xf>
    <xf numFmtId="0" fontId="148" fillId="35" borderId="49" xfId="2673" applyFont="1" applyFill="1" applyBorder="1" applyAlignment="1">
      <alignment vertical="center" wrapText="1"/>
    </xf>
    <xf numFmtId="1" fontId="136" fillId="0" borderId="58" xfId="2673" applyNumberFormat="1" applyFont="1" applyBorder="1" applyAlignment="1">
      <alignment vertical="center" wrapText="1"/>
    </xf>
    <xf numFmtId="0" fontId="136" fillId="35" borderId="49" xfId="2673" applyFont="1" applyFill="1" applyBorder="1" applyAlignment="1">
      <alignment vertical="center" wrapText="1"/>
    </xf>
    <xf numFmtId="0" fontId="136" fillId="35" borderId="98" xfId="2673" applyFont="1" applyFill="1" applyBorder="1" applyAlignment="1">
      <alignment vertical="center" wrapText="1"/>
    </xf>
    <xf numFmtId="0" fontId="107" fillId="0" borderId="64" xfId="2673" applyFont="1" applyBorder="1" applyAlignment="1">
      <alignment horizontal="center" vertical="center" wrapText="1"/>
    </xf>
    <xf numFmtId="0" fontId="148" fillId="0" borderId="51" xfId="2673" applyFont="1" applyBorder="1" applyAlignment="1">
      <alignment vertical="center" wrapText="1"/>
    </xf>
    <xf numFmtId="0" fontId="148" fillId="0" borderId="49" xfId="2673" applyFont="1" applyBorder="1" applyAlignment="1">
      <alignment vertical="center" wrapText="1"/>
    </xf>
    <xf numFmtId="0" fontId="136" fillId="0" borderId="49" xfId="2673" applyFont="1" applyBorder="1" applyAlignment="1">
      <alignment vertical="center" wrapText="1"/>
    </xf>
    <xf numFmtId="0" fontId="136" fillId="0" borderId="98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93" fillId="33" borderId="60" xfId="0" applyFont="1" applyFill="1" applyBorder="1" applyAlignment="1">
      <alignment horizontal="left" vertical="center"/>
    </xf>
    <xf numFmtId="0" fontId="93" fillId="33" borderId="61" xfId="0" applyFont="1" applyFill="1" applyBorder="1" applyAlignment="1">
      <alignment horizontal="left" vertical="center"/>
    </xf>
    <xf numFmtId="49" fontId="93" fillId="33" borderId="60" xfId="0" applyNumberFormat="1" applyFont="1" applyFill="1" applyBorder="1" applyAlignment="1">
      <alignment horizontal="left" vertical="center" wrapText="1"/>
    </xf>
    <xf numFmtId="49" fontId="93" fillId="33" borderId="61" xfId="0" applyNumberFormat="1" applyFont="1" applyFill="1" applyBorder="1" applyAlignment="1">
      <alignment horizontal="left" vertical="center"/>
    </xf>
    <xf numFmtId="165" fontId="154" fillId="0" borderId="0" xfId="2676" applyFont="1" applyAlignment="1">
      <alignment horizontal="center" vertical="center"/>
    </xf>
    <xf numFmtId="0" fontId="8" fillId="0" borderId="0" xfId="2670" applyFont="1" applyAlignment="1">
      <alignment horizontal="center" vertical="center"/>
    </xf>
    <xf numFmtId="0" fontId="129" fillId="0" borderId="0" xfId="2670" applyFont="1" applyAlignment="1">
      <alignment horizontal="left" vertical="center"/>
    </xf>
    <xf numFmtId="0" fontId="8" fillId="0" borderId="21" xfId="1653" applyFont="1" applyBorder="1" applyAlignment="1">
      <alignment horizontal="left" vertical="center" wrapText="1"/>
    </xf>
    <xf numFmtId="206" fontId="45" fillId="0" borderId="21" xfId="2549" applyNumberFormat="1" applyFont="1" applyBorder="1" applyAlignment="1">
      <alignment horizontal="center" vertical="center" wrapText="1"/>
    </xf>
    <xf numFmtId="0" fontId="45" fillId="0" borderId="21" xfId="2677" applyFont="1" applyBorder="1" applyAlignment="1">
      <alignment horizontal="left" vertical="center" wrapText="1"/>
    </xf>
    <xf numFmtId="0" fontId="117" fillId="33" borderId="0" xfId="0" applyFont="1" applyFill="1" applyAlignment="1">
      <alignment horizontal="left"/>
    </xf>
    <xf numFmtId="168" fontId="146" fillId="47" borderId="0" xfId="2672" applyNumberFormat="1" applyFont="1" applyFill="1" applyBorder="1" applyAlignment="1" applyProtection="1">
      <alignment horizontal="right" vertical="center"/>
    </xf>
    <xf numFmtId="0" fontId="176" fillId="0" borderId="69" xfId="1450" applyFont="1" applyBorder="1" applyAlignment="1">
      <alignment horizontal="center" vertical="center"/>
    </xf>
    <xf numFmtId="0" fontId="176" fillId="0" borderId="99" xfId="1450" applyFont="1" applyBorder="1" applyAlignment="1">
      <alignment horizontal="center" vertical="center"/>
    </xf>
    <xf numFmtId="0" fontId="7" fillId="0" borderId="20" xfId="1652" applyFont="1" applyBorder="1" applyAlignment="1">
      <alignment horizontal="center" vertical="center"/>
    </xf>
    <xf numFmtId="0" fontId="129" fillId="0" borderId="20" xfId="1652" applyFont="1" applyBorder="1" applyAlignment="1">
      <alignment horizontal="center" vertical="center"/>
    </xf>
    <xf numFmtId="0" fontId="129" fillId="0" borderId="21" xfId="1652" applyFont="1" applyBorder="1" applyAlignment="1">
      <alignment horizontal="left" vertical="center" wrapText="1"/>
    </xf>
    <xf numFmtId="0" fontId="7" fillId="0" borderId="21" xfId="1652" applyFont="1" applyBorder="1" applyAlignment="1">
      <alignment horizontal="left" vertical="center" wrapText="1"/>
    </xf>
    <xf numFmtId="0" fontId="6" fillId="0" borderId="20" xfId="1652" applyFont="1" applyBorder="1" applyAlignment="1">
      <alignment horizontal="center" vertical="center"/>
    </xf>
    <xf numFmtId="0" fontId="6" fillId="0" borderId="21" xfId="1652" applyFont="1" applyBorder="1" applyAlignment="1">
      <alignment vertical="center" wrapText="1"/>
    </xf>
    <xf numFmtId="0" fontId="129" fillId="0" borderId="21" xfId="1652" applyFont="1" applyBorder="1" applyAlignment="1">
      <alignment vertical="center" wrapText="1"/>
    </xf>
    <xf numFmtId="0" fontId="11" fillId="0" borderId="21" xfId="1614" applyFont="1" applyBorder="1" applyAlignment="1">
      <alignment horizontal="center" vertical="center"/>
    </xf>
    <xf numFmtId="0" fontId="4" fillId="0" borderId="21" xfId="1652" applyFont="1" applyBorder="1" applyAlignment="1">
      <alignment horizontal="left" vertical="center" wrapText="1"/>
    </xf>
    <xf numFmtId="0" fontId="4" fillId="0" borderId="21" xfId="1652" applyFont="1" applyBorder="1" applyAlignment="1">
      <alignment horizontal="center" vertical="center"/>
    </xf>
    <xf numFmtId="0" fontId="22" fillId="0" borderId="21" xfId="1451" applyBorder="1" applyAlignment="1">
      <alignment horizontal="center" wrapText="1"/>
    </xf>
    <xf numFmtId="0" fontId="22" fillId="0" borderId="21" xfId="1451" applyBorder="1" applyAlignment="1">
      <alignment horizontal="center" vertical="center" wrapText="1"/>
    </xf>
    <xf numFmtId="3" fontId="115" fillId="0" borderId="21" xfId="1451" applyNumberFormat="1" applyFont="1" applyBorder="1" applyAlignment="1">
      <alignment horizontal="center" vertical="center" wrapText="1"/>
    </xf>
    <xf numFmtId="0" fontId="129" fillId="48" borderId="21" xfId="1652" applyFont="1" applyFill="1" applyBorder="1" applyAlignment="1">
      <alignment vertical="center" wrapText="1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77" fillId="33" borderId="0" xfId="0" applyFont="1" applyFill="1" applyAlignment="1">
      <alignment horizontal="left"/>
    </xf>
    <xf numFmtId="3" fontId="44" fillId="31" borderId="38" xfId="1615" applyNumberFormat="1" applyFont="1" applyFill="1" applyBorder="1" applyAlignment="1">
      <alignment horizontal="center" vertical="center"/>
    </xf>
    <xf numFmtId="3" fontId="44" fillId="31" borderId="66" xfId="1615" applyNumberFormat="1" applyFont="1" applyFill="1" applyBorder="1" applyAlignment="1">
      <alignment horizontal="center" vertical="center"/>
    </xf>
    <xf numFmtId="3" fontId="44" fillId="31" borderId="18" xfId="1615" applyNumberFormat="1" applyFont="1" applyFill="1" applyBorder="1" applyAlignment="1">
      <alignment horizontal="center" vertical="center"/>
    </xf>
    <xf numFmtId="3" fontId="44" fillId="31" borderId="42" xfId="1615" applyNumberFormat="1" applyFont="1" applyFill="1" applyBorder="1" applyAlignment="1">
      <alignment horizontal="center" vertical="center"/>
    </xf>
    <xf numFmtId="3" fontId="44" fillId="31" borderId="43" xfId="1615" applyNumberFormat="1" applyFont="1" applyFill="1" applyBorder="1" applyAlignment="1">
      <alignment horizontal="center" vertical="center"/>
    </xf>
    <xf numFmtId="3" fontId="44" fillId="31" borderId="67" xfId="1615" applyNumberFormat="1" applyFont="1" applyFill="1" applyBorder="1" applyAlignment="1">
      <alignment horizontal="center" vertical="center"/>
    </xf>
    <xf numFmtId="3" fontId="44" fillId="31" borderId="3" xfId="1615" applyNumberFormat="1" applyFont="1" applyFill="1" applyBorder="1" applyAlignment="1">
      <alignment horizontal="center" vertical="center"/>
    </xf>
    <xf numFmtId="0" fontId="97" fillId="0" borderId="0" xfId="1653" applyFont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 wrapText="1"/>
    </xf>
    <xf numFmtId="37" fontId="63" fillId="0" borderId="19" xfId="1614" applyNumberFormat="1" applyFont="1" applyBorder="1" applyAlignment="1">
      <alignment horizontal="center"/>
    </xf>
    <xf numFmtId="0" fontId="48" fillId="0" borderId="0" xfId="1652" applyFont="1" applyAlignment="1">
      <alignment horizontal="center" vertical="center"/>
    </xf>
    <xf numFmtId="0" fontId="112" fillId="0" borderId="0" xfId="1652" applyAlignment="1">
      <alignment horizontal="center" vertical="center"/>
    </xf>
    <xf numFmtId="0" fontId="63" fillId="0" borderId="26" xfId="1614" applyFont="1" applyBorder="1" applyAlignment="1">
      <alignment horizontal="left" vertical="center"/>
    </xf>
    <xf numFmtId="0" fontId="63" fillId="0" borderId="36" xfId="1614" applyFont="1" applyBorder="1" applyAlignment="1">
      <alignment horizontal="left" vertical="center"/>
    </xf>
    <xf numFmtId="0" fontId="63" fillId="0" borderId="48" xfId="1614" applyFont="1" applyBorder="1" applyAlignment="1">
      <alignment horizontal="left" vertical="center"/>
    </xf>
    <xf numFmtId="0" fontId="63" fillId="0" borderId="28" xfId="1614" applyFont="1" applyBorder="1" applyAlignment="1">
      <alignment horizontal="left" vertical="center"/>
    </xf>
    <xf numFmtId="0" fontId="63" fillId="0" borderId="0" xfId="1614" applyFont="1" applyAlignment="1">
      <alignment horizontal="left" vertical="center"/>
    </xf>
    <xf numFmtId="0" fontId="63" fillId="0" borderId="37" xfId="1614" applyFont="1" applyBorder="1" applyAlignment="1">
      <alignment horizontal="left" vertical="center"/>
    </xf>
    <xf numFmtId="0" fontId="53" fillId="0" borderId="0" xfId="1614" applyFont="1" applyAlignment="1">
      <alignment horizontal="left" vertical="top" wrapText="1"/>
    </xf>
    <xf numFmtId="37" fontId="112" fillId="0" borderId="36" xfId="1614" applyNumberFormat="1" applyBorder="1" applyAlignment="1">
      <alignment horizontal="center"/>
    </xf>
    <xf numFmtId="37" fontId="112" fillId="0" borderId="0" xfId="1614" applyNumberFormat="1" applyAlignment="1">
      <alignment horizontal="center"/>
    </xf>
    <xf numFmtId="0" fontId="53" fillId="0" borderId="3" xfId="1614" applyFont="1" applyBorder="1" applyAlignment="1">
      <alignment horizontal="center" vertical="center"/>
    </xf>
    <xf numFmtId="0" fontId="53" fillId="0" borderId="39" xfId="1614" applyFont="1" applyBorder="1" applyAlignment="1">
      <alignment horizontal="center" vertical="center"/>
    </xf>
    <xf numFmtId="0" fontId="53" fillId="0" borderId="35" xfId="1652" applyFont="1" applyBorder="1" applyAlignment="1">
      <alignment horizontal="center" vertical="center" wrapText="1"/>
    </xf>
    <xf numFmtId="0" fontId="53" fillId="0" borderId="33" xfId="1652" applyFont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1" fillId="0" borderId="51" xfId="1614" applyFont="1" applyBorder="1" applyAlignment="1">
      <alignment horizontal="center" vertical="center"/>
    </xf>
    <xf numFmtId="0" fontId="51" fillId="0" borderId="49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/>
    </xf>
    <xf numFmtId="0" fontId="51" fillId="0" borderId="21" xfId="1614" applyFont="1" applyBorder="1" applyAlignment="1">
      <alignment horizontal="center" vertical="center"/>
    </xf>
    <xf numFmtId="0" fontId="51" fillId="0" borderId="33" xfId="1614" applyFont="1" applyBorder="1" applyAlignment="1">
      <alignment horizontal="center" vertical="center"/>
    </xf>
    <xf numFmtId="0" fontId="53" fillId="0" borderId="53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 wrapText="1"/>
    </xf>
    <xf numFmtId="0" fontId="51" fillId="0" borderId="21" xfId="1614" applyFont="1" applyBorder="1" applyAlignment="1">
      <alignment horizontal="center" vertical="center" wrapText="1"/>
    </xf>
    <xf numFmtId="0" fontId="51" fillId="0" borderId="33" xfId="1614" applyFont="1" applyBorder="1" applyAlignment="1">
      <alignment horizontal="center" vertical="center" wrapText="1"/>
    </xf>
    <xf numFmtId="0" fontId="53" fillId="0" borderId="54" xfId="1614" applyFont="1" applyBorder="1" applyAlignment="1">
      <alignment horizontal="center" vertical="center"/>
    </xf>
    <xf numFmtId="168" fontId="44" fillId="0" borderId="3" xfId="714" applyFont="1" applyFill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44" fillId="0" borderId="3" xfId="1448" applyFont="1" applyBorder="1" applyAlignment="1">
      <alignment horizontal="center" vertical="center" wrapText="1"/>
    </xf>
    <xf numFmtId="0" fontId="56" fillId="0" borderId="3" xfId="1448" applyFont="1" applyBorder="1" applyAlignment="1">
      <alignment horizontal="center" vertical="center" wrapText="1"/>
    </xf>
    <xf numFmtId="0" fontId="9" fillId="0" borderId="96" xfId="2673" applyBorder="1" applyAlignment="1">
      <alignment horizontal="center" vertical="center" wrapText="1"/>
    </xf>
    <xf numFmtId="0" fontId="9" fillId="0" borderId="6" xfId="2673" applyBorder="1" applyAlignment="1">
      <alignment horizontal="center" vertical="center" wrapText="1"/>
    </xf>
    <xf numFmtId="0" fontId="9" fillId="0" borderId="97" xfId="2673" applyBorder="1" applyAlignment="1">
      <alignment horizontal="center" vertical="center" wrapText="1"/>
    </xf>
    <xf numFmtId="9" fontId="172" fillId="0" borderId="0" xfId="2675" applyFont="1" applyFill="1" applyBorder="1" applyAlignment="1">
      <alignment horizontal="center" vertical="center" wrapText="1"/>
    </xf>
    <xf numFmtId="0" fontId="169" fillId="37" borderId="0" xfId="2673" applyFont="1" applyFill="1" applyAlignment="1">
      <alignment horizontal="left" vertical="center" wrapText="1"/>
    </xf>
    <xf numFmtId="166" fontId="148" fillId="35" borderId="7" xfId="2673" applyNumberFormat="1" applyFont="1" applyFill="1" applyBorder="1" applyAlignment="1">
      <alignment horizontal="center" vertical="center" wrapText="1"/>
    </xf>
    <xf numFmtId="0" fontId="148" fillId="35" borderId="58" xfId="2673" applyFont="1" applyFill="1" applyBorder="1" applyAlignment="1">
      <alignment horizontal="center" vertical="center" wrapText="1"/>
    </xf>
    <xf numFmtId="2" fontId="136" fillId="35" borderId="62" xfId="2673" applyNumberFormat="1" applyFont="1" applyFill="1" applyBorder="1" applyAlignment="1">
      <alignment horizontal="center" vertical="center" wrapText="1"/>
    </xf>
    <xf numFmtId="2" fontId="136" fillId="35" borderId="95" xfId="2673" applyNumberFormat="1" applyFont="1" applyFill="1" applyBorder="1" applyAlignment="1">
      <alignment horizontal="center" vertical="center" wrapText="1"/>
    </xf>
    <xf numFmtId="0" fontId="165" fillId="41" borderId="91" xfId="2673" applyFont="1" applyFill="1" applyBorder="1" applyAlignment="1">
      <alignment horizontal="center" vertical="center" wrapText="1"/>
    </xf>
    <xf numFmtId="0" fontId="165" fillId="41" borderId="92" xfId="2673" applyFont="1" applyFill="1" applyBorder="1" applyAlignment="1">
      <alignment horizontal="center" vertical="center" wrapText="1"/>
    </xf>
    <xf numFmtId="0" fontId="165" fillId="41" borderId="93" xfId="2673" applyFont="1" applyFill="1" applyBorder="1" applyAlignment="1">
      <alignment horizontal="center" vertical="center" wrapText="1"/>
    </xf>
    <xf numFmtId="0" fontId="136" fillId="35" borderId="7" xfId="2673" applyFont="1" applyFill="1" applyBorder="1" applyAlignment="1">
      <alignment horizontal="center" vertical="center" wrapText="1"/>
    </xf>
    <xf numFmtId="0" fontId="136" fillId="35" borderId="58" xfId="2673" applyFont="1" applyFill="1" applyBorder="1" applyAlignment="1">
      <alignment horizontal="center" vertical="center" wrapText="1"/>
    </xf>
    <xf numFmtId="1" fontId="148" fillId="35" borderId="7" xfId="2673" applyNumberFormat="1" applyFont="1" applyFill="1" applyBorder="1" applyAlignment="1">
      <alignment horizontal="center" vertical="center" wrapText="1"/>
    </xf>
    <xf numFmtId="1" fontId="148" fillId="35" borderId="58" xfId="2673" applyNumberFormat="1" applyFont="1" applyFill="1" applyBorder="1" applyAlignment="1">
      <alignment horizontal="center" vertical="center" wrapText="1"/>
    </xf>
    <xf numFmtId="166" fontId="148" fillId="0" borderId="53" xfId="2673" applyNumberFormat="1" applyFont="1" applyBorder="1" applyAlignment="1">
      <alignment horizontal="center" vertical="center" wrapText="1"/>
    </xf>
    <xf numFmtId="0" fontId="148" fillId="0" borderId="54" xfId="2673" applyFont="1" applyBorder="1" applyAlignment="1">
      <alignment horizontal="center" vertical="center" wrapText="1"/>
    </xf>
    <xf numFmtId="9" fontId="136" fillId="0" borderId="64" xfId="2675" applyFont="1" applyFill="1" applyBorder="1" applyAlignment="1">
      <alignment horizontal="center" vertical="center" wrapText="1"/>
    </xf>
    <xf numFmtId="9" fontId="136" fillId="0" borderId="65" xfId="2675" applyFont="1" applyFill="1" applyBorder="1" applyAlignment="1">
      <alignment horizontal="center" vertical="center" wrapText="1"/>
    </xf>
    <xf numFmtId="1" fontId="148" fillId="0" borderId="3" xfId="2673" applyNumberFormat="1" applyFont="1" applyBorder="1" applyAlignment="1">
      <alignment horizontal="center" vertical="center" wrapText="1"/>
    </xf>
    <xf numFmtId="1" fontId="148" fillId="0" borderId="39" xfId="2673" applyNumberFormat="1" applyFont="1" applyBorder="1" applyAlignment="1">
      <alignment horizontal="center" vertical="center" wrapText="1"/>
    </xf>
    <xf numFmtId="2" fontId="136" fillId="0" borderId="3" xfId="2673" applyNumberFormat="1" applyFont="1" applyBorder="1" applyAlignment="1">
      <alignment horizontal="center" vertical="center" wrapText="1"/>
    </xf>
    <xf numFmtId="2" fontId="136" fillId="0" borderId="39" xfId="2673" applyNumberFormat="1" applyFont="1" applyBorder="1" applyAlignment="1">
      <alignment horizontal="center" vertical="center" wrapText="1"/>
    </xf>
    <xf numFmtId="9" fontId="136" fillId="35" borderId="64" xfId="2675" applyFont="1" applyFill="1" applyBorder="1" applyAlignment="1">
      <alignment horizontal="center" vertical="center" wrapText="1"/>
    </xf>
    <xf numFmtId="9" fontId="136" fillId="35" borderId="65" xfId="2675" applyFont="1" applyFill="1" applyBorder="1" applyAlignment="1">
      <alignment horizontal="center" vertical="center" wrapText="1"/>
    </xf>
    <xf numFmtId="2" fontId="136" fillId="35" borderId="3" xfId="2673" applyNumberFormat="1" applyFont="1" applyFill="1" applyBorder="1" applyAlignment="1">
      <alignment horizontal="center" vertical="center" wrapText="1"/>
    </xf>
    <xf numFmtId="2" fontId="136" fillId="35" borderId="39" xfId="2673" applyNumberFormat="1" applyFont="1" applyFill="1" applyBorder="1" applyAlignment="1">
      <alignment horizontal="center" vertical="center" wrapText="1"/>
    </xf>
    <xf numFmtId="0" fontId="168" fillId="0" borderId="50" xfId="2673" applyFont="1" applyBorder="1" applyAlignment="1">
      <alignment horizontal="center" vertical="center" wrapText="1"/>
    </xf>
    <xf numFmtId="0" fontId="168" fillId="0" borderId="58" xfId="2673" applyFont="1" applyBorder="1" applyAlignment="1">
      <alignment horizontal="center" vertical="center" wrapText="1"/>
    </xf>
    <xf numFmtId="0" fontId="168" fillId="44" borderId="3" xfId="2673" applyFont="1" applyFill="1" applyBorder="1" applyAlignment="1">
      <alignment horizontal="center" vertical="center" wrapText="1"/>
    </xf>
    <xf numFmtId="0" fontId="168" fillId="44" borderId="39" xfId="2673" applyFont="1" applyFill="1" applyBorder="1" applyAlignment="1">
      <alignment horizontal="center" vertical="center" wrapText="1"/>
    </xf>
    <xf numFmtId="1" fontId="136" fillId="0" borderId="3" xfId="2673" applyNumberFormat="1" applyFont="1" applyBorder="1" applyAlignment="1">
      <alignment horizontal="center" vertical="center" wrapText="1"/>
    </xf>
    <xf numFmtId="1" fontId="136" fillId="0" borderId="39" xfId="2673" applyNumberFormat="1" applyFont="1" applyBorder="1" applyAlignment="1">
      <alignment horizontal="center" vertical="center" wrapText="1"/>
    </xf>
    <xf numFmtId="2" fontId="136" fillId="45" borderId="3" xfId="2673" applyNumberFormat="1" applyFont="1" applyFill="1" applyBorder="1" applyAlignment="1">
      <alignment horizontal="center" vertical="center" wrapText="1"/>
    </xf>
    <xf numFmtId="2" fontId="136" fillId="45" borderId="39" xfId="2673" applyNumberFormat="1" applyFont="1" applyFill="1" applyBorder="1" applyAlignment="1">
      <alignment horizontal="center" vertical="center" wrapText="1"/>
    </xf>
    <xf numFmtId="0" fontId="165" fillId="42" borderId="91" xfId="2673" applyFont="1" applyFill="1" applyBorder="1" applyAlignment="1">
      <alignment horizontal="center" vertical="center" wrapText="1"/>
    </xf>
    <xf numFmtId="0" fontId="165" fillId="42" borderId="92" xfId="2673" applyFont="1" applyFill="1" applyBorder="1" applyAlignment="1">
      <alignment horizontal="center" vertical="center" wrapText="1"/>
    </xf>
    <xf numFmtId="0" fontId="165" fillId="42" borderId="93" xfId="2673" applyFont="1" applyFill="1" applyBorder="1" applyAlignment="1">
      <alignment horizontal="center" vertical="center" wrapText="1"/>
    </xf>
    <xf numFmtId="166" fontId="148" fillId="43" borderId="7" xfId="2673" applyNumberFormat="1" applyFont="1" applyFill="1" applyBorder="1" applyAlignment="1">
      <alignment horizontal="center" vertical="center" wrapText="1"/>
    </xf>
    <xf numFmtId="0" fontId="148" fillId="43" borderId="58" xfId="2673" applyFont="1" applyFill="1" applyBorder="1" applyAlignment="1">
      <alignment horizontal="center" vertical="center" wrapText="1"/>
    </xf>
    <xf numFmtId="1" fontId="136" fillId="43" borderId="7" xfId="2673" applyNumberFormat="1" applyFont="1" applyFill="1" applyBorder="1" applyAlignment="1">
      <alignment horizontal="center" vertical="center" wrapText="1"/>
    </xf>
    <xf numFmtId="1" fontId="136" fillId="43" borderId="58" xfId="2673" applyNumberFormat="1" applyFont="1" applyFill="1" applyBorder="1" applyAlignment="1">
      <alignment horizontal="center" vertical="center" wrapText="1"/>
    </xf>
    <xf numFmtId="0" fontId="136" fillId="43" borderId="7" xfId="2673" applyFont="1" applyFill="1" applyBorder="1" applyAlignment="1">
      <alignment horizontal="center" vertical="center" wrapText="1"/>
    </xf>
    <xf numFmtId="0" fontId="136" fillId="43" borderId="58" xfId="2673" applyFont="1" applyFill="1" applyBorder="1" applyAlignment="1">
      <alignment horizontal="center" vertical="center" wrapText="1"/>
    </xf>
    <xf numFmtId="2" fontId="136" fillId="43" borderId="62" xfId="2673" applyNumberFormat="1" applyFont="1" applyFill="1" applyBorder="1" applyAlignment="1">
      <alignment horizontal="center" vertical="center" wrapText="1"/>
    </xf>
    <xf numFmtId="2" fontId="136" fillId="43" borderId="95" xfId="2673" applyNumberFormat="1" applyFont="1" applyFill="1" applyBorder="1" applyAlignment="1">
      <alignment horizontal="center" vertical="center" wrapText="1"/>
    </xf>
    <xf numFmtId="0" fontId="10" fillId="34" borderId="77" xfId="2670" applyFill="1" applyBorder="1" applyAlignment="1">
      <alignment horizontal="center" vertical="center"/>
    </xf>
    <xf numFmtId="0" fontId="140" fillId="0" borderId="78" xfId="2670" applyFont="1" applyBorder="1" applyAlignment="1">
      <alignment horizontal="left" vertical="center"/>
    </xf>
    <xf numFmtId="0" fontId="53" fillId="0" borderId="44" xfId="1538" applyFont="1" applyBorder="1" applyAlignment="1">
      <alignment horizontal="left"/>
    </xf>
    <xf numFmtId="0" fontId="113" fillId="38" borderId="3" xfId="1538" applyFill="1" applyBorder="1" applyAlignment="1">
      <alignment horizontal="center" vertical="center"/>
    </xf>
    <xf numFmtId="0" fontId="113" fillId="38" borderId="3" xfId="1538" applyFill="1" applyBorder="1" applyAlignment="1">
      <alignment horizontal="center" vertical="center" wrapText="1"/>
    </xf>
    <xf numFmtId="0" fontId="104" fillId="38" borderId="3" xfId="1538" applyFont="1" applyFill="1" applyBorder="1" applyAlignment="1">
      <alignment horizontal="center" vertical="center" wrapText="1"/>
    </xf>
    <xf numFmtId="0" fontId="50" fillId="0" borderId="3" xfId="1538" applyFont="1" applyBorder="1" applyAlignment="1">
      <alignment horizontal="center"/>
    </xf>
    <xf numFmtId="0" fontId="113" fillId="38" borderId="35" xfId="1538" applyFill="1" applyBorder="1" applyAlignment="1">
      <alignment horizontal="center" vertical="center" wrapText="1"/>
    </xf>
    <xf numFmtId="0" fontId="113" fillId="38" borderId="33" xfId="1538" applyFill="1" applyBorder="1" applyAlignment="1">
      <alignment horizontal="center" vertical="center" wrapText="1"/>
    </xf>
    <xf numFmtId="0" fontId="155" fillId="30" borderId="3" xfId="1614" applyFont="1" applyFill="1" applyBorder="1" applyAlignment="1">
      <alignment horizontal="center" vertical="center"/>
    </xf>
    <xf numFmtId="0" fontId="156" fillId="0" borderId="0" xfId="1652" applyFont="1" applyAlignment="1">
      <alignment horizontal="center" vertical="center"/>
    </xf>
    <xf numFmtId="37" fontId="153" fillId="0" borderId="36" xfId="1614" applyNumberFormat="1" applyFont="1" applyBorder="1" applyAlignment="1">
      <alignment horizontal="center"/>
    </xf>
    <xf numFmtId="0" fontId="157" fillId="35" borderId="51" xfId="1614" applyFont="1" applyFill="1" applyBorder="1" applyAlignment="1">
      <alignment horizontal="center" vertical="center"/>
    </xf>
    <xf numFmtId="0" fontId="157" fillId="35" borderId="49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/>
    </xf>
    <xf numFmtId="0" fontId="157" fillId="35" borderId="21" xfId="1614" applyFont="1" applyFill="1" applyBorder="1" applyAlignment="1">
      <alignment horizontal="center" vertical="center"/>
    </xf>
    <xf numFmtId="0" fontId="157" fillId="35" borderId="33" xfId="1614" applyFont="1" applyFill="1" applyBorder="1" applyAlignment="1">
      <alignment horizontal="center" vertical="center"/>
    </xf>
    <xf numFmtId="0" fontId="157" fillId="35" borderId="53" xfId="1614" applyFont="1" applyFill="1" applyBorder="1" applyAlignment="1">
      <alignment horizontal="center" vertical="center"/>
    </xf>
    <xf numFmtId="0" fontId="157" fillId="35" borderId="3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 wrapText="1"/>
    </xf>
    <xf numFmtId="0" fontId="157" fillId="35" borderId="21" xfId="1614" applyFont="1" applyFill="1" applyBorder="1" applyAlignment="1">
      <alignment horizontal="center" vertical="center" wrapText="1"/>
    </xf>
    <xf numFmtId="0" fontId="157" fillId="35" borderId="33" xfId="1614" applyFont="1" applyFill="1" applyBorder="1" applyAlignment="1">
      <alignment horizontal="center" vertical="center" wrapText="1"/>
    </xf>
    <xf numFmtId="0" fontId="157" fillId="35" borderId="35" xfId="1652" applyFont="1" applyFill="1" applyBorder="1" applyAlignment="1">
      <alignment horizontal="center" vertical="center" wrapText="1"/>
    </xf>
    <xf numFmtId="0" fontId="157" fillId="35" borderId="33" xfId="1652" applyFont="1" applyFill="1" applyBorder="1" applyAlignment="1">
      <alignment horizontal="center" vertical="center" wrapText="1"/>
    </xf>
    <xf numFmtId="0" fontId="152" fillId="0" borderId="0" xfId="1644" applyFont="1" applyAlignment="1">
      <alignment horizontal="center" vertical="center"/>
    </xf>
    <xf numFmtId="37" fontId="159" fillId="0" borderId="19" xfId="1614" applyNumberFormat="1" applyFont="1" applyBorder="1" applyAlignment="1">
      <alignment horizontal="center"/>
    </xf>
    <xf numFmtId="0" fontId="155" fillId="0" borderId="0" xfId="1614" applyFont="1" applyAlignment="1">
      <alignment horizontal="left" vertical="top" wrapText="1"/>
    </xf>
    <xf numFmtId="37" fontId="153" fillId="0" borderId="0" xfId="1614" applyNumberFormat="1" applyFont="1" applyAlignment="1">
      <alignment horizontal="center"/>
    </xf>
    <xf numFmtId="0" fontId="174" fillId="0" borderId="26" xfId="1614" applyFont="1" applyBorder="1" applyAlignment="1">
      <alignment horizontal="left" vertical="center" wrapText="1"/>
    </xf>
    <xf numFmtId="0" fontId="174" fillId="0" borderId="36" xfId="1614" applyFont="1" applyBorder="1" applyAlignment="1">
      <alignment horizontal="left" vertical="center" wrapText="1"/>
    </xf>
    <xf numFmtId="0" fontId="174" fillId="0" borderId="48" xfId="1614" applyFont="1" applyBorder="1" applyAlignment="1">
      <alignment horizontal="left" vertical="center" wrapText="1"/>
    </xf>
    <xf numFmtId="0" fontId="174" fillId="0" borderId="28" xfId="1614" applyFont="1" applyBorder="1" applyAlignment="1">
      <alignment horizontal="left" vertical="center" wrapText="1"/>
    </xf>
    <xf numFmtId="0" fontId="174" fillId="0" borderId="0" xfId="1614" applyFont="1" applyAlignment="1">
      <alignment horizontal="left" vertical="center" wrapText="1"/>
    </xf>
    <xf numFmtId="0" fontId="174" fillId="0" borderId="37" xfId="1614" applyFont="1" applyBorder="1" applyAlignment="1">
      <alignment horizontal="left" vertical="center" wrapText="1"/>
    </xf>
    <xf numFmtId="0" fontId="158" fillId="0" borderId="0" xfId="1652" applyFont="1" applyAlignment="1">
      <alignment horizontal="center" vertical="center"/>
    </xf>
    <xf numFmtId="0" fontId="153" fillId="0" borderId="0" xfId="1652" applyFont="1" applyAlignment="1">
      <alignment horizontal="center" vertical="center"/>
    </xf>
    <xf numFmtId="0" fontId="157" fillId="35" borderId="54" xfId="1614" applyFont="1" applyFill="1" applyBorder="1" applyAlignment="1">
      <alignment horizontal="center" vertical="center"/>
    </xf>
    <xf numFmtId="0" fontId="157" fillId="35" borderId="39" xfId="1614" applyFont="1" applyFill="1" applyBorder="1" applyAlignment="1">
      <alignment horizontal="center" vertical="center"/>
    </xf>
    <xf numFmtId="0" fontId="132" fillId="35" borderId="55" xfId="0" applyFont="1" applyFill="1" applyBorder="1" applyAlignment="1">
      <alignment horizontal="center" vertical="center"/>
    </xf>
    <xf numFmtId="0" fontId="132" fillId="35" borderId="36" xfId="0" applyFont="1" applyFill="1" applyBorder="1" applyAlignment="1">
      <alignment horizontal="center" vertical="center"/>
    </xf>
    <xf numFmtId="0" fontId="132" fillId="35" borderId="48" xfId="0" applyFont="1" applyFill="1" applyBorder="1" applyAlignment="1">
      <alignment horizontal="center" vertical="center"/>
    </xf>
    <xf numFmtId="0" fontId="132" fillId="35" borderId="43" xfId="0" applyFont="1" applyFill="1" applyBorder="1" applyAlignment="1">
      <alignment horizontal="center" vertical="center"/>
    </xf>
    <xf numFmtId="0" fontId="132" fillId="35" borderId="44" xfId="0" applyFont="1" applyFill="1" applyBorder="1" applyAlignment="1">
      <alignment horizontal="center" vertical="center"/>
    </xf>
    <xf numFmtId="0" fontId="132" fillId="35" borderId="45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horizontal="center"/>
    </xf>
    <xf numFmtId="0" fontId="116" fillId="33" borderId="39" xfId="0" applyFont="1" applyFill="1" applyBorder="1" applyAlignment="1">
      <alignment horizontal="center"/>
    </xf>
    <xf numFmtId="0" fontId="117" fillId="33" borderId="18" xfId="0" applyFont="1" applyFill="1" applyBorder="1" applyAlignment="1">
      <alignment horizontal="left"/>
    </xf>
    <xf numFmtId="0" fontId="117" fillId="33" borderId="0" xfId="0" applyFont="1" applyFill="1" applyAlignment="1">
      <alignment horizontal="left"/>
    </xf>
    <xf numFmtId="0" fontId="117" fillId="33" borderId="37" xfId="0" applyFont="1" applyFill="1" applyBorder="1" applyAlignment="1">
      <alignment horizontal="left"/>
    </xf>
    <xf numFmtId="0" fontId="133" fillId="33" borderId="50" xfId="0" applyFont="1" applyFill="1" applyBorder="1" applyAlignment="1">
      <alignment horizontal="center" vertical="center"/>
    </xf>
    <xf numFmtId="0" fontId="133" fillId="33" borderId="7" xfId="0" applyFont="1" applyFill="1" applyBorder="1" applyAlignment="1">
      <alignment horizontal="center" vertical="center"/>
    </xf>
    <xf numFmtId="0" fontId="133" fillId="33" borderId="41" xfId="0" applyFont="1" applyFill="1" applyBorder="1" applyAlignment="1">
      <alignment horizontal="center" vertical="center"/>
    </xf>
    <xf numFmtId="0" fontId="117" fillId="33" borderId="50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center"/>
    </xf>
    <xf numFmtId="0" fontId="117" fillId="33" borderId="58" xfId="0" applyFont="1" applyFill="1" applyBorder="1" applyAlignment="1">
      <alignment horizontal="center" vertical="center"/>
    </xf>
    <xf numFmtId="207" fontId="121" fillId="0" borderId="73" xfId="1450" applyNumberFormat="1" applyFont="1" applyBorder="1" applyAlignment="1">
      <alignment horizontal="left" vertical="center"/>
    </xf>
    <xf numFmtId="207" fontId="176" fillId="0" borderId="74" xfId="1450" applyNumberFormat="1" applyFont="1" applyBorder="1" applyAlignment="1">
      <alignment horizontal="left" vertical="center"/>
    </xf>
    <xf numFmtId="49" fontId="134" fillId="33" borderId="59" xfId="0" applyNumberFormat="1" applyFont="1" applyFill="1" applyBorder="1" applyAlignment="1">
      <alignment horizontal="left" vertical="center"/>
    </xf>
    <xf numFmtId="49" fontId="134" fillId="33" borderId="40" xfId="0" applyNumberFormat="1" applyFont="1" applyFill="1" applyBorder="1" applyAlignment="1">
      <alignment horizontal="left" vertical="center"/>
    </xf>
    <xf numFmtId="49" fontId="116" fillId="33" borderId="50" xfId="0" applyNumberFormat="1" applyFont="1" applyFill="1" applyBorder="1" applyAlignment="1">
      <alignment horizontal="left" vertical="center"/>
    </xf>
    <xf numFmtId="49" fontId="116" fillId="33" borderId="41" xfId="0" applyNumberFormat="1" applyFont="1" applyFill="1" applyBorder="1" applyAlignment="1">
      <alignment horizontal="left" vertical="center"/>
    </xf>
    <xf numFmtId="0" fontId="116" fillId="33" borderId="56" xfId="0" applyFont="1" applyFill="1" applyBorder="1" applyAlignment="1">
      <alignment horizontal="center"/>
    </xf>
    <xf numFmtId="0" fontId="116" fillId="33" borderId="57" xfId="0" applyFont="1" applyFill="1" applyBorder="1" applyAlignment="1">
      <alignment horizontal="center"/>
    </xf>
    <xf numFmtId="49" fontId="116" fillId="33" borderId="50" xfId="0" applyNumberFormat="1" applyFont="1" applyFill="1" applyBorder="1" applyAlignment="1">
      <alignment horizontal="center" vertical="center"/>
    </xf>
    <xf numFmtId="49" fontId="116" fillId="33" borderId="41" xfId="0" applyNumberFormat="1" applyFont="1" applyFill="1" applyBorder="1" applyAlignment="1">
      <alignment horizontal="center" vertical="center"/>
    </xf>
    <xf numFmtId="0" fontId="93" fillId="33" borderId="60" xfId="0" applyFont="1" applyFill="1" applyBorder="1" applyAlignment="1">
      <alignment horizontal="left" vertical="center"/>
    </xf>
    <xf numFmtId="0" fontId="93" fillId="33" borderId="79" xfId="0" applyFont="1" applyFill="1" applyBorder="1" applyAlignment="1">
      <alignment horizontal="left" vertical="center"/>
    </xf>
    <xf numFmtId="0" fontId="134" fillId="33" borderId="60" xfId="0" applyFont="1" applyFill="1" applyBorder="1" applyAlignment="1">
      <alignment horizontal="left" vertical="center"/>
    </xf>
    <xf numFmtId="0" fontId="134" fillId="33" borderId="61" xfId="0" applyFont="1" applyFill="1" applyBorder="1" applyAlignment="1">
      <alignment horizontal="left" vertical="center"/>
    </xf>
    <xf numFmtId="0" fontId="93" fillId="33" borderId="80" xfId="0" applyFont="1" applyFill="1" applyBorder="1" applyAlignment="1">
      <alignment horizontal="center" vertical="center"/>
    </xf>
    <xf numFmtId="0" fontId="93" fillId="33" borderId="81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center"/>
    </xf>
    <xf numFmtId="0" fontId="120" fillId="33" borderId="73" xfId="0" applyFont="1" applyFill="1" applyBorder="1" applyAlignment="1">
      <alignment horizontal="center" vertical="center"/>
    </xf>
    <xf numFmtId="0" fontId="120" fillId="33" borderId="74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93" fillId="33" borderId="61" xfId="0" applyFont="1" applyFill="1" applyBorder="1" applyAlignment="1">
      <alignment horizontal="left" vertical="center"/>
    </xf>
    <xf numFmtId="0" fontId="116" fillId="33" borderId="7" xfId="0" applyFont="1" applyFill="1" applyBorder="1" applyAlignment="1">
      <alignment horizontal="center"/>
    </xf>
    <xf numFmtId="0" fontId="116" fillId="33" borderId="41" xfId="0" applyFont="1" applyFill="1" applyBorder="1" applyAlignment="1">
      <alignment horizontal="center"/>
    </xf>
    <xf numFmtId="15" fontId="116" fillId="33" borderId="3" xfId="0" applyNumberFormat="1" applyFont="1" applyFill="1" applyBorder="1" applyAlignment="1">
      <alignment horizontal="center"/>
    </xf>
    <xf numFmtId="0" fontId="93" fillId="33" borderId="59" xfId="0" applyFont="1" applyFill="1" applyBorder="1" applyAlignment="1">
      <alignment horizontal="center" vertical="center"/>
    </xf>
    <xf numFmtId="0" fontId="93" fillId="33" borderId="40" xfId="0" applyFont="1" applyFill="1" applyBorder="1" applyAlignment="1">
      <alignment horizontal="center" vertical="center"/>
    </xf>
    <xf numFmtId="0" fontId="121" fillId="33" borderId="75" xfId="0" applyFont="1" applyFill="1" applyBorder="1" applyAlignment="1">
      <alignment horizontal="center" vertical="center" wrapText="1"/>
    </xf>
    <xf numFmtId="0" fontId="121" fillId="33" borderId="76" xfId="0" applyFont="1" applyFill="1" applyBorder="1" applyAlignment="1">
      <alignment horizontal="center" vertical="center" wrapText="1"/>
    </xf>
    <xf numFmtId="0" fontId="117" fillId="33" borderId="18" xfId="0" applyFont="1" applyFill="1" applyBorder="1" applyAlignment="1">
      <alignment horizontal="left" vertical="top" wrapText="1"/>
    </xf>
    <xf numFmtId="0" fontId="117" fillId="33" borderId="0" xfId="0" applyFont="1" applyFill="1" applyAlignment="1">
      <alignment horizontal="left" vertical="top" wrapText="1"/>
    </xf>
    <xf numFmtId="0" fontId="116" fillId="33" borderId="64" xfId="0" applyFont="1" applyFill="1" applyBorder="1" applyAlignment="1">
      <alignment horizontal="center"/>
    </xf>
    <xf numFmtId="0" fontId="116" fillId="33" borderId="62" xfId="0" applyFont="1" applyFill="1" applyBorder="1" applyAlignment="1">
      <alignment horizontal="center"/>
    </xf>
    <xf numFmtId="0" fontId="116" fillId="33" borderId="63" xfId="0" applyFont="1" applyFill="1" applyBorder="1" applyAlignment="1">
      <alignment horizontal="center"/>
    </xf>
    <xf numFmtId="0" fontId="116" fillId="33" borderId="65" xfId="0" applyFont="1" applyFill="1" applyBorder="1" applyAlignment="1">
      <alignment horizontal="center"/>
    </xf>
    <xf numFmtId="0" fontId="116" fillId="33" borderId="56" xfId="0" applyFont="1" applyFill="1" applyBorder="1" applyAlignment="1">
      <alignment horizontal="center" vertical="center"/>
    </xf>
    <xf numFmtId="0" fontId="116" fillId="33" borderId="57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 vertical="center" wrapText="1"/>
    </xf>
    <xf numFmtId="0" fontId="116" fillId="33" borderId="37" xfId="0" applyFont="1" applyFill="1" applyBorder="1" applyAlignment="1">
      <alignment horizontal="center" vertical="center" wrapText="1"/>
    </xf>
    <xf numFmtId="0" fontId="116" fillId="33" borderId="44" xfId="0" applyFont="1" applyFill="1" applyBorder="1" applyAlignment="1">
      <alignment horizontal="center" vertical="center" wrapText="1"/>
    </xf>
    <xf numFmtId="0" fontId="116" fillId="33" borderId="45" xfId="0" applyFont="1" applyFill="1" applyBorder="1" applyAlignment="1">
      <alignment horizontal="center" vertical="center" wrapText="1"/>
    </xf>
    <xf numFmtId="0" fontId="124" fillId="35" borderId="26" xfId="1451" applyFont="1" applyFill="1" applyBorder="1" applyAlignment="1">
      <alignment horizontal="center" vertical="center"/>
    </xf>
    <xf numFmtId="0" fontId="124" fillId="35" borderId="36" xfId="1451" applyFont="1" applyFill="1" applyBorder="1" applyAlignment="1">
      <alignment horizontal="center" vertical="center"/>
    </xf>
    <xf numFmtId="0" fontId="124" fillId="35" borderId="48" xfId="1451" applyFont="1" applyFill="1" applyBorder="1" applyAlignment="1">
      <alignment horizontal="center" vertical="center"/>
    </xf>
    <xf numFmtId="0" fontId="124" fillId="35" borderId="28" xfId="1451" applyFont="1" applyFill="1" applyBorder="1" applyAlignment="1">
      <alignment horizontal="center" vertical="center"/>
    </xf>
    <xf numFmtId="0" fontId="124" fillId="35" borderId="0" xfId="1451" applyFont="1" applyFill="1" applyAlignment="1">
      <alignment horizontal="center" vertical="center"/>
    </xf>
    <xf numFmtId="0" fontId="124" fillId="35" borderId="37" xfId="1451" applyFont="1" applyFill="1" applyBorder="1" applyAlignment="1">
      <alignment horizontal="center" vertical="center"/>
    </xf>
    <xf numFmtId="0" fontId="124" fillId="35" borderId="34" xfId="1451" applyFont="1" applyFill="1" applyBorder="1" applyAlignment="1">
      <alignment horizontal="center" vertical="center"/>
    </xf>
    <xf numFmtId="0" fontId="124" fillId="35" borderId="19" xfId="1451" applyFont="1" applyFill="1" applyBorder="1" applyAlignment="1">
      <alignment horizontal="center" vertical="center"/>
    </xf>
    <xf numFmtId="0" fontId="124" fillId="35" borderId="31" xfId="1451" applyFont="1" applyFill="1" applyBorder="1" applyAlignment="1">
      <alignment horizontal="center" vertical="center"/>
    </xf>
    <xf numFmtId="0" fontId="162" fillId="0" borderId="0" xfId="1451" applyFont="1" applyAlignment="1">
      <alignment horizontal="left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" fillId="0" borderId="21" xfId="1652" applyFont="1" applyBorder="1" applyAlignment="1">
      <alignment horizontal="center" vertical="center"/>
    </xf>
    <xf numFmtId="0" fontId="129" fillId="48" borderId="20" xfId="1652" applyFont="1" applyFill="1" applyBorder="1" applyAlignment="1">
      <alignment horizontal="center" vertical="center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4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eg"/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149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150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98</xdr:row>
      <xdr:rowOff>81642</xdr:rowOff>
    </xdr:from>
    <xdr:to>
      <xdr:col>12</xdr:col>
      <xdr:colOff>41108</xdr:colOff>
      <xdr:row>101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196011</xdr:colOff>
      <xdr:row>20</xdr:row>
      <xdr:rowOff>130469</xdr:rowOff>
    </xdr:from>
    <xdr:to>
      <xdr:col>39</xdr:col>
      <xdr:colOff>77659</xdr:colOff>
      <xdr:row>49</xdr:row>
      <xdr:rowOff>65871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AE3D08-E3D9-5159-247B-D5D4F3475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96368" y="3164862"/>
          <a:ext cx="6072898" cy="4316902"/>
        </a:xfrm>
        <a:prstGeom prst="rect">
          <a:avLst/>
        </a:prstGeom>
      </xdr:spPr>
    </xdr:pic>
    <xdr:clientData/>
  </xdr:twoCellAnchor>
  <xdr:twoCellAnchor>
    <xdr:from>
      <xdr:col>6</xdr:col>
      <xdr:colOff>249147</xdr:colOff>
      <xdr:row>9</xdr:row>
      <xdr:rowOff>95916</xdr:rowOff>
    </xdr:from>
    <xdr:to>
      <xdr:col>10</xdr:col>
      <xdr:colOff>358588</xdr:colOff>
      <xdr:row>33</xdr:row>
      <xdr:rowOff>123264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55663F0D-54C9-48A3-9BDA-485C0206CA10}"/>
            </a:ext>
          </a:extLst>
        </xdr:cNvPr>
        <xdr:cNvCxnSpPr>
          <a:cxnSpLocks/>
        </xdr:cNvCxnSpPr>
      </xdr:nvCxnSpPr>
      <xdr:spPr>
        <a:xfrm flipH="1" flipV="1">
          <a:off x="2086912" y="1507857"/>
          <a:ext cx="1633441" cy="3781319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212912</xdr:colOff>
      <xdr:row>12</xdr:row>
      <xdr:rowOff>67235</xdr:rowOff>
    </xdr:from>
    <xdr:to>
      <xdr:col>12</xdr:col>
      <xdr:colOff>313765</xdr:colOff>
      <xdr:row>15</xdr:row>
      <xdr:rowOff>22411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5AE5D4B5-835D-4AC5-BCD8-6120D4BCF351}"/>
            </a:ext>
          </a:extLst>
        </xdr:cNvPr>
        <xdr:cNvCxnSpPr>
          <a:cxnSpLocks/>
        </xdr:cNvCxnSpPr>
      </xdr:nvCxnSpPr>
      <xdr:spPr>
        <a:xfrm flipH="1">
          <a:off x="2431677" y="1949823"/>
          <a:ext cx="2005853" cy="425823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346387</xdr:colOff>
      <xdr:row>1</xdr:row>
      <xdr:rowOff>78442</xdr:rowOff>
    </xdr:from>
    <xdr:to>
      <xdr:col>21</xdr:col>
      <xdr:colOff>61686</xdr:colOff>
      <xdr:row>6</xdr:row>
      <xdr:rowOff>91566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6474E8-45FB-41D1-9237-637ED4705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56152" y="235324"/>
          <a:ext cx="858299" cy="797536"/>
        </a:xfrm>
        <a:prstGeom prst="rect">
          <a:avLst/>
        </a:prstGeom>
      </xdr:spPr>
    </xdr:pic>
    <xdr:clientData/>
  </xdr:twoCellAnchor>
  <xdr:twoCellAnchor>
    <xdr:from>
      <xdr:col>26</xdr:col>
      <xdr:colOff>23969</xdr:colOff>
      <xdr:row>5</xdr:row>
      <xdr:rowOff>38072</xdr:rowOff>
    </xdr:from>
    <xdr:to>
      <xdr:col>29</xdr:col>
      <xdr:colOff>311192</xdr:colOff>
      <xdr:row>16</xdr:row>
      <xdr:rowOff>142121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B0220285-EE97-4E6E-A95C-45576091A7EB}"/>
            </a:ext>
          </a:extLst>
        </xdr:cNvPr>
        <xdr:cNvGrpSpPr/>
      </xdr:nvGrpSpPr>
      <xdr:grpSpPr>
        <a:xfrm>
          <a:off x="9510869" y="819122"/>
          <a:ext cx="1487373" cy="1789974"/>
          <a:chOff x="9713886" y="808452"/>
          <a:chExt cx="1342558" cy="1766630"/>
        </a:xfrm>
      </xdr:grpSpPr>
      <xdr:grpSp>
        <xdr:nvGrpSpPr>
          <xdr:cNvPr id="100" name="Group 13">
            <a:extLst>
              <a:ext uri="{FF2B5EF4-FFF2-40B4-BE49-F238E27FC236}">
                <a16:creationId xmlns:a16="http://schemas.microsoft.com/office/drawing/2014/main" id="{50C9901A-C801-0776-8FE4-B2C270794108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61" name="Oval 1">
              <a:extLst>
                <a:ext uri="{FF2B5EF4-FFF2-40B4-BE49-F238E27FC236}">
                  <a16:creationId xmlns:a16="http://schemas.microsoft.com/office/drawing/2014/main" id="{5FF210CF-F4E7-3D2B-931B-2E7D3D8CA5C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62" name="Straight Connector 3">
              <a:extLst>
                <a:ext uri="{FF2B5EF4-FFF2-40B4-BE49-F238E27FC236}">
                  <a16:creationId xmlns:a16="http://schemas.microsoft.com/office/drawing/2014/main" id="{762C6821-1D93-EE49-F11E-3DB5AABA0D16}"/>
                </a:ext>
              </a:extLst>
            </xdr:cNvPr>
            <xdr:cNvCxnSpPr>
              <a:stCxn id="118" idx="1"/>
              <a:endCxn id="11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">
              <a:extLst>
                <a:ext uri="{FF2B5EF4-FFF2-40B4-BE49-F238E27FC236}">
                  <a16:creationId xmlns:a16="http://schemas.microsoft.com/office/drawing/2014/main" id="{1B71846B-C579-5610-4EB6-7B7798435E84}"/>
                </a:ext>
              </a:extLst>
            </xdr:cNvPr>
            <xdr:cNvCxnSpPr>
              <a:stCxn id="118" idx="3"/>
              <a:endCxn id="11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1ED72490-DD0F-F5B2-9D07-9FDBFF9CBA2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2" name="Group 101">
            <a:extLst>
              <a:ext uri="{FF2B5EF4-FFF2-40B4-BE49-F238E27FC236}">
                <a16:creationId xmlns:a16="http://schemas.microsoft.com/office/drawing/2014/main" id="{205F34CF-2A28-583B-0529-95EF820167E1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58" name="Oval 157">
              <a:extLst>
                <a:ext uri="{FF2B5EF4-FFF2-40B4-BE49-F238E27FC236}">
                  <a16:creationId xmlns:a16="http://schemas.microsoft.com/office/drawing/2014/main" id="{C3F28DCD-DC48-0552-3329-10C656561C8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F1CBA8F2-FE4F-39C6-8FAF-84768DBC520D}"/>
                </a:ext>
              </a:extLst>
            </xdr:cNvPr>
            <xdr:cNvCxnSpPr>
              <a:stCxn id="158" idx="1"/>
              <a:endCxn id="15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193210BB-409A-7954-57CC-062A331656F6}"/>
                </a:ext>
              </a:extLst>
            </xdr:cNvPr>
            <xdr:cNvCxnSpPr>
              <a:stCxn id="158" idx="3"/>
              <a:endCxn id="15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3" name="Oval 102">
            <a:extLst>
              <a:ext uri="{FF2B5EF4-FFF2-40B4-BE49-F238E27FC236}">
                <a16:creationId xmlns:a16="http://schemas.microsoft.com/office/drawing/2014/main" id="{F02B710D-E15D-AA89-9665-0CC769BFB09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60384C31-6FCB-D2C4-0E0F-2E649056AAE9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1E2B950-29B2-1848-AF25-6F0E0904341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54B67F37-6DDC-578E-2CE0-DFE1705C93D8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31F3EC0C-6A4C-8FCA-A44F-AC48EC5D746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5AD8B54-0AC0-B7F0-3D77-466C53073A16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4C89575F-E9A9-4E6A-8315-4A539A817DF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5998B5BA-A3BE-E234-564D-CD863F59CECC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B164A5BD-E660-0ED4-7643-39E4750F9741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02560172-58A2-F70E-8398-72A7DD6E66CC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BAED6733-4F62-727A-6367-25EC7E3509F9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48073994-7726-FBA4-29A9-E67BD670DF9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3A10A7BA-D8F2-457F-18D7-39C5629A111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50">
            <a:extLst>
              <a:ext uri="{FF2B5EF4-FFF2-40B4-BE49-F238E27FC236}">
                <a16:creationId xmlns:a16="http://schemas.microsoft.com/office/drawing/2014/main" id="{A48ACB9E-DB2C-5482-BD0D-17818437C24E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26A2B502-9AD4-AE10-D55B-59AF1C84280B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52">
            <a:extLst>
              <a:ext uri="{FF2B5EF4-FFF2-40B4-BE49-F238E27FC236}">
                <a16:creationId xmlns:a16="http://schemas.microsoft.com/office/drawing/2014/main" id="{2A50B355-713A-5306-DEF5-2813E63F066E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2E46E561-9ED4-FFAB-8E91-4B4A7C83782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6100DD25-324C-7EE6-E16C-4157668F3B7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783D031E-237B-C782-6AA5-40AB9166972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544036DA-7162-B315-70F8-41114D46A032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06DA957E-B201-6D9C-DE91-93254E2E2AB7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AFF13467-09EE-1738-6526-D89443F802F5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61661414-1DB8-836C-E270-81F6813D9654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CAA7B0CB-CCEC-CEC2-346D-55BCC5B1C72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29" name="Isosceles Triangle 128">
            <a:extLst>
              <a:ext uri="{FF2B5EF4-FFF2-40B4-BE49-F238E27FC236}">
                <a16:creationId xmlns:a16="http://schemas.microsoft.com/office/drawing/2014/main" id="{D58C91C4-2BED-646A-0FE6-B34DEEACEB9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0" name="Group 73">
            <a:extLst>
              <a:ext uri="{FF2B5EF4-FFF2-40B4-BE49-F238E27FC236}">
                <a16:creationId xmlns:a16="http://schemas.microsoft.com/office/drawing/2014/main" id="{08552458-3D8C-CE19-2F7A-62E95A8513F1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56" name="TextBox 155">
              <a:extLst>
                <a:ext uri="{FF2B5EF4-FFF2-40B4-BE49-F238E27FC236}">
                  <a16:creationId xmlns:a16="http://schemas.microsoft.com/office/drawing/2014/main" id="{49D0E229-2B8E-C108-3DD9-8B759C8D524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57" name="Straight Connector 156">
              <a:extLst>
                <a:ext uri="{FF2B5EF4-FFF2-40B4-BE49-F238E27FC236}">
                  <a16:creationId xmlns:a16="http://schemas.microsoft.com/office/drawing/2014/main" id="{14539FCB-D89D-2884-260F-41CEC915BBDD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1" name="Group 74">
            <a:extLst>
              <a:ext uri="{FF2B5EF4-FFF2-40B4-BE49-F238E27FC236}">
                <a16:creationId xmlns:a16="http://schemas.microsoft.com/office/drawing/2014/main" id="{0A652D11-CE4C-B844-B3EF-62A803970F9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54" name="TextBox 153">
              <a:extLst>
                <a:ext uri="{FF2B5EF4-FFF2-40B4-BE49-F238E27FC236}">
                  <a16:creationId xmlns:a16="http://schemas.microsoft.com/office/drawing/2014/main" id="{0D1C1100-84E2-239C-9A72-426777E3FF6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55" name="Straight Connector 154">
              <a:extLst>
                <a:ext uri="{FF2B5EF4-FFF2-40B4-BE49-F238E27FC236}">
                  <a16:creationId xmlns:a16="http://schemas.microsoft.com/office/drawing/2014/main" id="{FD41C644-60AA-884E-BDB7-EDBF245FE34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" name="Group 89">
            <a:extLst>
              <a:ext uri="{FF2B5EF4-FFF2-40B4-BE49-F238E27FC236}">
                <a16:creationId xmlns:a16="http://schemas.microsoft.com/office/drawing/2014/main" id="{F167137F-D4B0-1397-5D25-F0893FCE207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0" name="Straight Connector 149">
              <a:extLst>
                <a:ext uri="{FF2B5EF4-FFF2-40B4-BE49-F238E27FC236}">
                  <a16:creationId xmlns:a16="http://schemas.microsoft.com/office/drawing/2014/main" id="{8922B58E-C463-5272-5B92-CEC79DE2519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1" name="Straight Connector 79">
              <a:extLst>
                <a:ext uri="{FF2B5EF4-FFF2-40B4-BE49-F238E27FC236}">
                  <a16:creationId xmlns:a16="http://schemas.microsoft.com/office/drawing/2014/main" id="{B43B55BE-F998-02E6-25F5-ECF496F07E2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2" name="Straight Connector 80">
              <a:extLst>
                <a:ext uri="{FF2B5EF4-FFF2-40B4-BE49-F238E27FC236}">
                  <a16:creationId xmlns:a16="http://schemas.microsoft.com/office/drawing/2014/main" id="{04B550B3-FA10-EFCF-E2AB-FAA679F66B1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" name="Straight Connector 88">
              <a:extLst>
                <a:ext uri="{FF2B5EF4-FFF2-40B4-BE49-F238E27FC236}">
                  <a16:creationId xmlns:a16="http://schemas.microsoft.com/office/drawing/2014/main" id="{CFCC0818-65BC-C4B3-B978-CE6E0D5563F3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3" name="Group 90">
            <a:extLst>
              <a:ext uri="{FF2B5EF4-FFF2-40B4-BE49-F238E27FC236}">
                <a16:creationId xmlns:a16="http://schemas.microsoft.com/office/drawing/2014/main" id="{87368B0D-E0CD-3EC2-D9A0-0DECB970356B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46" name="Straight Connector 145">
              <a:extLst>
                <a:ext uri="{FF2B5EF4-FFF2-40B4-BE49-F238E27FC236}">
                  <a16:creationId xmlns:a16="http://schemas.microsoft.com/office/drawing/2014/main" id="{1773F9F8-E733-B7FE-1BE9-0E51F202F45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7" name="Straight Connector 146">
              <a:extLst>
                <a:ext uri="{FF2B5EF4-FFF2-40B4-BE49-F238E27FC236}">
                  <a16:creationId xmlns:a16="http://schemas.microsoft.com/office/drawing/2014/main" id="{4B815E5A-9254-EAB0-25B5-DB58F08EADB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8" name="Straight Connector 147">
              <a:extLst>
                <a:ext uri="{FF2B5EF4-FFF2-40B4-BE49-F238E27FC236}">
                  <a16:creationId xmlns:a16="http://schemas.microsoft.com/office/drawing/2014/main" id="{71E14BAF-F324-EAD6-04F5-4B844C20A56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" name="Straight Connector 148">
              <a:extLst>
                <a:ext uri="{FF2B5EF4-FFF2-40B4-BE49-F238E27FC236}">
                  <a16:creationId xmlns:a16="http://schemas.microsoft.com/office/drawing/2014/main" id="{9D1016D4-6D69-38A3-56AA-375D12578899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2E37EC39-5E35-AD5A-5CF1-9E60DCC1786B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F93CE7D-A8B4-47AE-2780-128DC91FD3E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Arrow Connector 135">
            <a:extLst>
              <a:ext uri="{FF2B5EF4-FFF2-40B4-BE49-F238E27FC236}">
                <a16:creationId xmlns:a16="http://schemas.microsoft.com/office/drawing/2014/main" id="{543B080B-B410-476D-D7E4-29233BCF46B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Arrow Connector 136">
            <a:extLst>
              <a:ext uri="{FF2B5EF4-FFF2-40B4-BE49-F238E27FC236}">
                <a16:creationId xmlns:a16="http://schemas.microsoft.com/office/drawing/2014/main" id="{9CE5843D-0E3D-41C4-D873-C5DD09EE3E3F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8" name="Group 155">
            <a:extLst>
              <a:ext uri="{FF2B5EF4-FFF2-40B4-BE49-F238E27FC236}">
                <a16:creationId xmlns:a16="http://schemas.microsoft.com/office/drawing/2014/main" id="{BCD8227E-6ADC-0C2E-C628-5734318E5A17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43" name="Isosceles Triangle 142">
              <a:extLst>
                <a:ext uri="{FF2B5EF4-FFF2-40B4-BE49-F238E27FC236}">
                  <a16:creationId xmlns:a16="http://schemas.microsoft.com/office/drawing/2014/main" id="{D5D0619C-2A09-8145-869D-DC68D98672F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4" name="Isosceles Triangle 143">
              <a:extLst>
                <a:ext uri="{FF2B5EF4-FFF2-40B4-BE49-F238E27FC236}">
                  <a16:creationId xmlns:a16="http://schemas.microsoft.com/office/drawing/2014/main" id="{63569B17-CB95-BB1D-EEE2-A6BBA1434CD6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5" name="Isosceles Triangle 144">
              <a:extLst>
                <a:ext uri="{FF2B5EF4-FFF2-40B4-BE49-F238E27FC236}">
                  <a16:creationId xmlns:a16="http://schemas.microsoft.com/office/drawing/2014/main" id="{46E673B2-C5B4-81B5-1CE7-F1AE02D23F25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39" name="Group 134">
            <a:extLst>
              <a:ext uri="{FF2B5EF4-FFF2-40B4-BE49-F238E27FC236}">
                <a16:creationId xmlns:a16="http://schemas.microsoft.com/office/drawing/2014/main" id="{DE7D50AE-A8C0-40C8-BB73-94D53503059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40" name="Isosceles Triangle 139">
              <a:extLst>
                <a:ext uri="{FF2B5EF4-FFF2-40B4-BE49-F238E27FC236}">
                  <a16:creationId xmlns:a16="http://schemas.microsoft.com/office/drawing/2014/main" id="{4C0D222E-E798-E1DC-0354-54940B5E541F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1" name="Isosceles Triangle 140">
              <a:extLst>
                <a:ext uri="{FF2B5EF4-FFF2-40B4-BE49-F238E27FC236}">
                  <a16:creationId xmlns:a16="http://schemas.microsoft.com/office/drawing/2014/main" id="{8CD2A0A7-05D6-F795-2C8E-E98E18B3555F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2" name="Isosceles Triangle 141">
              <a:extLst>
                <a:ext uri="{FF2B5EF4-FFF2-40B4-BE49-F238E27FC236}">
                  <a16:creationId xmlns:a16="http://schemas.microsoft.com/office/drawing/2014/main" id="{06E89104-C584-3527-D3B1-38B5C9AA9D9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7</xdr:col>
      <xdr:colOff>95250</xdr:colOff>
      <xdr:row>6</xdr:row>
      <xdr:rowOff>104775</xdr:rowOff>
    </xdr:from>
    <xdr:to>
      <xdr:col>8</xdr:col>
      <xdr:colOff>29341</xdr:colOff>
      <xdr:row>11</xdr:row>
      <xdr:rowOff>38427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18AE3102-5717-D11C-59E8-1E14D08DA260}"/>
            </a:ext>
          </a:extLst>
        </xdr:cNvPr>
        <xdr:cNvCxnSpPr>
          <a:stCxn id="199" idx="1"/>
        </xdr:cNvCxnSpPr>
      </xdr:nvCxnSpPr>
      <xdr:spPr>
        <a:xfrm flipH="1" flipV="1">
          <a:off x="2305050" y="1038225"/>
          <a:ext cx="315091" cy="695652"/>
        </a:xfrm>
        <a:prstGeom prst="line">
          <a:avLst/>
        </a:prstGeom>
        <a:ln w="12700">
          <a:solidFill>
            <a:sysClr val="windowText" lastClr="000000"/>
          </a:solidFill>
          <a:prstDash val="lg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299786</xdr:colOff>
      <xdr:row>22</xdr:row>
      <xdr:rowOff>112326</xdr:rowOff>
    </xdr:from>
    <xdr:to>
      <xdr:col>11</xdr:col>
      <xdr:colOff>272457</xdr:colOff>
      <xdr:row>24</xdr:row>
      <xdr:rowOff>109075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55D83670-65CC-1E07-8204-BFBB3FD64F6E}"/>
            </a:ext>
          </a:extLst>
        </xdr:cNvPr>
        <xdr:cNvSpPr/>
      </xdr:nvSpPr>
      <xdr:spPr>
        <a:xfrm rot="21013950">
          <a:off x="3651395" y="3535373"/>
          <a:ext cx="353671" cy="306311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>
              <a:solidFill>
                <a:srgbClr val="FF0000"/>
              </a:solidFill>
            </a:rPr>
            <a:t>BTS</a:t>
          </a:r>
        </a:p>
      </xdr:txBody>
    </xdr:sp>
    <xdr:clientData/>
  </xdr:twoCellAnchor>
  <xdr:twoCellAnchor>
    <xdr:from>
      <xdr:col>8</xdr:col>
      <xdr:colOff>91423</xdr:colOff>
      <xdr:row>15</xdr:row>
      <xdr:rowOff>113395</xdr:rowOff>
    </xdr:from>
    <xdr:to>
      <xdr:col>8</xdr:col>
      <xdr:colOff>179789</xdr:colOff>
      <xdr:row>16</xdr:row>
      <xdr:rowOff>58063</xdr:rowOff>
    </xdr:to>
    <xdr:grpSp>
      <xdr:nvGrpSpPr>
        <xdr:cNvPr id="194" name="Group 193">
          <a:extLst>
            <a:ext uri="{FF2B5EF4-FFF2-40B4-BE49-F238E27FC236}">
              <a16:creationId xmlns:a16="http://schemas.microsoft.com/office/drawing/2014/main" id="{0BEB2CA7-FAE1-4216-B454-86D95AB96ED1}"/>
            </a:ext>
          </a:extLst>
        </xdr:cNvPr>
        <xdr:cNvGrpSpPr/>
      </xdr:nvGrpSpPr>
      <xdr:grpSpPr>
        <a:xfrm>
          <a:off x="2682223" y="2427970"/>
          <a:ext cx="88366" cy="9706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5" name="Oval 194">
            <a:extLst>
              <a:ext uri="{FF2B5EF4-FFF2-40B4-BE49-F238E27FC236}">
                <a16:creationId xmlns:a16="http://schemas.microsoft.com/office/drawing/2014/main" id="{3A9A7417-3DE1-1256-91DF-135137BC718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6" name="Straight Connector 195">
            <a:extLst>
              <a:ext uri="{FF2B5EF4-FFF2-40B4-BE49-F238E27FC236}">
                <a16:creationId xmlns:a16="http://schemas.microsoft.com/office/drawing/2014/main" id="{ED734F8D-B90C-2365-AE95-08F088C83F07}"/>
              </a:ext>
            </a:extLst>
          </xdr:cNvPr>
          <xdr:cNvCxnSpPr>
            <a:stCxn id="195" idx="1"/>
            <a:endCxn id="19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Straight Connector 196">
            <a:extLst>
              <a:ext uri="{FF2B5EF4-FFF2-40B4-BE49-F238E27FC236}">
                <a16:creationId xmlns:a16="http://schemas.microsoft.com/office/drawing/2014/main" id="{B5735C1E-0C63-10F6-9744-924DD2840E7C}"/>
              </a:ext>
            </a:extLst>
          </xdr:cNvPr>
          <xdr:cNvCxnSpPr>
            <a:stCxn id="195" idx="3"/>
            <a:endCxn id="19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16400</xdr:colOff>
      <xdr:row>11</xdr:row>
      <xdr:rowOff>24019</xdr:rowOff>
    </xdr:from>
    <xdr:to>
      <xdr:col>8</xdr:col>
      <xdr:colOff>104766</xdr:colOff>
      <xdr:row>11</xdr:row>
      <xdr:rowOff>122400</xdr:rowOff>
    </xdr:to>
    <xdr:grpSp>
      <xdr:nvGrpSpPr>
        <xdr:cNvPr id="198" name="Group 197">
          <a:extLst>
            <a:ext uri="{FF2B5EF4-FFF2-40B4-BE49-F238E27FC236}">
              <a16:creationId xmlns:a16="http://schemas.microsoft.com/office/drawing/2014/main" id="{63D31E2A-D9A9-4E69-8CE3-B5863046C98F}"/>
            </a:ext>
          </a:extLst>
        </xdr:cNvPr>
        <xdr:cNvGrpSpPr/>
      </xdr:nvGrpSpPr>
      <xdr:grpSpPr>
        <a:xfrm>
          <a:off x="2607200" y="1719469"/>
          <a:ext cx="88366" cy="9838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9" name="Oval 198">
            <a:extLst>
              <a:ext uri="{FF2B5EF4-FFF2-40B4-BE49-F238E27FC236}">
                <a16:creationId xmlns:a16="http://schemas.microsoft.com/office/drawing/2014/main" id="{8551EEA2-4C4B-1784-1403-223454D00F0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00" name="Straight Connector 199">
            <a:extLst>
              <a:ext uri="{FF2B5EF4-FFF2-40B4-BE49-F238E27FC236}">
                <a16:creationId xmlns:a16="http://schemas.microsoft.com/office/drawing/2014/main" id="{82E12FE7-548B-914B-262F-A60D3E4DF8DA}"/>
              </a:ext>
            </a:extLst>
          </xdr:cNvPr>
          <xdr:cNvCxnSpPr>
            <a:stCxn id="199" idx="1"/>
            <a:endCxn id="19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1" name="Straight Connector 200">
            <a:extLst>
              <a:ext uri="{FF2B5EF4-FFF2-40B4-BE49-F238E27FC236}">
                <a16:creationId xmlns:a16="http://schemas.microsoft.com/office/drawing/2014/main" id="{F3F35516-3744-9567-70C6-1F8DA6F5AF23}"/>
              </a:ext>
            </a:extLst>
          </xdr:cNvPr>
          <xdr:cNvCxnSpPr>
            <a:stCxn id="199" idx="3"/>
            <a:endCxn id="19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135606</xdr:colOff>
      <xdr:row>16</xdr:row>
      <xdr:rowOff>58063</xdr:rowOff>
    </xdr:from>
    <xdr:to>
      <xdr:col>9</xdr:col>
      <xdr:colOff>365366</xdr:colOff>
      <xdr:row>25</xdr:row>
      <xdr:rowOff>23740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51233A44-8633-4795-93E0-258113A5A847}"/>
            </a:ext>
          </a:extLst>
        </xdr:cNvPr>
        <xdr:cNvCxnSpPr>
          <a:stCxn id="11" idx="1"/>
          <a:endCxn id="195" idx="4"/>
        </xdr:cNvCxnSpPr>
      </xdr:nvCxnSpPr>
      <xdr:spPr>
        <a:xfrm flipH="1" flipV="1">
          <a:off x="2726406" y="2525038"/>
          <a:ext cx="610760" cy="1337277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16520</xdr:colOff>
      <xdr:row>12</xdr:row>
      <xdr:rowOff>107030</xdr:rowOff>
    </xdr:from>
    <xdr:to>
      <xdr:col>8</xdr:col>
      <xdr:colOff>198925</xdr:colOff>
      <xdr:row>14</xdr:row>
      <xdr:rowOff>138129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BB047846-2D9E-4BDB-8527-7DC1A3640F12}"/>
            </a:ext>
          </a:extLst>
        </xdr:cNvPr>
        <xdr:cNvSpPr/>
      </xdr:nvSpPr>
      <xdr:spPr>
        <a:xfrm rot="5400000">
          <a:off x="2525811" y="2036389"/>
          <a:ext cx="345424" cy="182405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8</xdr:col>
      <xdr:colOff>216219</xdr:colOff>
      <xdr:row>17</xdr:row>
      <xdr:rowOff>76243</xdr:rowOff>
    </xdr:from>
    <xdr:to>
      <xdr:col>9</xdr:col>
      <xdr:colOff>25034</xdr:colOff>
      <xdr:row>19</xdr:row>
      <xdr:rowOff>106461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5AD6609C-CE9A-4BA7-BC7D-754A023D9C51}"/>
            </a:ext>
          </a:extLst>
        </xdr:cNvPr>
        <xdr:cNvSpPr/>
      </xdr:nvSpPr>
      <xdr:spPr>
        <a:xfrm rot="3771817">
          <a:off x="2734418" y="2768219"/>
          <a:ext cx="335018" cy="189815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10</xdr:col>
      <xdr:colOff>46850</xdr:colOff>
      <xdr:row>24</xdr:row>
      <xdr:rowOff>106855</xdr:rowOff>
    </xdr:from>
    <xdr:to>
      <xdr:col>11</xdr:col>
      <xdr:colOff>121605</xdr:colOff>
      <xdr:row>25</xdr:row>
      <xdr:rowOff>23740</xdr:rowOff>
    </xdr:to>
    <xdr:cxnSp macro="">
      <xdr:nvCxnSpPr>
        <xdr:cNvPr id="99" name="Straight Connector 98">
          <a:extLst>
            <a:ext uri="{FF2B5EF4-FFF2-40B4-BE49-F238E27FC236}">
              <a16:creationId xmlns:a16="http://schemas.microsoft.com/office/drawing/2014/main" id="{236B0FE2-5DD7-4CB9-8C1D-EE401CA27C0B}"/>
            </a:ext>
          </a:extLst>
        </xdr:cNvPr>
        <xdr:cNvCxnSpPr>
          <a:stCxn id="11" idx="7"/>
          <a:endCxn id="34" idx="2"/>
        </xdr:cNvCxnSpPr>
      </xdr:nvCxnSpPr>
      <xdr:spPr>
        <a:xfrm flipV="1">
          <a:off x="3398459" y="3839464"/>
          <a:ext cx="455755" cy="71667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276225</xdr:colOff>
      <xdr:row>18</xdr:row>
      <xdr:rowOff>151208</xdr:rowOff>
    </xdr:from>
    <xdr:to>
      <xdr:col>11</xdr:col>
      <xdr:colOff>306704</xdr:colOff>
      <xdr:row>20</xdr:row>
      <xdr:rowOff>147818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4D889499-611F-4F11-9AE1-84F637521993}"/>
            </a:ext>
          </a:extLst>
        </xdr:cNvPr>
        <xdr:cNvSpPr/>
      </xdr:nvSpPr>
      <xdr:spPr>
        <a:xfrm>
          <a:off x="3627834" y="2955130"/>
          <a:ext cx="411479" cy="306172"/>
        </a:xfrm>
        <a:prstGeom prst="rect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600">
              <a:solidFill>
                <a:schemeClr val="tx1"/>
              </a:solidFill>
            </a:rPr>
            <a:t>PAM</a:t>
          </a:r>
        </a:p>
      </xdr:txBody>
    </xdr:sp>
    <xdr:clientData/>
  </xdr:twoCellAnchor>
  <xdr:twoCellAnchor>
    <xdr:from>
      <xdr:col>8</xdr:col>
      <xdr:colOff>60583</xdr:colOff>
      <xdr:row>11</xdr:row>
      <xdr:rowOff>122400</xdr:rowOff>
    </xdr:from>
    <xdr:to>
      <xdr:col>8</xdr:col>
      <xdr:colOff>135606</xdr:colOff>
      <xdr:row>15</xdr:row>
      <xdr:rowOff>113395</xdr:rowOff>
    </xdr:to>
    <xdr:cxnSp macro="">
      <xdr:nvCxnSpPr>
        <xdr:cNvPr id="91" name="Straight Connector 90">
          <a:extLst>
            <a:ext uri="{FF2B5EF4-FFF2-40B4-BE49-F238E27FC236}">
              <a16:creationId xmlns:a16="http://schemas.microsoft.com/office/drawing/2014/main" id="{DA17C0A4-5D98-419F-BCC0-3366D53336A8}"/>
            </a:ext>
          </a:extLst>
        </xdr:cNvPr>
        <xdr:cNvCxnSpPr>
          <a:stCxn id="195" idx="0"/>
          <a:endCxn id="199" idx="4"/>
        </xdr:cNvCxnSpPr>
      </xdr:nvCxnSpPr>
      <xdr:spPr>
        <a:xfrm flipH="1" flipV="1">
          <a:off x="2651383" y="1817850"/>
          <a:ext cx="75023" cy="610120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352425</xdr:colOff>
      <xdr:row>25</xdr:row>
      <xdr:rowOff>9525</xdr:rowOff>
    </xdr:from>
    <xdr:to>
      <xdr:col>10</xdr:col>
      <xdr:colOff>59791</xdr:colOff>
      <xdr:row>25</xdr:row>
      <xdr:rowOff>106593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814928D0-D814-4378-B321-3A8BD5BA36C4}"/>
            </a:ext>
          </a:extLst>
        </xdr:cNvPr>
        <xdr:cNvGrpSpPr/>
      </xdr:nvGrpSpPr>
      <xdr:grpSpPr>
        <a:xfrm>
          <a:off x="3324225" y="3848100"/>
          <a:ext cx="88366" cy="9706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C6CCEC40-A698-798B-33B9-685FD1F7181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AC56700C-4A43-0A18-A634-CD900A370644}"/>
              </a:ext>
            </a:extLst>
          </xdr:cNvPr>
          <xdr:cNvCxnSpPr>
            <a:stCxn id="11" idx="1"/>
            <a:endCxn id="1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7F7F7222-C154-21EF-3F17-B066256EBC3B}"/>
              </a:ext>
            </a:extLst>
          </xdr:cNvPr>
          <xdr:cNvCxnSpPr>
            <a:stCxn id="11" idx="3"/>
            <a:endCxn id="1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104766</xdr:colOff>
      <xdr:row>10</xdr:row>
      <xdr:rowOff>85725</xdr:rowOff>
    </xdr:from>
    <xdr:to>
      <xdr:col>10</xdr:col>
      <xdr:colOff>133350</xdr:colOff>
      <xdr:row>11</xdr:row>
      <xdr:rowOff>73210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19FCF7A8-8D78-4BBD-8654-5F8A59DD395A}"/>
            </a:ext>
          </a:extLst>
        </xdr:cNvPr>
        <xdr:cNvCxnSpPr>
          <a:endCxn id="199" idx="6"/>
        </xdr:cNvCxnSpPr>
      </xdr:nvCxnSpPr>
      <xdr:spPr>
        <a:xfrm flipH="1">
          <a:off x="2695566" y="1628775"/>
          <a:ext cx="790584" cy="139885"/>
        </a:xfrm>
        <a:prstGeom prst="line">
          <a:avLst/>
        </a:prstGeom>
        <a:ln w="12700">
          <a:solidFill>
            <a:sysClr val="windowText" lastClr="000000"/>
          </a:solidFill>
          <a:prstDash val="lg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47625</xdr:colOff>
      <xdr:row>20</xdr:row>
      <xdr:rowOff>114300</xdr:rowOff>
    </xdr:from>
    <xdr:to>
      <xdr:col>9</xdr:col>
      <xdr:colOff>135991</xdr:colOff>
      <xdr:row>21</xdr:row>
      <xdr:rowOff>58968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id="{C9862BDE-4B70-40F9-A1EF-58C898E4EEC4}"/>
            </a:ext>
          </a:extLst>
        </xdr:cNvPr>
        <xdr:cNvGrpSpPr/>
      </xdr:nvGrpSpPr>
      <xdr:grpSpPr>
        <a:xfrm>
          <a:off x="3019425" y="3190875"/>
          <a:ext cx="88366" cy="9706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8" name="Oval 27">
            <a:extLst>
              <a:ext uri="{FF2B5EF4-FFF2-40B4-BE49-F238E27FC236}">
                <a16:creationId xmlns:a16="http://schemas.microsoft.com/office/drawing/2014/main" id="{BCE7FBB0-995C-4369-20FA-E7732413CAF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005290DB-B795-30C7-5262-2C9404561DC2}"/>
              </a:ext>
            </a:extLst>
          </xdr:cNvPr>
          <xdr:cNvCxnSpPr>
            <a:stCxn id="28" idx="1"/>
            <a:endCxn id="2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47">
            <a:extLst>
              <a:ext uri="{FF2B5EF4-FFF2-40B4-BE49-F238E27FC236}">
                <a16:creationId xmlns:a16="http://schemas.microsoft.com/office/drawing/2014/main" id="{AEB03BD7-B5B1-F506-5E3F-28854895AC6B}"/>
              </a:ext>
            </a:extLst>
          </xdr:cNvPr>
          <xdr:cNvCxnSpPr>
            <a:stCxn id="28" idx="3"/>
            <a:endCxn id="2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111444</xdr:colOff>
      <xdr:row>21</xdr:row>
      <xdr:rowOff>95293</xdr:rowOff>
    </xdr:from>
    <xdr:to>
      <xdr:col>9</xdr:col>
      <xdr:colOff>301259</xdr:colOff>
      <xdr:row>23</xdr:row>
      <xdr:rowOff>125511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D5B03AF9-96C6-441A-92C0-02F8D0F61E7F}"/>
            </a:ext>
          </a:extLst>
        </xdr:cNvPr>
        <xdr:cNvSpPr/>
      </xdr:nvSpPr>
      <xdr:spPr>
        <a:xfrm rot="3771817">
          <a:off x="3010643" y="3396869"/>
          <a:ext cx="335018" cy="189815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6</xdr:col>
      <xdr:colOff>350454</xdr:colOff>
      <xdr:row>15</xdr:row>
      <xdr:rowOff>122841</xdr:rowOff>
    </xdr:from>
    <xdr:to>
      <xdr:col>8</xdr:col>
      <xdr:colOff>49284</xdr:colOff>
      <xdr:row>17</xdr:row>
      <xdr:rowOff>91967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ABE1B89B-70ED-471F-A31E-C59927BEF103}"/>
            </a:ext>
          </a:extLst>
        </xdr:cNvPr>
        <xdr:cNvSpPr/>
      </xdr:nvSpPr>
      <xdr:spPr>
        <a:xfrm>
          <a:off x="2183195" y="2428548"/>
          <a:ext cx="460830" cy="271298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500">
              <a:solidFill>
                <a:srgbClr val="FF0000"/>
              </a:solidFill>
            </a:rPr>
            <a:t>1 C12-200</a:t>
          </a:r>
        </a:p>
        <a:p>
          <a:pPr algn="l"/>
          <a:r>
            <a:rPr lang="en-US" sz="500">
              <a:solidFill>
                <a:srgbClr val="FF0000"/>
              </a:solidFill>
            </a:rPr>
            <a:t>2 CJ6-T</a:t>
          </a:r>
        </a:p>
        <a:p>
          <a:pPr algn="l"/>
          <a:endParaRPr lang="en-US" sz="500">
            <a:solidFill>
              <a:srgbClr val="FF0000"/>
            </a:solidFill>
          </a:endParaRPr>
        </a:p>
        <a:p>
          <a:pPr algn="l"/>
          <a:endParaRPr lang="en-US" sz="5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256190</xdr:colOff>
      <xdr:row>20</xdr:row>
      <xdr:rowOff>91965</xdr:rowOff>
    </xdr:from>
    <xdr:to>
      <xdr:col>8</xdr:col>
      <xdr:colOff>336020</xdr:colOff>
      <xdr:row>22</xdr:row>
      <xdr:rowOff>61091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BDCBD16B-C2A7-4A29-A196-917A5DEC58D5}"/>
            </a:ext>
          </a:extLst>
        </xdr:cNvPr>
        <xdr:cNvSpPr/>
      </xdr:nvSpPr>
      <xdr:spPr>
        <a:xfrm>
          <a:off x="2469931" y="3153103"/>
          <a:ext cx="460830" cy="271298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500">
              <a:solidFill>
                <a:srgbClr val="FF0000"/>
              </a:solidFill>
            </a:rPr>
            <a:t>1 C9-200</a:t>
          </a:r>
        </a:p>
        <a:p>
          <a:pPr algn="l"/>
          <a:r>
            <a:rPr lang="en-US" sz="500">
              <a:solidFill>
                <a:srgbClr val="FF0000"/>
              </a:solidFill>
            </a:rPr>
            <a:t>1 CJ5-T</a:t>
          </a:r>
        </a:p>
        <a:p>
          <a:pPr algn="l"/>
          <a:endParaRPr lang="en-US" sz="500">
            <a:solidFill>
              <a:srgbClr val="FF0000"/>
            </a:solidFill>
          </a:endParaRPr>
        </a:p>
        <a:p>
          <a:pPr algn="l"/>
          <a:endParaRPr lang="en-US" sz="5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164224</xdr:colOff>
      <xdr:row>25</xdr:row>
      <xdr:rowOff>59122</xdr:rowOff>
    </xdr:from>
    <xdr:to>
      <xdr:col>9</xdr:col>
      <xdr:colOff>275897</xdr:colOff>
      <xdr:row>29</xdr:row>
      <xdr:rowOff>32845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78B7EE0E-82F9-4E96-9C4C-978F3FDA9FC6}"/>
            </a:ext>
          </a:extLst>
        </xdr:cNvPr>
        <xdr:cNvSpPr/>
      </xdr:nvSpPr>
      <xdr:spPr>
        <a:xfrm>
          <a:off x="2758965" y="3875691"/>
          <a:ext cx="492673" cy="578068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500">
              <a:solidFill>
                <a:srgbClr val="FF0000"/>
              </a:solidFill>
            </a:rPr>
            <a:t>1 C9-200</a:t>
          </a:r>
        </a:p>
        <a:p>
          <a:pPr algn="l"/>
          <a:r>
            <a:rPr lang="en-US" sz="500">
              <a:solidFill>
                <a:srgbClr val="FF0000"/>
              </a:solidFill>
            </a:rPr>
            <a:t>1 CJ6-T</a:t>
          </a:r>
        </a:p>
        <a:p>
          <a:pPr algn="l"/>
          <a:r>
            <a:rPr lang="en-US" sz="500">
              <a:solidFill>
                <a:srgbClr val="FF0000"/>
              </a:solidFill>
            </a:rPr>
            <a:t>1 CE1-2</a:t>
          </a:r>
        </a:p>
        <a:p>
          <a:pPr algn="l"/>
          <a:r>
            <a:rPr lang="en-US" sz="500">
              <a:solidFill>
                <a:srgbClr val="FF0000"/>
              </a:solidFill>
            </a:rPr>
            <a:t>1 F1-2</a:t>
          </a:r>
        </a:p>
        <a:p>
          <a:pPr algn="l"/>
          <a:r>
            <a:rPr lang="en-US" sz="50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500">
              <a:solidFill>
                <a:srgbClr val="FF0000"/>
              </a:solidFill>
            </a:rPr>
            <a:t>1 CM2-12A</a:t>
          </a:r>
        </a:p>
        <a:p>
          <a:pPr algn="l"/>
          <a:endParaRPr lang="en-US" sz="500">
            <a:solidFill>
              <a:srgbClr val="FF0000"/>
            </a:solidFill>
          </a:endParaRPr>
        </a:p>
        <a:p>
          <a:pPr algn="l"/>
          <a:endParaRPr lang="en-US" sz="5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65690</xdr:colOff>
      <xdr:row>7</xdr:row>
      <xdr:rowOff>118242</xdr:rowOff>
    </xdr:from>
    <xdr:to>
      <xdr:col>9</xdr:col>
      <xdr:colOff>145520</xdr:colOff>
      <xdr:row>10</xdr:row>
      <xdr:rowOff>105103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9E9EC580-BF50-4D51-B17A-AD26ED372D13}"/>
            </a:ext>
          </a:extLst>
        </xdr:cNvPr>
        <xdr:cNvSpPr/>
      </xdr:nvSpPr>
      <xdr:spPr>
        <a:xfrm>
          <a:off x="2660431" y="1202121"/>
          <a:ext cx="460830" cy="44012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500">
              <a:solidFill>
                <a:schemeClr val="tx1"/>
              </a:solidFill>
            </a:rPr>
            <a:t>1 C11-200</a:t>
          </a:r>
        </a:p>
        <a:p>
          <a:pPr algn="l"/>
          <a:r>
            <a:rPr lang="en-US" sz="500">
              <a:solidFill>
                <a:schemeClr val="tx1"/>
              </a:solidFill>
            </a:rPr>
            <a:t>2</a:t>
          </a:r>
          <a:r>
            <a:rPr lang="en-US" sz="500" baseline="0">
              <a:solidFill>
                <a:schemeClr val="tx1"/>
              </a:solidFill>
            </a:rPr>
            <a:t> CA5</a:t>
          </a:r>
        </a:p>
        <a:p>
          <a:pPr algn="l"/>
          <a:r>
            <a:rPr lang="en-US" sz="500" baseline="0">
              <a:solidFill>
                <a:schemeClr val="tx1"/>
              </a:solidFill>
            </a:rPr>
            <a:t>2 CJ6-T</a:t>
          </a:r>
          <a:endParaRPr lang="en-US" sz="500">
            <a:solidFill>
              <a:schemeClr val="tx1"/>
            </a:solidFill>
          </a:endParaRPr>
        </a:p>
        <a:p>
          <a:pPr algn="l"/>
          <a:r>
            <a:rPr lang="en-US" sz="500">
              <a:solidFill>
                <a:srgbClr val="FF0000"/>
              </a:solidFill>
            </a:rPr>
            <a:t>1 CJ6-T</a:t>
          </a:r>
        </a:p>
        <a:p>
          <a:pPr algn="l"/>
          <a:endParaRPr lang="en-US" sz="500">
            <a:solidFill>
              <a:srgbClr val="FF0000"/>
            </a:solidFill>
          </a:endParaRPr>
        </a:p>
        <a:p>
          <a:pPr algn="l"/>
          <a:endParaRPr lang="en-US" sz="500">
            <a:solidFill>
              <a:srgbClr val="FF0000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261937</xdr:colOff>
      <xdr:row>30</xdr:row>
      <xdr:rowOff>142875</xdr:rowOff>
    </xdr:from>
    <xdr:to>
      <xdr:col>13</xdr:col>
      <xdr:colOff>285750</xdr:colOff>
      <xdr:row>35</xdr:row>
      <xdr:rowOff>71437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8CB9580-7F65-92F0-64F0-FDEAD2BC3A20}"/>
            </a:ext>
          </a:extLst>
        </xdr:cNvPr>
        <xdr:cNvCxnSpPr/>
      </xdr:nvCxnSpPr>
      <xdr:spPr>
        <a:xfrm flipH="1">
          <a:off x="6929437" y="5048250"/>
          <a:ext cx="23813" cy="762000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29</xdr:row>
      <xdr:rowOff>71437</xdr:rowOff>
    </xdr:from>
    <xdr:to>
      <xdr:col>13</xdr:col>
      <xdr:colOff>523875</xdr:colOff>
      <xdr:row>31</xdr:row>
      <xdr:rowOff>71437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F980771-817D-758B-0ED5-476DF0442A9F}"/>
            </a:ext>
          </a:extLst>
        </xdr:cNvPr>
        <xdr:cNvSpPr/>
      </xdr:nvSpPr>
      <xdr:spPr>
        <a:xfrm>
          <a:off x="6715125" y="4810125"/>
          <a:ext cx="476250" cy="333375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285750</xdr:colOff>
      <xdr:row>9</xdr:row>
      <xdr:rowOff>27214</xdr:rowOff>
    </xdr:from>
    <xdr:to>
      <xdr:col>19</xdr:col>
      <xdr:colOff>398627</xdr:colOff>
      <xdr:row>51</xdr:row>
      <xdr:rowOff>18645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4E0A737-0124-8BC9-0370-D8A15C2C6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0" y="1646464"/>
          <a:ext cx="9297698" cy="684943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cair\Documents\SUCOFINDO\DISNAKER\K: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MEMO"/>
      <sheetName val="Breakdown Target"/>
      <sheetName val="2013"/>
      <sheetName val="DTU"/>
      <sheetName val="DeVIASI"/>
      <sheetName val="KoMposisi"/>
      <sheetName val="Kamus"/>
      <sheetName val="W-NAD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ipeg-U(12D2)"/>
      <sheetName val="BBaku(12C3)"/>
      <sheetName val="BiLuOp(14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INDEX"/>
      <sheetName val="W-NAD"/>
      <sheetName val="prod03"/>
      <sheetName val="REFERENSI"/>
      <sheetName val="aruskas"/>
      <sheetName val="Hal-1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Bipeg-U(12D2)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Cover"/>
      <sheetName val="Daftar I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MENU1"/>
      <sheetName val="Listrik Mati 05"/>
      <sheetName val="Tabel Kode"/>
      <sheetName val="rkap2008"/>
      <sheetName val="Smg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/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REFERENSI"/>
      <sheetName val="Analisa Upah &amp; Bahan Plum"/>
      <sheetName val="HRG BHN"/>
      <sheetName val="Bill of Qty MEP"/>
      <sheetName val="LR"/>
      <sheetName val="RKS"/>
      <sheetName val="aruskas"/>
      <sheetName val="Hal-1"/>
      <sheetName val="Sheet5"/>
      <sheetName val="Harga BBM Indonesia"/>
      <sheetName val="PUNCAK-89"/>
      <sheetName val="Resume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W-NAD"/>
      <sheetName val="HPSI-Portion"/>
      <sheetName val="JAN09"/>
      <sheetName val="LR"/>
      <sheetName val="Kamus"/>
      <sheetName val="Cover"/>
      <sheetName val="Sheet5"/>
      <sheetName val="MATERIAL juni 05"/>
      <sheetName val="D2. ANALISA HS INSHAR"/>
      <sheetName val="Harga BBM Indonesi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Harga BBM Indonesia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dengan pembangkitan"/>
      <sheetName val="Urai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E3. ANALISA HS HAR TEK SUTM"/>
      <sheetName val="E6. ANALISA HS HAR"/>
      <sheetName val="PMT"/>
      <sheetName val="JAN07"/>
      <sheetName val="Kontrak vs Realisasi Gas"/>
      <sheetName val="D2. ANALISA HS INSHAR"/>
      <sheetName val="Asumsi"/>
      <sheetName val="Neraca seAPJ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Usulan"/>
      <sheetName val="FORM-B"/>
      <sheetName val="UPDATE 25 JANUARI 2007"/>
      <sheetName val="DeVIASI"/>
      <sheetName val="KoMposisi"/>
      <sheetName val="BERKAS"/>
      <sheetName val="Database"/>
      <sheetName val="data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Asumsi"/>
      <sheetName val="NerSubsis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LAMP_1L"/>
      <sheetName val="LAMP_4L"/>
      <sheetName val="LAMP_5L"/>
      <sheetName val="LAMP_7L"/>
      <sheetName val="PMT"/>
      <sheetName val="Smg"/>
      <sheetName val="NO. PRK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JURNAL"/>
      <sheetName val="BB PUSAT"/>
      <sheetName val="DTstok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Sudah Berjalan"/>
      <sheetName val="W-NAD"/>
      <sheetName val="SuMBER"/>
      <sheetName val="PMT"/>
      <sheetName val="beban"/>
      <sheetName val="INPBA"/>
      <sheetName val="HARGA SATU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Neraca seAPJ"/>
      <sheetName val="APBN"/>
      <sheetName val="Jasa"/>
      <sheetName val="Mat"/>
      <sheetName val="sr"/>
      <sheetName val="HB2"/>
      <sheetName val="Sensitivitas"/>
      <sheetName val="Analisa"/>
      <sheetName val="Blangko Analisa"/>
      <sheetName val="Blangko RAB"/>
      <sheetName val="HPS"/>
      <sheetName val="impedansi"/>
      <sheetName val="DTU"/>
      <sheetName val="JAN07"/>
      <sheetName val="entry REC  trip"/>
      <sheetName val="Hal-1"/>
      <sheetName val="Sudah Berjalan"/>
      <sheetName val="FORM-B"/>
      <sheetName val="LAIN2"/>
      <sheetName val="x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Sheet3"/>
      <sheetName val="TRANS"/>
      <sheetName val="ca"/>
      <sheetName val="D2. ANL WAKTU INSHAR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TRANS"/>
      <sheetName val="tabel"/>
      <sheetName val="HB BARU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W1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1" t="s">
        <v>1134</v>
      </c>
      <c r="C4" s="521"/>
      <c r="D4" s="521"/>
      <c r="E4" s="521"/>
      <c r="F4" s="521"/>
      <c r="G4" s="521"/>
      <c r="H4" s="521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2" t="s">
        <v>0</v>
      </c>
      <c r="C7" s="522" t="s">
        <v>1</v>
      </c>
      <c r="D7" s="523" t="s">
        <v>42</v>
      </c>
      <c r="E7" s="523" t="s">
        <v>43</v>
      </c>
      <c r="F7" s="523" t="s">
        <v>1135</v>
      </c>
      <c r="G7" s="524" t="s">
        <v>41</v>
      </c>
      <c r="H7" s="520" t="s">
        <v>1042</v>
      </c>
      <c r="I7" s="520" t="s">
        <v>1137</v>
      </c>
      <c r="J7" s="520" t="s">
        <v>1026</v>
      </c>
      <c r="K7" s="514" t="s">
        <v>1024</v>
      </c>
      <c r="L7" s="515"/>
    </row>
    <row r="8" spans="1:12" ht="15" customHeight="1">
      <c r="B8" s="522"/>
      <c r="C8" s="522"/>
      <c r="D8" s="523"/>
      <c r="E8" s="523"/>
      <c r="F8" s="523"/>
      <c r="G8" s="524"/>
      <c r="H8" s="520"/>
      <c r="I8" s="520"/>
      <c r="J8" s="520"/>
      <c r="K8" s="516"/>
      <c r="L8" s="517"/>
    </row>
    <row r="9" spans="1:12" ht="15" customHeight="1">
      <c r="B9" s="522"/>
      <c r="C9" s="522"/>
      <c r="D9" s="523"/>
      <c r="E9" s="523"/>
      <c r="F9" s="523"/>
      <c r="G9" s="524"/>
      <c r="H9" s="520"/>
      <c r="I9" s="520"/>
      <c r="J9" s="520"/>
      <c r="K9" s="518"/>
      <c r="L9" s="519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1P; 2W; 230 V; 5(100) A; kls 1 termasuk modem 3G/4G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1740750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NFA2X-T 2 x 70 + N 70 mm²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Mtr</v>
      </c>
      <c r="F14" s="138">
        <f t="shared" ca="1" si="2"/>
        <v>100</v>
      </c>
      <c r="G14" s="41">
        <f ca="1">IF(ISERROR(OFFSET('HARGA SATUAN'!$I$6,MATCH(C14,'HARGA SATUAN'!$C$7:$C$1492,0),0)),"",OFFSET('HARGA SATUAN'!$I$6,MATCH(C14,'HARGA SATUAN'!$C$7:$C$1492,0),0))</f>
        <v>53300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NFA2X 2 x 16 mm²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Mtr</v>
      </c>
      <c r="F15" s="138">
        <f t="shared" ca="1" si="2"/>
        <v>35</v>
      </c>
      <c r="G15" s="41">
        <f ca="1">IF(ISERROR(OFFSET('HARGA SATUAN'!$I$6,MATCH(C15,'HARGA SATUAN'!$C$7:$C$1492,0),0)),"",OFFSET('HARGA SATUAN'!$I$6,MATCH(C15,'HARGA SATUAN'!$C$7:$C$1492,0),0))</f>
        <v>6600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SUMIFS(RAB!$F$14:$F$82,RAB!$C$14:$C$82,C714)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SUMIFS(RAB!$F$14:$F$82,RAB!$C$14:$C$82,C715)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SUMIFS(RAB!$F$14:$F$82,RAB!$C$14:$C$82,C716)</f>
        <v>1</v>
      </c>
      <c r="E716" s="26">
        <f t="shared" ca="1" si="33"/>
        <v>1</v>
      </c>
      <c r="F716" s="26">
        <f ca="1">IF(D716=0,0,SUM($E$713:E716))</f>
        <v>1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SUMIFS(RAB!$F$14:$F$82,RAB!$C$14:$C$82,C717)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SUMIFS(RAB!$F$14:$F$82,RAB!$C$14:$C$82,C718)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SUMIFS(RAB!$F$14:$F$82,RAB!$C$14:$C$82,C719)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SUMIFS(RAB!$F$14:$F$82,RAB!$C$14:$C$82,C720)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SUMIFS(RAB!$F$14:$F$82,RAB!$C$14:$C$82,C721)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SUMIFS(RAB!$F$14:$F$82,RAB!$C$14:$C$82,C722)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SUMIFS(RAB!$F$14:$F$82,RAB!$C$14:$C$82,C723)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SUMIFS(RAB!$F$14:$F$82,RAB!$C$14:$C$82,C724)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SUMIFS(RAB!$F$14:$F$82,RAB!$C$14:$C$82,C725)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SUMIFS(RAB!$F$14:$F$82,RAB!$C$14:$C$82,C726)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SUMIFS(RAB!$F$14:$F$82,RAB!$C$14:$C$82,C727)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SUMIFS(RAB!$F$14:$F$82,RAB!$C$14:$C$82,C728)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SUMIFS(RAB!$F$14:$F$82,RAB!$C$14:$C$82,C729)</f>
        <v>1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SUMIFS(RAB!$F$14:$F$82,RAB!$C$14:$C$82,C730)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SUMIFS(RAB!$F$14:$F$82,RAB!$C$14:$C$82,C731)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SUMIFS(RAB!$F$14:$F$82,RAB!$C$14:$C$82,C732)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SUMIFS(RAB!$F$14:$F$82,RAB!$C$14:$C$82,C733)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SUMIFS(RAB!$F$14:$F$82,RAB!$C$14:$C$82,C734)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SUMIFS(RAB!$F$14:$F$82,RAB!$C$14:$C$82,C735)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SUMIFS(RAB!$F$14:$F$82,RAB!$C$14:$C$82,C736)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SUMIFS(RAB!$F$14:$F$82,RAB!$C$14:$C$82,C737)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SUMIFS(RAB!$F$14:$F$82,RAB!$C$14:$C$82,C738)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SUMIFS(RAB!$F$14:$F$82,RAB!$C$14:$C$82,C739)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SUMIFS(RAB!$F$14:$F$82,RAB!$C$14:$C$82,C740)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SUMIFS(RAB!$F$14:$F$82,RAB!$C$14:$C$82,C741)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SUMIFS(RAB!$F$14:$F$82,RAB!$C$14:$C$82,C742)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SUMIFS(RAB!$F$14:$F$82,RAB!$C$14:$C$82,C743)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SUMIFS(RAB!$F$14:$F$82,RAB!$C$14:$C$82,C744)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SUMIFS(RAB!$F$14:$F$82,RAB!$C$14:$C$82,C745)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SUMIFS(RAB!$F$14:$F$82,RAB!$C$14:$C$82,C746)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SUMIFS(RAB!$F$14:$F$82,RAB!$C$14:$C$82,C747)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SUMIFS(RAB!$F$14:$F$82,RAB!$C$14:$C$82,C748)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SUMIFS(RAB!$F$14:$F$82,RAB!$C$14:$C$82,C749)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SUMIFS(RAB!$F$14:$F$82,RAB!$C$14:$C$82,C750)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SUMIFS(RAB!$F$14:$F$82,RAB!$C$14:$C$82,C751)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SUMIFS(RAB!$F$14:$F$82,RAB!$C$14:$C$82,C752)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SUMIFS(RAB!$F$14:$F$82,RAB!$C$14:$C$82,C753)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SUMIFS(RAB!$F$14:$F$82,RAB!$C$14:$C$82,C754)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SUMIFS(RAB!$F$14:$F$82,RAB!$C$14:$C$82,C755)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SUMIFS(RAB!$F$14:$F$82,RAB!$C$14:$C$82,C756)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SUMIFS(RAB!$F$14:$F$82,RAB!$C$14:$C$82,C757)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SUMIFS(RAB!$F$14:$F$82,RAB!$C$14:$C$82,C758)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SUMIFS(RAB!$F$14:$F$82,RAB!$C$14:$C$82,C759)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SUMIFS(RAB!$F$14:$F$82,RAB!$C$14:$C$82,C760)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SUMIFS(RAB!$F$14:$F$82,RAB!$C$14:$C$82,C761)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SUMIFS(RAB!$F$14:$F$82,RAB!$C$14:$C$82,C762)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SUMIFS(RAB!$F$14:$F$82,RAB!$C$14:$C$82,C763)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SUMIFS(RAB!$F$14:$F$82,RAB!$C$14:$C$82,C764)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SUMIFS(RAB!$F$14:$F$82,RAB!$C$14:$C$82,C765)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SUMIFS(RAB!$F$14:$F$82,RAB!$C$14:$C$82,C766)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SUMIFS(RAB!$F$14:$F$82,RAB!$C$14:$C$82,C767)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SUMIFS(RAB!$F$14:$F$82,RAB!$C$14:$C$82,C768)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SUMIFS(RAB!$F$14:$F$82,RAB!$C$14:$C$82,C769)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SUMIFS(RAB!$F$14:$F$82,RAB!$C$14:$C$82,C770)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SUMIFS(RAB!$F$14:$F$82,RAB!$C$14:$C$82,C771)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SUMIFS(RAB!$F$14:$F$82,RAB!$C$14:$C$82,C772)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SUMIFS(RAB!$F$14:$F$82,RAB!$C$14:$C$82,C773)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SUMIFS(RAB!$F$14:$F$82,RAB!$C$14:$C$82,C774)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SUMIFS(RAB!$F$14:$F$82,RAB!$C$14:$C$82,C775)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SUMIFS(RAB!$F$14:$F$82,RAB!$C$14:$C$82,C776)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SUMIFS(RAB!$F$14:$F$82,RAB!$C$14:$C$82,C777)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SUMIFS(RAB!$F$14:$F$82,RAB!$C$14:$C$82,C778)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SUMIFS(RAB!$F$14:$F$82,RAB!$C$14:$C$82,C779)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SUMIFS(RAB!$F$14:$F$82,RAB!$C$14:$C$82,C780)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SUMIFS(RAB!$F$14:$F$82,RAB!$C$14:$C$82,C781)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SUMIFS(RAB!$F$14:$F$82,RAB!$C$14:$C$82,C782)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SUMIFS(RAB!$F$14:$F$82,RAB!$C$14:$C$82,C783)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SUMIFS(RAB!$F$14:$F$82,RAB!$C$14:$C$82,C784)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SUMIFS(RAB!$F$14:$F$82,RAB!$C$14:$C$82,C785)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SUMIFS(RAB!$F$14:$F$82,RAB!$C$14:$C$82,C786)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SUMIFS(RAB!$F$14:$F$82,RAB!$C$14:$C$82,C787)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SUMIFS(RAB!$F$14:$F$82,RAB!$C$14:$C$82,C788)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SUMIFS(RAB!$F$14:$F$82,RAB!$C$14:$C$82,C789)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SUMIFS(RAB!$F$14:$F$82,RAB!$C$14:$C$82,C790)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SUMIFS(RAB!$F$14:$F$82,RAB!$C$14:$C$82,C791)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SUMIFS(RAB!$F$14:$F$82,RAB!$C$14:$C$82,C792)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SUMIFS(RAB!$F$14:$F$82,RAB!$C$14:$C$82,C793)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SUMIFS(RAB!$F$14:$F$82,RAB!$C$14:$C$82,C794)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SUMIFS(RAB!$F$14:$F$82,RAB!$C$14:$C$82,C795)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SUMIFS(RAB!$F$14:$F$82,RAB!$C$14:$C$82,C796)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SUMIFS(RAB!$F$14:$F$82,RAB!$C$14:$C$82,C797)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SUMIFS(RAB!$F$14:$F$82,RAB!$C$14:$C$82,C798)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SUMIFS(RAB!$F$14:$F$82,RAB!$C$14:$C$82,C799)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SUMIFS(RAB!$F$14:$F$82,RAB!$C$14:$C$82,C800)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SUMIFS(RAB!$F$14:$F$82,RAB!$C$14:$C$82,C801)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SUMIFS(RAB!$F$14:$F$82,RAB!$C$14:$C$82,C802)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SUMIFS(RAB!$F$14:$F$82,RAB!$C$14:$C$82,C803)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SUMIFS(RAB!$F$14:$F$82,RAB!$C$14:$C$82,C804)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SUMIFS(RAB!$F$14:$F$82,RAB!$C$14:$C$82,C805)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SUMIFS(RAB!$F$14:$F$82,RAB!$C$14:$C$82,C806)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SUMIFS(RAB!$F$14:$F$82,RAB!$C$14:$C$82,C807)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SUMIFS(RAB!$F$14:$F$82,RAB!$C$14:$C$82,C808)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SUMIFS(RAB!$F$14:$F$82,RAB!$C$14:$C$82,C809)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SUMIFS(RAB!$F$14:$F$82,RAB!$C$14:$C$82,C810)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SUMIFS(RAB!$F$14:$F$82,RAB!$C$14:$C$82,C811)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SUMIFS(RAB!$F$14:$F$82,RAB!$C$14:$C$82,C812)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SUMIFS(RAB!$F$14:$F$82,RAB!$C$14:$C$82,C813)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SUMIFS(RAB!$F$14:$F$82,RAB!$C$14:$C$82,C814)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SUMIFS(RAB!$F$14:$F$82,RAB!$C$14:$C$82,C815)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SUMIFS(RAB!$F$14:$F$82,RAB!$C$14:$C$82,C816)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SUMIFS(RAB!$F$14:$F$82,RAB!$C$14:$C$82,C817)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SUMIFS(RAB!$F$14:$F$82,RAB!$C$14:$C$82,C818)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SUMIFS(RAB!$F$14:$F$82,RAB!$C$14:$C$82,C819)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SUMIFS(RAB!$F$14:$F$82,RAB!$C$14:$C$82,C820)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SUMIFS(RAB!$F$14:$F$82,RAB!$C$14:$C$82,C821)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SUMIFS(RAB!$F$14:$F$82,RAB!$C$14:$C$82,C822)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SUMIFS(RAB!$F$14:$F$82,RAB!$C$14:$C$82,C823)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SUMIFS(RAB!$F$14:$F$82,RAB!$C$14:$C$82,C824)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SUMIFS(RAB!$F$14:$F$82,RAB!$C$14:$C$82,C825)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SUMIFS(RAB!$F$14:$F$82,RAB!$C$14:$C$82,C826)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SUMIFS(RAB!$F$14:$F$82,RAB!$C$14:$C$82,C827)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SUMIFS(RAB!$F$14:$F$82,RAB!$C$14:$C$82,C828)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SUMIFS(RAB!$F$14:$F$82,RAB!$C$14:$C$82,C829)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SUMIFS(RAB!$F$14:$F$82,RAB!$C$14:$C$82,C830)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SUMIFS(RAB!$F$14:$F$82,RAB!$C$14:$C$82,C831)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SUMIFS(RAB!$F$14:$F$82,RAB!$C$14:$C$82,C832)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SUMIFS(RAB!$F$14:$F$82,RAB!$C$14:$C$82,C833)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SUMIFS(RAB!$F$14:$F$82,RAB!$C$14:$C$82,C834)</f>
        <v>100</v>
      </c>
      <c r="E834" s="26">
        <f t="shared" ca="1" si="34"/>
        <v>1</v>
      </c>
      <c r="F834" s="26">
        <f ca="1">IF(D834=0,0,SUM($E$713:E834))</f>
        <v>3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SUMIFS(RAB!$F$14:$F$82,RAB!$C$14:$C$82,C835)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SUMIFS(RAB!$F$14:$F$82,RAB!$C$14:$C$82,C836)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SUMIFS(RAB!$F$14:$F$82,RAB!$C$14:$C$82,C837)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SUMIFS(RAB!$F$14:$F$82,RAB!$C$14:$C$82,C838)</f>
        <v>35</v>
      </c>
      <c r="E838" s="26">
        <f t="shared" ca="1" si="34"/>
        <v>1</v>
      </c>
      <c r="F838" s="26">
        <f ca="1">IF(D838=0,0,SUM($E$713:E838))</f>
        <v>4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SUMIFS(RAB!$F$14:$F$82,RAB!$C$14:$C$82,C839)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SUMIFS(RAB!$F$14:$F$82,RAB!$C$14:$C$82,C840)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SUMIFS(RAB!$F$14:$F$82,RAB!$C$14:$C$82,C841)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SUMIFS(RAB!$F$14:$F$82,RAB!$C$14:$C$82,C842)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SUMIFS(RAB!$F$14:$F$82,RAB!$C$14:$C$82,C843)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SUMIFS(RAB!$F$14:$F$82,RAB!$C$14:$C$82,C844)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SUMIFS(RAB!$F$14:$F$82,RAB!$C$14:$C$82,C845)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SUMIFS(RAB!$F$14:$F$82,RAB!$C$14:$C$82,C846)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SUMIFS(RAB!$F$14:$F$82,RAB!$C$14:$C$82,C847)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SUMIFS(RAB!$F$14:$F$82,RAB!$C$14:$C$82,C848)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SUMIFS(RAB!$F$14:$F$82,RAB!$C$14:$C$82,C849)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SUMIFS(RAB!$F$14:$F$82,RAB!$C$14:$C$82,C850)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SUMIFS(RAB!$F$14:$F$82,RAB!$C$14:$C$82,C851)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SUMIFS(RAB!$F$14:$F$82,RAB!$C$14:$C$82,C852)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SUMIFS(RAB!$F$14:$F$82,RAB!$C$14:$C$82,C853)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SUMIFS(RAB!$F$14:$F$82,RAB!$C$14:$C$82,C854)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SUMIFS(RAB!$F$14:$F$82,RAB!$C$14:$C$82,C855)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SUMIFS(RAB!$F$14:$F$82,RAB!$C$14:$C$82,C856)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SUMIFS(RAB!$F$14:$F$82,RAB!$C$14:$C$82,C857)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SUMIFS(RAB!$F$14:$F$82,RAB!$C$14:$C$82,C858)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SUMIFS(RAB!$F$14:$F$82,RAB!$C$14:$C$82,C859)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SUMIFS(RAB!$F$14:$F$82,RAB!$C$14:$C$82,C860)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SUMIFS(RAB!$F$14:$F$82,RAB!$C$14:$C$82,C861)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SUMIFS(RAB!$F$14:$F$82,RAB!$C$14:$C$82,C862)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SUMIFS(RAB!$F$14:$F$82,RAB!$C$14:$C$82,C863)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SUMIFS(RAB!$F$14:$F$82,RAB!$C$14:$C$82,C864)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SUMIFS(RAB!$F$14:$F$82,RAB!$C$14:$C$82,C865)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SUMIFS(RAB!$F$14:$F$82,RAB!$C$14:$C$82,C866)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SUMIFS(RAB!$F$14:$F$82,RAB!$C$14:$C$82,C867)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SUMIFS(RAB!$F$14:$F$82,RAB!$C$14:$C$82,C868)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SUMIFS(RAB!$F$14:$F$82,RAB!$C$14:$C$82,C869)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SUMIFS(RAB!$F$14:$F$82,RAB!$C$14:$C$82,C870)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SUMIFS(RAB!$F$14:$F$82,RAB!$C$14:$C$82,C871)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SUMIFS(RAB!$F$14:$F$82,RAB!$C$14:$C$82,C872)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SUMIFS(RAB!$F$14:$F$82,RAB!$C$14:$C$82,C873)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SUMIFS(RAB!$F$14:$F$82,RAB!$C$14:$C$82,C874)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SUMIFS(RAB!$F$14:$F$82,RAB!$C$14:$C$82,C875)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SUMIFS(RAB!$F$14:$F$82,RAB!$C$14:$C$82,C876)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SUMIFS(RAB!$F$14:$F$82,RAB!$C$14:$C$82,C877)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SUMIFS(RAB!$F$14:$F$82,RAB!$C$14:$C$82,C878)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SUMIFS(RAB!$F$14:$F$82,RAB!$C$14:$C$82,C879)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SUMIFS(RAB!$F$14:$F$82,RAB!$C$14:$C$82,C880)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SUMIFS(RAB!$F$14:$F$82,RAB!$C$14:$C$82,C881)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SUMIFS(RAB!$F$14:$F$82,RAB!$C$14:$C$82,C882)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SUMIFS(RAB!$F$14:$F$82,RAB!$C$14:$C$82,C883)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SUMIFS(RAB!$F$14:$F$82,RAB!$C$14:$C$82,C884)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SUMIFS(RAB!$F$14:$F$82,RAB!$C$14:$C$82,C885)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SUMIFS(RAB!$F$14:$F$82,RAB!$C$14:$C$82,C886)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SUMIFS(RAB!$F$14:$F$82,RAB!$C$14:$C$82,C887)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SUMIFS(RAB!$F$14:$F$82,RAB!$C$14:$C$82,C888)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SUMIFS(RAB!$F$14:$F$82,RAB!$C$14:$C$82,C889)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SUMIFS(RAB!$F$14:$F$82,RAB!$C$14:$C$82,C890)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SUMIFS(RAB!$F$14:$F$82,RAB!$C$14:$C$82,C891)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SUMIFS(RAB!$F$14:$F$82,RAB!$C$14:$C$82,C892)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SUMIFS(RAB!$F$14:$F$82,RAB!$C$14:$C$82,C893)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SUMIFS(RAB!$F$14:$F$82,RAB!$C$14:$C$82,C894)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SUMIFS(RAB!$F$14:$F$82,RAB!$C$14:$C$82,C895)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SUMIFS(RAB!$F$14:$F$82,RAB!$C$14:$C$82,C896)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SUMIFS(RAB!$F$14:$F$82,RAB!$C$14:$C$82,C897)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SUMIFS(RAB!$F$14:$F$82,RAB!$C$14:$C$82,C898)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SUMIFS(RAB!$F$14:$F$82,RAB!$C$14:$C$82,C899)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SUMIFS(RAB!$F$14:$F$82,RAB!$C$14:$C$82,C900)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SUMIFS(RAB!$F$14:$F$82,RAB!$C$14:$C$82,C901)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SUMIFS(RAB!$F$14:$F$82,RAB!$C$14:$C$82,C902)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SUMIFS(RAB!$F$14:$F$82,RAB!$C$14:$C$82,C903)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SUMIFS(RAB!$F$14:$F$82,RAB!$C$14:$C$82,C904)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SUMIFS(RAB!$F$14:$F$82,RAB!$C$14:$C$82,C905)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SUMIFS(RAB!$F$14:$F$82,RAB!$C$14:$C$82,C906)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SUMIFS(RAB!$F$14:$F$82,RAB!$C$14:$C$82,C907)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SUMIFS(RAB!$F$14:$F$82,RAB!$C$14:$C$82,C908)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SUMIFS(RAB!$F$14:$F$82,RAB!$C$14:$C$82,C909)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SUMIFS(RAB!$F$14:$F$82,RAB!$C$14:$C$82,C910)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SUMIFS(RAB!$F$14:$F$82,RAB!$C$14:$C$82,C911)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SUMIFS(RAB!$F$14:$F$82,RAB!$C$14:$C$82,C912)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SUMIFS(RAB!$F$14:$F$82,RAB!$C$14:$C$82,C913)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SUMIFS(RAB!$F$14:$F$82,RAB!$C$14:$C$82,C914)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SUMIFS(RAB!$F$14:$F$82,RAB!$C$14:$C$82,C915)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SUMIFS(RAB!$F$14:$F$82,RAB!$C$14:$C$82,C916)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SUMIFS(RAB!$F$14:$F$82,RAB!$C$14:$C$82,C917)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SUMIFS(RAB!$F$14:$F$82,RAB!$C$14:$C$82,C918)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SUMIFS(RAB!$F$14:$F$82,RAB!$C$14:$C$82,C919)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SUMIFS(RAB!$F$14:$F$82,RAB!$C$14:$C$82,C920)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SUMIFS(RAB!$F$14:$F$82,RAB!$C$14:$C$82,C921)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SUMIFS(RAB!$F$14:$F$82,RAB!$C$14:$C$82,C922)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SUMIFS(RAB!$F$14:$F$82,RAB!$C$14:$C$82,C923)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SUMIFS(RAB!$F$14:$F$82,RAB!$C$14:$C$82,C924)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SUMIFS(RAB!$F$14:$F$82,RAB!$C$14:$C$82,C925)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SUMIFS(RAB!$F$14:$F$82,RAB!$C$14:$C$82,C926)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SUMIFS(RAB!$F$14:$F$82,RAB!$C$14:$C$82,C927)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SUMIFS(RAB!$F$14:$F$82,RAB!$C$14:$C$82,C928)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SUMIFS(RAB!$F$14:$F$82,RAB!$C$14:$C$82,C929)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SUMIFS(RAB!$F$14:$F$82,RAB!$C$14:$C$82,C930)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SUMIFS(RAB!$F$14:$F$82,RAB!$C$14:$C$82,C931)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SUMIFS(RAB!$F$14:$F$82,RAB!$C$14:$C$82,C932)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SUMIFS(RAB!$F$14:$F$82,RAB!$C$14:$C$82,C933)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SUMIFS(RAB!$F$14:$F$82,RAB!$C$14:$C$82,C934)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SUMIFS(RAB!$F$14:$F$82,RAB!$C$14:$C$82,C935)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SUMIFS(RAB!$F$14:$F$82,RAB!$C$14:$C$82,C936)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SUMIFS(RAB!$F$14:$F$82,RAB!$C$14:$C$82,C937)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SUMIFS(RAB!$F$14:$F$82,RAB!$C$14:$C$82,C938)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SUMIFS(RAB!$F$14:$F$82,RAB!$C$14:$C$82,C939)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SUMIFS(RAB!$F$14:$F$82,RAB!$C$14:$C$82,C940)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SUMIFS(RAB!$F$14:$F$82,RAB!$C$14:$C$82,C941)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SUMIFS(RAB!$F$14:$F$82,RAB!$C$14:$C$82,C942)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SUMIFS(RAB!$F$14:$F$82,RAB!$C$14:$C$82,C943)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SUMIFS(RAB!$F$14:$F$82,RAB!$C$14:$C$82,C944)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SUMIFS(RAB!$F$14:$F$82,RAB!$C$14:$C$82,C945)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SUMIFS(RAB!$F$14:$F$82,RAB!$C$14:$C$82,C946)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SUMIFS(RAB!$F$14:$F$82,RAB!$C$14:$C$82,C947)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SUMIFS(RAB!$F$14:$F$82,RAB!$C$14:$C$82,C948)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SUMIFS(RAB!$F$14:$F$82,RAB!$C$14:$C$82,C949)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SUMIFS(RAB!$F$14:$F$82,RAB!$C$14:$C$82,C950)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SUMIFS(RAB!$F$14:$F$82,RAB!$C$14:$C$82,C951)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SUMIFS(RAB!$F$14:$F$82,RAB!$C$14:$C$82,C952)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SUMIFS(RAB!$F$14:$F$82,RAB!$C$14:$C$82,C953)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SUMIFS(RAB!$F$14:$F$82,RAB!$C$14:$C$82,C954)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SUMIFS(RAB!$F$14:$F$82,RAB!$C$14:$C$82,C955)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SUMIFS(RAB!$F$14:$F$82,RAB!$C$14:$C$82,C956)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SUMIFS(RAB!$F$14:$F$82,RAB!$C$14:$C$82,C957)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SUMIFS(RAB!$F$14:$F$82,RAB!$C$14:$C$82,C958)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SUMIFS(RAB!$F$14:$F$82,RAB!$C$14:$C$82,C959)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SUMIFS(RAB!$F$14:$F$82,RAB!$C$14:$C$82,C960)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SUMIFS(RAB!$F$14:$F$82,RAB!$C$14:$C$82,C961)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SUMIFS(RAB!$F$14:$F$82,RAB!$C$14:$C$82,C962)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SUMIFS(RAB!$F$14:$F$82,RAB!$C$14:$C$82,C963)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SUMIFS(RAB!$F$14:$F$82,RAB!$C$14:$C$82,C964)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SUMIFS(RAB!$F$14:$F$82,RAB!$C$14:$C$82,C965)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SUMIFS(RAB!$F$14:$F$82,RAB!$C$14:$C$82,C966)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SUMIFS(RAB!$F$14:$F$82,RAB!$C$14:$C$82,C967)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SUMIFS(RAB!$F$14:$F$82,RAB!$C$14:$C$82,C968)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SUMIFS(RAB!$F$14:$F$82,RAB!$C$14:$C$82,C969)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SUMIFS(RAB!$F$14:$F$82,RAB!$C$14:$C$82,C970)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SUMIFS(RAB!$F$14:$F$82,RAB!$C$14:$C$82,C971)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SUMIFS(RAB!$F$14:$F$82,RAB!$C$14:$C$82,C972)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SUMIFS(RAB!$F$14:$F$82,RAB!$C$14:$C$82,C973)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SUMIFS(RAB!$F$14:$F$82,RAB!$C$14:$C$82,C974)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SUMIFS(RAB!$F$14:$F$82,RAB!$C$14:$C$82,C975)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SUMIFS(RAB!$F$14:$F$82,RAB!$C$14:$C$82,C976)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SUMIFS(RAB!$F$14:$F$82,RAB!$C$14:$C$82,C977)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SUMIFS(RAB!$F$14:$F$82,RAB!$C$14:$C$82,C978)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SUMIFS(RAB!$F$14:$F$82,RAB!$C$14:$C$82,C979)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SUMIFS(RAB!$F$14:$F$82,RAB!$C$14:$C$82,C980)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SUMIFS(RAB!$F$14:$F$82,RAB!$C$14:$C$82,C981)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SUMIFS(RAB!$F$14:$F$82,RAB!$C$14:$C$82,C982)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SUMIFS(RAB!$F$14:$F$82,RAB!$C$14:$C$82,C983)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SUMIFS(RAB!$F$14:$F$82,RAB!$C$14:$C$82,C984)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SUMIFS(RAB!$F$14:$F$82,RAB!$C$14:$C$82,C985)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SUMIFS(RAB!$F$14:$F$82,RAB!$C$14:$C$82,C986)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SUMIFS(RAB!$F$14:$F$82,RAB!$C$14:$C$82,C987)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SUMIFS(RAB!$F$14:$F$82,RAB!$C$14:$C$82,C988)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SUMIFS(RAB!$F$14:$F$82,RAB!$C$14:$C$82,C989)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SUMIFS(RAB!$F$14:$F$82,RAB!$C$14:$C$82,C990)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SUMIFS(RAB!$F$14:$F$82,RAB!$C$14:$C$82,C991)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SUMIFS(RAB!$F$14:$F$82,RAB!$C$14:$C$82,C992)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SUMIFS(RAB!$F$14:$F$82,RAB!$C$14:$C$82,C993)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SUMIFS(RAB!$F$14:$F$82,RAB!$C$14:$C$82,C994)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SUMIFS(RAB!$F$14:$F$82,RAB!$C$14:$C$82,C995)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SUMIFS(RAB!$F$14:$F$82,RAB!$C$14:$C$82,C996)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SUMIFS(RAB!$F$14:$F$82,RAB!$C$14:$C$82,C997)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SUMIFS(RAB!$F$14:$F$82,RAB!$C$14:$C$82,C998)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SUMIFS(RAB!$F$14:$F$82,RAB!$C$14:$C$82,C999)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SUMIFS(RAB!$F$14:$F$82,RAB!$C$14:$C$82,C1000)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SUMIFS(RAB!$F$14:$F$82,RAB!$C$14:$C$82,C1001)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SUMIFS(RAB!$F$14:$F$82,RAB!$C$14:$C$82,C1002)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SUMIFS(RAB!$F$14:$F$82,RAB!$C$14:$C$82,C1003)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SUMIFS(RAB!$F$14:$F$82,RAB!$C$14:$C$82,C1004)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SUMIFS(RAB!$F$14:$F$82,RAB!$C$14:$C$82,C1005)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SUMIFS(RAB!$F$14:$F$82,RAB!$C$14:$C$82,C1006)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SUMIFS(RAB!$F$14:$F$82,RAB!$C$14:$C$82,C1007)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SUMIFS(RAB!$F$14:$F$82,RAB!$C$14:$C$82,C1008)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SUMIFS(RAB!$F$14:$F$82,RAB!$C$14:$C$82,C1009)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SUMIFS(RAB!$F$14:$F$82,RAB!$C$14:$C$82,C1010)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SUMIFS(RAB!$F$14:$F$82,RAB!$C$14:$C$82,C1011)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SUMIFS(RAB!$F$14:$F$82,RAB!$C$14:$C$82,C1012)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SUMIFS(RAB!$F$14:$F$82,RAB!$C$14:$C$82,C1013)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SUMIFS(RAB!$F$14:$F$82,RAB!$C$14:$C$82,C1014)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SUMIFS(RAB!$F$14:$F$82,RAB!$C$14:$C$82,C1015)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SUMIFS(RAB!$F$14:$F$82,RAB!$C$14:$C$82,C1016)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SUMIFS(RAB!$F$14:$F$82,RAB!$C$14:$C$82,C1017)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SUMIFS(RAB!$F$14:$F$82,RAB!$C$14:$C$82,C1018)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SUMIFS(RAB!$F$14:$F$82,RAB!$C$14:$C$82,C1019)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SUMIFS(RAB!$F$14:$F$82,RAB!$C$14:$C$82,C1020)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SUMIFS(RAB!$F$14:$F$82,RAB!$C$14:$C$82,C1021)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SUMIFS(RAB!$F$14:$F$82,RAB!$C$14:$C$82,C1022)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SUMIFS(RAB!$F$14:$F$82,RAB!$C$14:$C$82,C1023)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SUMIFS(RAB!$F$14:$F$82,RAB!$C$14:$C$82,C1024)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SUMIFS(RAB!$F$14:$F$82,RAB!$C$14:$C$82,C1025)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SUMIFS(RAB!$F$14:$F$82,RAB!$C$14:$C$82,C1026)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SUMIFS(RAB!$F$14:$F$82,RAB!$C$14:$C$82,C1027)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SUMIFS(RAB!$F$14:$F$82,RAB!$C$14:$C$82,C1028)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SUMIFS(RAB!$F$14:$F$82,RAB!$C$14:$C$82,C1029)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SUMIFS(RAB!$F$14:$F$82,RAB!$C$14:$C$82,C1030)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SUMIFS(RAB!$F$14:$F$82,RAB!$C$14:$C$82,C1031)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SUMIFS(RAB!$F$14:$F$82,RAB!$C$14:$C$82,C1032)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SUMIFS(RAB!$F$14:$F$82,RAB!$C$14:$C$82,C1033)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SUMIFS(RAB!$F$14:$F$82,RAB!$C$14:$C$82,C1034)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SUMIFS(RAB!$F$14:$F$82,RAB!$C$14:$C$82,C1035)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SUMIFS(RAB!$F$14:$F$82,RAB!$C$14:$C$82,C1036)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SUMIFS(RAB!$F$14:$F$82,RAB!$C$14:$C$82,C1037)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SUMIFS(RAB!$F$14:$F$82,RAB!$C$14:$C$82,C1038)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SUMIFS(RAB!$F$14:$F$82,RAB!$C$14:$C$82,C1039)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SUMIFS(RAB!$F$14:$F$82,RAB!$C$14:$C$82,C1040)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SUMIFS(RAB!$F$14:$F$82,RAB!$C$14:$C$82,C1041)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SUMIFS(RAB!$F$14:$F$82,RAB!$C$14:$C$82,C1042)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SUMIFS(RAB!$F$14:$F$82,RAB!$C$14:$C$82,C1043)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SUMIFS(RAB!$F$14:$F$82,RAB!$C$14:$C$82,C1044)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SUMIFS(RAB!$F$14:$F$82,RAB!$C$14:$C$82,C1045)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SUMIFS(RAB!$F$14:$F$82,RAB!$C$14:$C$82,C1046)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SUMIFS(RAB!$F$14:$F$82,RAB!$C$14:$C$82,C1047)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SUMIFS(RAB!$F$14:$F$82,RAB!$C$14:$C$82,C1048)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SUMIFS(RAB!$F$14:$F$82,RAB!$C$14:$C$82,C1049)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SUMIFS(RAB!$F$14:$F$82,RAB!$C$14:$C$82,C1050)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SUMIFS(RAB!$F$14:$F$82,RAB!$C$14:$C$82,C1051)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SUMIFS(RAB!$F$14:$F$82,RAB!$C$14:$C$82,C1052)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SUMIFS(RAB!$F$14:$F$82,RAB!$C$14:$C$82,C1053)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SUMIFS(RAB!$F$14:$F$82,RAB!$C$14:$C$82,C1054)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SUMIFS(RAB!$F$14:$F$82,RAB!$C$14:$C$82,C1055)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SUMIFS(RAB!$F$14:$F$82,RAB!$C$14:$C$82,C1056)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SUMIFS(RAB!$F$14:$F$82,RAB!$C$14:$C$82,C1057)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SUMIFS(RAB!$F$14:$F$82,RAB!$C$14:$C$82,C1058)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SUMIFS(RAB!$F$14:$F$82,RAB!$C$14:$C$82,C1059)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SUMIFS(RAB!$F$14:$F$82,RAB!$C$14:$C$82,C1060)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SUMIFS(RAB!$F$14:$F$82,RAB!$C$14:$C$82,C1061)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SUMIFS(RAB!$F$14:$F$82,RAB!$C$14:$C$82,C1062)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SUMIFS(RAB!$F$14:$F$82,RAB!$C$14:$C$82,C1063)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SUMIFS(RAB!$F$14:$F$82,RAB!$C$14:$C$82,C1064)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SUMIFS(RAB!$F$14:$F$82,RAB!$C$14:$C$82,C1065)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SUMIFS(RAB!$F$14:$F$82,RAB!$C$14:$C$82,C1066)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SUMIFS(RAB!$F$14:$F$82,RAB!$C$14:$C$82,C1067)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SUMIFS(RAB!$F$14:$F$82,RAB!$C$14:$C$82,C1068)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SUMIFS(RAB!$F$14:$F$82,RAB!$C$14:$C$82,C1069)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SUMIFS(RAB!$F$14:$F$82,RAB!$C$14:$C$82,C1070)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SUMIFS(RAB!$F$14:$F$82,RAB!$C$14:$C$82,C1071)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SUMIFS(RAB!$F$14:$F$82,RAB!$C$14:$C$82,C1072)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SUMIFS(RAB!$F$14:$F$82,RAB!$C$14:$C$82,C1073)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SUMIFS(RAB!$F$14:$F$82,RAB!$C$14:$C$82,C1074)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SUMIFS(RAB!$F$14:$F$82,RAB!$C$14:$C$82,C1075)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SUMIFS(RAB!$F$14:$F$82,RAB!$C$14:$C$82,C1076)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SUMIFS(RAB!$F$14:$F$82,RAB!$C$14:$C$82,C1077)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SUMIFS(RAB!$F$14:$F$82,RAB!$C$14:$C$82,C1078)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SUMIFS(RAB!$F$14:$F$82,RAB!$C$14:$C$82,C1079)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SUMIFS(RAB!$F$14:$F$82,RAB!$C$14:$C$82,C1080)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SUMIFS(RAB!$F$14:$F$82,RAB!$C$14:$C$82,C1081)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SUMIFS(RAB!$F$14:$F$82,RAB!$C$14:$C$82,C1082)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SUMIFS(RAB!$F$14:$F$82,RAB!$C$14:$C$82,C1083)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SUMIFS(RAB!$F$14:$F$82,RAB!$C$14:$C$82,C1084)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SUMIFS(RAB!$F$14:$F$82,RAB!$C$14:$C$82,C1085)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SUMIFS(RAB!$F$14:$F$82,RAB!$C$14:$C$82,C1086)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SUMIFS(RAB!$F$14:$F$82,RAB!$C$14:$C$82,C1087)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SUMIFS(RAB!$F$14:$F$82,RAB!$C$14:$C$82,C1088)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SUMIFS(RAB!$F$14:$F$82,RAB!$C$14:$C$82,C1089)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SUMIFS(RAB!$F$14:$F$82,RAB!$C$14:$C$82,C1090)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SUMIFS(RAB!$F$14:$F$82,RAB!$C$14:$C$82,C1091)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SUMIFS(RAB!$F$14:$F$82,RAB!$C$14:$C$82,C1092)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SUMIFS(RAB!$F$14:$F$82,RAB!$C$14:$C$82,C1093)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SUMIFS(RAB!$F$14:$F$82,RAB!$C$14:$C$82,C1094)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SUMIFS(RAB!$F$14:$F$82,RAB!$C$14:$C$82,C1095)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SUMIFS(RAB!$F$14:$F$82,RAB!$C$14:$C$82,C1096)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SUMIFS(RAB!$F$14:$F$82,RAB!$C$14:$C$82,C1097)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SUMIFS(RAB!$F$14:$F$82,RAB!$C$14:$C$82,C1098)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SUMIFS(RAB!$F$14:$F$82,RAB!$C$14:$C$82,C1099)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SUMIFS(RAB!$F$14:$F$82,RAB!$C$14:$C$82,C1100)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SUMIFS(RAB!$F$14:$F$82,RAB!$C$14:$C$82,C1101)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SUMIFS(RAB!$F$14:$F$82,RAB!$C$14:$C$82,C1102)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SUMIFS(RAB!$F$14:$F$82,RAB!$C$14:$C$82,C1103)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SUMIFS(RAB!$F$14:$F$82,RAB!$C$14:$C$82,C1104)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SUMIFS(RAB!$F$14:$F$82,RAB!$C$14:$C$82,C1105)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SUMIFS(RAB!$F$14:$F$82,RAB!$C$14:$C$82,C1106)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SUMIFS(RAB!$F$14:$F$82,RAB!$C$14:$C$82,C1107)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SUMIFS(RAB!$F$14:$F$82,RAB!$C$14:$C$82,C1108)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SUMIFS(RAB!$F$14:$F$82,RAB!$C$14:$C$82,C1109)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SUMIFS(RAB!$F$14:$F$82,RAB!$C$14:$C$82,C1110)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SUMIFS(RAB!$F$14:$F$82,RAB!$C$14:$C$82,C1111)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SUMIFS(RAB!$F$14:$F$82,RAB!$C$14:$C$82,C1112)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SUMIFS(RAB!$F$14:$F$82,RAB!$C$14:$C$82,C1113)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SUMIFS(RAB!$F$14:$F$82,RAB!$C$14:$C$82,C1114)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SUMIFS(RAB!$F$14:$F$82,RAB!$C$14:$C$82,C1115)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SUMIFS(RAB!$F$14:$F$82,RAB!$C$14:$C$82,C1116)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SUMIFS(RAB!$F$14:$F$82,RAB!$C$14:$C$82,C1117)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SUMIFS(RAB!$F$14:$F$82,RAB!$C$14:$C$82,C1118)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SUMIFS(RAB!$F$14:$F$82,RAB!$C$14:$C$82,C1119)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SUMIFS(RAB!$F$14:$F$82,RAB!$C$14:$C$82,C1120)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SUMIFS(RAB!$F$14:$F$82,RAB!$C$14:$C$82,C1121)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SUMIFS(RAB!$F$14:$F$82,RAB!$C$14:$C$82,C1122)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SUMIFS(RAB!$F$14:$F$82,RAB!$C$14:$C$82,C1123)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SUMIFS(RAB!$F$14:$F$82,RAB!$C$14:$C$82,C1124)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SUMIFS(RAB!$F$14:$F$82,RAB!$C$14:$C$82,C1125)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SUMIFS(RAB!$F$14:$F$82,RAB!$C$14:$C$82,C1126)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SUMIFS(RAB!$F$14:$F$82,RAB!$C$14:$C$82,C1127)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SUMIFS(RAB!$F$14:$F$82,RAB!$C$14:$C$82,C1128)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SUMIFS(RAB!$F$14:$F$82,RAB!$C$14:$C$82,C1129)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SUMIFS(RAB!$F$14:$F$82,RAB!$C$14:$C$82,C1130)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SUMIFS(RAB!$F$14:$F$82,RAB!$C$14:$C$82,C1131)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SUMIFS(RAB!$F$14:$F$82,RAB!$C$14:$C$82,C1132)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SUMIFS(RAB!$F$14:$F$82,RAB!$C$14:$C$82,C1133)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SUMIFS(RAB!$F$14:$F$82,RAB!$C$14:$C$82,C1134)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SUMIFS(RAB!$F$14:$F$82,RAB!$C$14:$C$82,C1135)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SUMIFS(RAB!$F$14:$F$82,RAB!$C$14:$C$82,C1136)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SUMIFS(RAB!$F$14:$F$82,RAB!$C$14:$C$82,C1137)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SUMIFS(RAB!$F$14:$F$82,RAB!$C$14:$C$82,C1138)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SUMIFS(RAB!$F$14:$F$82,RAB!$C$14:$C$82,C1139)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SUMIFS(RAB!$F$14:$F$82,RAB!$C$14:$C$82,C1140)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SUMIFS(RAB!$F$14:$F$82,RAB!$C$14:$C$82,C1141)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SUMIFS(RAB!$F$14:$F$82,RAB!$C$14:$C$82,C1142)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SUMIFS(RAB!$F$14:$F$82,RAB!$C$14:$C$82,C1143)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SUMIFS(RAB!$F$14:$F$82,RAB!$C$14:$C$82,C1144)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SUMIFS(RAB!$F$14:$F$82,RAB!$C$14:$C$82,C1145)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SUMIFS(RAB!$F$14:$F$82,RAB!$C$14:$C$82,C1146)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SUMIFS(RAB!$F$14:$F$82,RAB!$C$14:$C$82,C1147)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SUMIFS(RAB!$F$14:$F$82,RAB!$C$14:$C$82,C1148)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SUMIFS(RAB!$F$14:$F$82,RAB!$C$14:$C$82,C1149)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SUMIFS(RAB!$F$14:$F$82,RAB!$C$14:$C$82,C1150)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SUMIFS(RAB!$F$14:$F$82,RAB!$C$14:$C$82,C1151)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SUMIFS(RAB!$F$14:$F$82,RAB!$C$14:$C$82,C1152)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SUMIFS(RAB!$F$14:$F$82,RAB!$C$14:$C$82,C1153)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SUMIFS(RAB!$F$14:$F$82,RAB!$C$14:$C$82,C1154)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SUMIFS(RAB!$F$14:$F$82,RAB!$C$14:$C$82,C1155)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SUMIFS(RAB!$F$14:$F$82,RAB!$C$14:$C$82,C1156)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SUMIFS(RAB!$F$14:$F$82,RAB!$C$14:$C$82,C1157)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SUMIFS(RAB!$F$14:$F$82,RAB!$C$14:$C$82,C1158)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SUMIFS(RAB!$F$14:$F$82,RAB!$C$14:$C$82,C1159)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SUMIFS(RAB!$F$14:$F$82,RAB!$C$14:$C$82,C1160)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SUMIFS(RAB!$F$14:$F$82,RAB!$C$14:$C$82,C1161)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SUMIFS(RAB!$F$14:$F$82,RAB!$C$14:$C$82,C1162)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SUMIFS(RAB!$F$14:$F$82,RAB!$C$14:$C$82,C1163)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SUMIFS(RAB!$F$14:$F$82,RAB!$C$14:$C$82,C1164)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SUMIFS(RAB!$F$14:$F$82,RAB!$C$14:$C$82,C1165)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SUMIFS(RAB!$F$14:$F$82,RAB!$C$14:$C$82,C1166)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SUMIFS(RAB!$F$14:$F$82,RAB!$C$14:$C$82,C1167)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SUMIFS(RAB!$F$14:$F$82,RAB!$C$14:$C$82,C1168)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SUMIFS(RAB!$F$14:$F$82,RAB!$C$14:$C$82,C1169)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SUMIFS(RAB!$F$14:$F$82,RAB!$C$14:$C$82,C1170)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SUMIFS(RAB!$F$14:$F$82,RAB!$C$14:$C$82,C1171)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SUMIFS(RAB!$F$14:$F$82,RAB!$C$14:$C$82,C1172)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SUMIFS(RAB!$F$14:$F$82,RAB!$C$14:$C$82,C1173)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SUMIFS(RAB!$F$14:$F$82,RAB!$C$14:$C$82,C1174)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SUMIFS(RAB!$F$14:$F$82,RAB!$C$14:$C$82,C1175)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SUMIFS(RAB!$F$14:$F$82,RAB!$C$14:$C$82,C1176)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SUMIFS(RAB!$F$14:$F$82,RAB!$C$14:$C$82,C1177)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SUMIFS(RAB!$F$14:$F$82,RAB!$C$14:$C$82,C1178)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SUMIFS(RAB!$F$14:$F$82,RAB!$C$14:$C$82,C1179)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SUMIFS(RAB!$F$14:$F$82,RAB!$C$14:$C$82,C1180)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SUMIFS(RAB!$F$14:$F$82,RAB!$C$14:$C$82,C1181)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SUMIFS(RAB!$F$14:$F$82,RAB!$C$14:$C$82,C1182)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SUMIFS(RAB!$F$14:$F$82,RAB!$C$14:$C$82,C1183)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SUMIFS(RAB!$F$14:$F$82,RAB!$C$14:$C$82,C1184)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SUMIFS(RAB!$F$14:$F$82,RAB!$C$14:$C$82,C1185)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SUMIFS(RAB!$F$14:$F$82,RAB!$C$14:$C$82,C1186)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SUMIFS(RAB!$F$14:$F$82,RAB!$C$14:$C$82,C1187)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SUMIFS(RAB!$F$14:$F$82,RAB!$C$14:$C$82,C1188)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SUMIFS(RAB!$F$14:$F$82,RAB!$C$14:$C$82,C1189)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SUMIFS(RAB!$F$14:$F$82,RAB!$C$14:$C$82,C1190)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SUMIFS(RAB!$F$14:$F$82,RAB!$C$14:$C$82,C1191)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SUMIFS(RAB!$F$14:$F$82,RAB!$C$14:$C$82,C1192)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SUMIFS(RAB!$F$14:$F$82,RAB!$C$14:$C$82,C1193)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SUMIFS(RAB!$F$14:$F$82,RAB!$C$14:$C$82,C1194)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SUMIFS(RAB!$F$14:$F$82,RAB!$C$14:$C$82,C1195)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SUMIFS(RAB!$F$14:$F$82,RAB!$C$14:$C$82,C1196)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SUMIFS(RAB!$F$14:$F$82,RAB!$C$14:$C$82,C1197)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SUMIFS(RAB!$F$14:$F$82,RAB!$C$14:$C$82,C1198)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SUMIFS(RAB!$F$14:$F$82,RAB!$C$14:$C$82,C1199)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SUMIFS(RAB!$F$14:$F$82,RAB!$C$14:$C$82,C1200)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SUMIFS(RAB!$F$14:$F$82,RAB!$C$14:$C$82,C1201)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SUMIFS(RAB!$F$14:$F$82,RAB!$C$14:$C$82,C1202)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SUMIFS(RAB!$F$14:$F$82,RAB!$C$14:$C$82,C1203)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SUMIFS(RAB!$F$14:$F$82,RAB!$C$14:$C$82,C1204)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SUMIFS(RAB!$F$14:$F$82,RAB!$C$14:$C$82,C1205)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SUMIFS(RAB!$F$14:$F$82,RAB!$C$14:$C$82,C1206)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SUMIFS(RAB!$F$14:$F$82,RAB!$C$14:$C$82,C1207)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SUMIFS(RAB!$F$14:$F$82,RAB!$C$14:$C$82,C1208)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SUMIFS(RAB!$F$14:$F$82,RAB!$C$14:$C$82,C1209)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SUMIFS(RAB!$F$14:$F$82,RAB!$C$14:$C$82,C1210)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SUMIFS(RAB!$F$14:$F$82,RAB!$C$14:$C$82,C1211)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SUMIFS(RAB!$F$14:$F$82,RAB!$C$14:$C$82,C1212)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SUMIFS(RAB!$F$14:$F$82,RAB!$C$14:$C$82,C1213)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SUMIFS(RAB!$F$14:$F$82,RAB!$C$14:$C$82,C1214)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SUMIFS(RAB!$F$14:$F$82,RAB!$C$14:$C$82,C1215)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SUMIFS(RAB!$F$14:$F$82,RAB!$C$14:$C$82,C1216)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SUMIFS(RAB!$F$14:$F$82,RAB!$C$14:$C$82,C1217)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SUMIFS(RAB!$F$14:$F$82,RAB!$C$14:$C$82,C1218)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SUMIFS(RAB!$F$14:$F$82,RAB!$C$14:$C$82,C1219)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SUMIFS(RAB!$F$14:$F$82,RAB!$C$14:$C$82,C1220)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SUMIFS(RAB!$F$14:$F$82,RAB!$C$14:$C$82,C1221)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SUMIFS(RAB!$F$14:$F$82,RAB!$C$14:$C$82,C1222)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SUMIFS(RAB!$F$14:$F$82,RAB!$C$14:$C$82,C1223)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SUMIFS(RAB!$F$14:$F$82,RAB!$C$14:$C$82,C1224)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SUMIFS(RAB!$F$14:$F$82,RAB!$C$14:$C$82,C1225)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SUMIFS(RAB!$F$14:$F$82,RAB!$C$14:$C$82,C1226)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SUMIFS(RAB!$F$14:$F$82,RAB!$C$14:$C$82,C1227)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SUMIFS(RAB!$F$14:$F$82,RAB!$C$14:$C$82,C1228)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SUMIFS(RAB!$F$14:$F$82,RAB!$C$14:$C$82,C1229)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SUMIFS(RAB!$F$14:$F$82,RAB!$C$14:$C$82,C1230)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SUMIFS(RAB!$F$14:$F$82,RAB!$C$14:$C$82,C1231)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SUMIFS(RAB!$F$14:$F$82,RAB!$C$14:$C$82,C1232)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SUMIFS(RAB!$F$14:$F$82,RAB!$C$14:$C$82,C1233)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SUMIFS(RAB!$F$14:$F$82,RAB!$C$14:$C$82,C1234)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SUMIFS(RAB!$F$14:$F$82,RAB!$C$14:$C$82,C1235)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SUMIFS(RAB!$F$14:$F$82,RAB!$C$14:$C$82,C1236)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SUMIFS(RAB!$F$14:$F$82,RAB!$C$14:$C$82,C1237)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SUMIFS(RAB!$F$14:$F$82,RAB!$C$14:$C$82,C1238)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SUMIFS(RAB!$F$14:$F$82,RAB!$C$14:$C$82,C1239)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SUMIFS(RAB!$F$14:$F$82,RAB!$C$14:$C$82,C1240)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SUMIFS(RAB!$F$14:$F$82,RAB!$C$14:$C$82,C1241)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SUMIFS(RAB!$F$14:$F$82,RAB!$C$14:$C$82,C1242)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SUMIFS(RAB!$F$14:$F$82,RAB!$C$14:$C$82,C1243)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SUMIFS(RAB!$F$14:$F$82,RAB!$C$14:$C$82,C1244)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SUMIFS(RAB!$F$14:$F$82,RAB!$C$14:$C$82,C1245)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SUMIFS(RAB!$F$14:$F$82,RAB!$C$14:$C$82,C1246)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SUMIFS(RAB!$F$14:$F$82,RAB!$C$14:$C$82,C1247)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SUMIFS(RAB!$F$14:$F$82,RAB!$C$14:$C$82,C1248)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SUMIFS(RAB!$F$14:$F$82,RAB!$C$14:$C$82,C1249)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SUMIFS(RAB!$F$14:$F$82,RAB!$C$14:$C$82,C1250)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SUMIFS(RAB!$F$14:$F$82,RAB!$C$14:$C$82,C1251)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SUMIFS(RAB!$F$14:$F$82,RAB!$C$14:$C$82,C1252)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SUMIFS(RAB!$F$14:$F$82,RAB!$C$14:$C$82,C1253)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SUMIFS(RAB!$F$14:$F$82,RAB!$C$14:$C$82,C1254)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SUMIFS(RAB!$F$14:$F$82,RAB!$C$14:$C$82,C1255)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SUMIFS(RAB!$F$14:$F$82,RAB!$C$14:$C$82,C1256)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SUMIFS(RAB!$F$14:$F$82,RAB!$C$14:$C$82,C1257)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SUMIFS(RAB!$F$14:$F$82,RAB!$C$14:$C$82,C1258)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SUMIFS(RAB!$F$14:$F$82,RAB!$C$14:$C$82,C1259)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SUMIFS(RAB!$F$14:$F$82,RAB!$C$14:$C$82,C1260)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SUMIFS(RAB!$F$14:$F$82,RAB!$C$14:$C$82,C1261)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SUMIFS(RAB!$F$14:$F$82,RAB!$C$14:$C$82,C1262)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SUMIFS(RAB!$F$14:$F$82,RAB!$C$14:$C$82,C1263)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SUMIFS(RAB!$F$14:$F$82,RAB!$C$14:$C$82,C1264)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SUMIFS(RAB!$F$14:$F$82,RAB!$C$14:$C$82,C1265)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SUMIFS(RAB!$F$14:$F$82,RAB!$C$14:$C$82,C1266)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SUMIFS(RAB!$F$14:$F$82,RAB!$C$14:$C$82,C1267)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SUMIFS(RAB!$F$14:$F$82,RAB!$C$14:$C$82,C1268)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SUMIFS(RAB!$F$14:$F$82,RAB!$C$14:$C$82,C1269)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SUMIFS(RAB!$F$14:$F$82,RAB!$C$14:$C$82,C1270)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SUMIFS(RAB!$F$14:$F$82,RAB!$C$14:$C$82,C1271)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SUMIFS(RAB!$F$14:$F$82,RAB!$C$14:$C$82,C1272)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SUMIFS(RAB!$F$14:$F$82,RAB!$C$14:$C$82,C1273)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SUMIFS(RAB!$F$14:$F$82,RAB!$C$14:$C$82,C1274)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SUMIFS(RAB!$F$14:$F$82,RAB!$C$14:$C$82,C1275)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SUMIFS(RAB!$F$14:$F$82,RAB!$C$14:$C$82,C1276)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SUMIFS(RAB!$F$14:$F$82,RAB!$C$14:$C$82,C1277)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SUMIFS(RAB!$F$14:$F$82,RAB!$C$14:$C$82,C1278)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SUMIFS(RAB!$F$14:$F$82,RAB!$C$14:$C$82,C1279)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SUMIFS(RAB!$F$14:$F$82,RAB!$C$14:$C$82,C1280)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SUMIFS(RAB!$F$14:$F$82,RAB!$C$14:$C$82,C1281)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SUMIFS(RAB!$F$14:$F$82,RAB!$C$14:$C$82,C1282)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SUMIFS(RAB!$F$14:$F$82,RAB!$C$14:$C$82,C1283)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SUMIFS(RAB!$F$14:$F$82,RAB!$C$14:$C$82,C1284)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SUMIFS(RAB!$F$14:$F$82,RAB!$C$14:$C$82,C1285)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SUMIFS(RAB!$F$14:$F$82,RAB!$C$14:$C$82,C1286)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SUMIFS(RAB!$F$14:$F$82,RAB!$C$14:$C$82,C1287)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SUMIFS(RAB!$F$14:$F$82,RAB!$C$14:$C$82,C1288)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SUMIFS(RAB!$F$14:$F$82,RAB!$C$14:$C$82,C1289)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SUMIFS(RAB!$F$14:$F$82,RAB!$C$14:$C$82,C1290)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SUMIFS(RAB!$F$14:$F$82,RAB!$C$14:$C$82,C1291)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SUMIFS(RAB!$F$14:$F$82,RAB!$C$14:$C$82,C1292)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SUMIFS(RAB!$F$14:$F$82,RAB!$C$14:$C$82,C1293)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SUMIFS(RAB!$F$14:$F$82,RAB!$C$14:$C$82,C1294)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SUMIFS(RAB!$F$14:$F$82,RAB!$C$14:$C$82,C1295)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SUMIFS(RAB!$F$14:$F$82,RAB!$C$14:$C$82,C1296)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SUMIFS(RAB!$F$14:$F$82,RAB!$C$14:$C$82,C1297)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SUMIFS(RAB!$F$14:$F$82,RAB!$C$14:$C$82,C1298)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SUMIFS(RAB!$F$14:$F$82,RAB!$C$14:$C$82,C1299)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SUMIFS(RAB!$F$14:$F$82,RAB!$C$14:$C$82,C1300)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SUMIFS(RAB!$F$14:$F$82,RAB!$C$14:$C$82,C1301)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SUMIFS(RAB!$F$14:$F$82,RAB!$C$14:$C$82,C1302)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SUMIFS(RAB!$F$14:$F$82,RAB!$C$14:$C$82,C1303)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SUMIFS(RAB!$F$14:$F$82,RAB!$C$14:$C$82,C1304)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SUMIFS(RAB!$F$14:$F$82,RAB!$C$14:$C$82,C1305)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SUMIFS(RAB!$F$14:$F$82,RAB!$C$14:$C$82,C1306)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SUMIFS(RAB!$F$14:$F$82,RAB!$C$14:$C$82,C1307)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SUMIFS(RAB!$F$14:$F$82,RAB!$C$14:$C$82,C1308)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SUMIFS(RAB!$F$14:$F$82,RAB!$C$14:$C$82,C1309)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SUMIFS(RAB!$F$14:$F$82,RAB!$C$14:$C$82,C1310)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SUMIFS(RAB!$F$14:$F$82,RAB!$C$14:$C$82,C1311)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SUMIFS(RAB!$F$14:$F$82,RAB!$C$14:$C$82,C1312)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SUMIFS(RAB!$F$14:$F$82,RAB!$C$14:$C$82,C1313)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SUMIFS(RAB!$F$14:$F$82,RAB!$C$14:$C$82,C1314)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SUMIFS(RAB!$F$14:$F$82,RAB!$C$14:$C$82,C1315)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SUMIFS(RAB!$F$14:$F$82,RAB!$C$14:$C$82,C1316)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SUMIFS(RAB!$F$14:$F$82,RAB!$C$14:$C$82,C1317)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SUMIFS(RAB!$F$14:$F$82,RAB!$C$14:$C$82,C1318)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SUMIFS(RAB!$F$14:$F$82,RAB!$C$14:$C$82,C1319)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SUMIFS(RAB!$F$14:$F$82,RAB!$C$14:$C$82,C1320)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3" priority="5" operator="equal">
      <formula>0</formula>
    </cfRule>
  </conditionalFormatting>
  <conditionalFormatting sqref="A10:L65536">
    <cfRule type="cellIs" dxfId="52" priority="1" operator="equal">
      <formula>0</formula>
    </cfRule>
  </conditionalFormatting>
  <conditionalFormatting sqref="C12:C711">
    <cfRule type="cellIs" dxfId="51" priority="66" stopIfTrue="1" operator="equal">
      <formula>0</formula>
    </cfRule>
  </conditionalFormatting>
  <conditionalFormatting sqref="E712:E65536">
    <cfRule type="cellIs" dxfId="50" priority="16" stopIfTrue="1" operator="equal">
      <formula>0</formula>
    </cfRule>
  </conditionalFormatting>
  <conditionalFormatting sqref="G1:G11 E6:E11 E1:E3 H7 H10:H11 F10:F711 G712:G65536">
    <cfRule type="cellIs" dxfId="49" priority="69" stopIfTrue="1" operator="equal">
      <formula>0</formula>
    </cfRule>
  </conditionalFormatting>
  <conditionalFormatting sqref="G12:H711">
    <cfRule type="cellIs" dxfId="48" priority="12" stopIfTrue="1" operator="equal">
      <formula>0</formula>
    </cfRule>
  </conditionalFormatting>
  <conditionalFormatting sqref="I7:K7">
    <cfRule type="cellIs" dxfId="47" priority="4" stopIfTrue="1" operator="equal">
      <formula>0</formula>
    </cfRule>
  </conditionalFormatting>
  <conditionalFormatting sqref="I10:L711">
    <cfRule type="cellIs" dxfId="46" priority="2" stopIfTrue="1" operator="equal">
      <formula>0</formula>
    </cfRule>
  </conditionalFormatting>
  <conditionalFormatting sqref="L1:L6">
    <cfRule type="cellIs" dxfId="45" priority="10" operator="equal">
      <formula>0</formula>
    </cfRule>
  </conditionalFormatting>
  <conditionalFormatting sqref="M1:IV1048576 A8:G9">
    <cfRule type="cellIs" dxfId="44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7" sqref="D27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1" t="s">
        <v>1127</v>
      </c>
      <c r="C4" s="541"/>
      <c r="D4" s="541"/>
      <c r="E4" s="541"/>
      <c r="F4" s="541"/>
      <c r="G4" s="541"/>
      <c r="H4" s="541"/>
      <c r="I4" s="541"/>
      <c r="J4" s="541"/>
      <c r="K4" s="54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4" t="str">
        <f>RAB!G6</f>
        <v>IOH TLOGODOWO WONOSALAM</v>
      </c>
      <c r="H6" s="534"/>
      <c r="I6" s="534"/>
      <c r="J6" s="534"/>
      <c r="K6" s="534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TLOGODOWO, KEC WONOSALAM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2" t="s">
        <v>0</v>
      </c>
      <c r="C11" s="544" t="s">
        <v>1</v>
      </c>
      <c r="D11" s="547" t="s">
        <v>42</v>
      </c>
      <c r="E11" s="547" t="s">
        <v>43</v>
      </c>
      <c r="F11" s="547" t="s">
        <v>2</v>
      </c>
      <c r="G11" s="548" t="s">
        <v>41</v>
      </c>
      <c r="H11" s="547" t="s">
        <v>3</v>
      </c>
      <c r="I11" s="547"/>
      <c r="J11" s="547"/>
      <c r="K11" s="551"/>
      <c r="M11" s="33"/>
      <c r="N11" s="33"/>
      <c r="O11" s="33"/>
      <c r="P11" s="33"/>
      <c r="R11" s="34"/>
      <c r="S11" s="74"/>
      <c r="T11" s="74"/>
    </row>
    <row r="12" spans="1:21" ht="15" customHeight="1">
      <c r="B12" s="543"/>
      <c r="C12" s="545"/>
      <c r="D12" s="537"/>
      <c r="E12" s="537"/>
      <c r="F12" s="537"/>
      <c r="G12" s="549"/>
      <c r="H12" s="539" t="s">
        <v>46</v>
      </c>
      <c r="I12" s="539" t="s">
        <v>5</v>
      </c>
      <c r="J12" s="537" t="s">
        <v>47</v>
      </c>
      <c r="K12" s="53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3"/>
      <c r="C13" s="546"/>
      <c r="D13" s="537"/>
      <c r="E13" s="537"/>
      <c r="F13" s="537"/>
      <c r="G13" s="550"/>
      <c r="H13" s="540"/>
      <c r="I13" s="540"/>
      <c r="J13" s="537"/>
      <c r="K13" s="53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2</v>
      </c>
      <c r="G16" s="41">
        <f ca="1">IF(ISERROR(OFFSET('HARGA SATUAN'!$I$6,MATCH(C16,'HARGA SATUAN'!$C$7:$C$1492,0),0)),"",OFFSET('HARGA SATUAN'!$I$6,MATCH(C16,'HARGA SATUAN'!$C$7:$C$1492,0),0))</f>
        <v>3382600</v>
      </c>
      <c r="H16" s="42">
        <f t="shared" ca="1" si="1"/>
        <v>0</v>
      </c>
      <c r="I16" s="42">
        <f t="shared" ca="1" si="2"/>
        <v>6765200</v>
      </c>
      <c r="J16" s="42">
        <f t="shared" ca="1" si="3"/>
        <v>0</v>
      </c>
      <c r="K16" s="43">
        <f t="shared" ca="1" si="0"/>
        <v>6765200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12M-200 daN+E</v>
      </c>
      <c r="D17" s="101" t="str">
        <f ca="1">IF(ISERROR(OFFSET('HARGA SATUAN'!$D$6,MATCH(C17,'HARGA SATUAN'!$C$7:$C$1492,0),0)),"",OFFSET('HARGA SATUAN'!$D$6,MATCH(C17,'HARGA SATUAN'!$C$7:$C$1492,0),0))</f>
        <v>HDW</v>
      </c>
      <c r="E17" s="101" t="str">
        <f ca="1">IF(B17="+","Unit",IF(ISERROR(OFFSET('HARGA SATUAN'!$E$6,MATCH(C17,'HARGA SATUAN'!$C$7:$C$1492,0),0)),"",OFFSET('HARGA SATUAN'!$E$6,MATCH(C17,'HARGA SATUAN'!$C$7:$C$1492,0),0)))</f>
        <v>Btg</v>
      </c>
      <c r="F17" s="101">
        <f t="shared" ca="1" si="5"/>
        <v>1</v>
      </c>
      <c r="G17" s="41">
        <f ca="1">IF(ISERROR(OFFSET('HARGA SATUAN'!$I$6,MATCH(C17,'HARGA SATUAN'!$C$7:$C$1492,0),0)),"",OFFSET('HARGA SATUAN'!$I$6,MATCH(C17,'HARGA SATUAN'!$C$7:$C$1492,0),0))</f>
        <v>5800000</v>
      </c>
      <c r="H17" s="42">
        <f t="shared" ca="1" si="1"/>
        <v>0</v>
      </c>
      <c r="I17" s="42">
        <f t="shared" ca="1" si="2"/>
        <v>5800000</v>
      </c>
      <c r="J17" s="42">
        <f t="shared" ca="1" si="3"/>
        <v>0</v>
      </c>
      <c r="K17" s="43">
        <f t="shared" ca="1" si="0"/>
        <v>5800000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5" t="s">
        <v>1008</v>
      </c>
      <c r="D38" s="535"/>
      <c r="E38" s="535"/>
      <c r="F38" s="535"/>
      <c r="G38" s="77" t="s">
        <v>9</v>
      </c>
      <c r="H38" s="55">
        <f ca="1">SUM(H14:H37)</f>
        <v>0</v>
      </c>
      <c r="I38" s="55">
        <f ca="1">SUM(I14:I37)</f>
        <v>12565200</v>
      </c>
      <c r="J38" s="55">
        <f ca="1">SUM(J14:J37)</f>
        <v>0</v>
      </c>
      <c r="K38" s="55">
        <f ca="1">SUM(K14:K37)</f>
        <v>12565200</v>
      </c>
      <c r="L38" s="44"/>
      <c r="R38" s="99"/>
      <c r="S38" s="99"/>
      <c r="T38" s="99"/>
    </row>
    <row r="39" spans="1:20" s="36" customFormat="1">
      <c r="A39" s="30"/>
      <c r="B39" s="56"/>
      <c r="C39" s="536" t="s">
        <v>462</v>
      </c>
      <c r="D39" s="536"/>
      <c r="E39" s="536"/>
      <c r="F39" s="536"/>
      <c r="G39" s="59" t="s">
        <v>9</v>
      </c>
      <c r="H39" s="60">
        <f ca="1">H38*0.1</f>
        <v>0</v>
      </c>
      <c r="I39" s="60">
        <f ca="1">I38*0.1</f>
        <v>1256520</v>
      </c>
      <c r="J39" s="60">
        <f ca="1">J38*0.1</f>
        <v>0</v>
      </c>
      <c r="K39" s="60">
        <f ca="1">K38*0.1</f>
        <v>1256520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5" t="s">
        <v>463</v>
      </c>
      <c r="D40" s="525"/>
      <c r="E40" s="525"/>
      <c r="F40" s="525"/>
      <c r="G40" s="61" t="s">
        <v>9</v>
      </c>
      <c r="H40" s="78">
        <f ca="1">SUM(H38:H39)</f>
        <v>0</v>
      </c>
      <c r="I40" s="78">
        <f ca="1">SUM(I38:I39)</f>
        <v>13821720</v>
      </c>
      <c r="J40" s="61">
        <f ca="1">SUM(J38:J39)</f>
        <v>0</v>
      </c>
      <c r="K40" s="61">
        <f ca="1">SUM(K38:K39)</f>
        <v>13821720</v>
      </c>
      <c r="L40" s="44"/>
      <c r="R40" s="99"/>
      <c r="S40" s="99"/>
      <c r="T40" s="99"/>
    </row>
    <row r="41" spans="1:20" s="36" customFormat="1">
      <c r="A41" s="30"/>
      <c r="B41" s="528" t="e">
        <f ca="1">"Terbilang : ( "&amp;L42&amp;" Rupiah )"</f>
        <v>#NAME?</v>
      </c>
      <c r="C41" s="529"/>
      <c r="D41" s="529"/>
      <c r="E41" s="529"/>
      <c r="F41" s="529"/>
      <c r="G41" s="529"/>
      <c r="H41" s="529"/>
      <c r="I41" s="529"/>
      <c r="J41" s="529"/>
      <c r="K41" s="530"/>
      <c r="L41" s="44"/>
      <c r="R41" s="58"/>
      <c r="S41" s="58"/>
      <c r="T41" s="58"/>
    </row>
    <row r="42" spans="1:20" s="36" customFormat="1">
      <c r="A42" s="30"/>
      <c r="B42" s="531"/>
      <c r="C42" s="532"/>
      <c r="D42" s="532"/>
      <c r="E42" s="532"/>
      <c r="F42" s="532"/>
      <c r="G42" s="532"/>
      <c r="H42" s="532"/>
      <c r="I42" s="532"/>
      <c r="J42" s="532"/>
      <c r="K42" s="533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6"/>
      <c r="I45" s="526"/>
      <c r="J45" s="527"/>
      <c r="K45" s="527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6"/>
      <c r="I46" s="526"/>
      <c r="J46" s="527"/>
      <c r="K46" s="527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6"/>
      <c r="I47" s="526"/>
      <c r="J47" s="527"/>
      <c r="K47" s="527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6"/>
      <c r="I52" s="526"/>
      <c r="J52" s="527"/>
      <c r="K52" s="527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SUMIFS(RAB!$F$14:$F$82,RAB!$C$14:$C$82,'REKAP TIANG'!C57)</f>
        <v>2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SUMIFS(RAB!$F$14:$F$82,RAB!$C$14:$C$82,'REKAP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SUMIFS(RAB!$F$14:$F$82,RAB!$C$14:$C$82,'REKAP TIANG'!C59)</f>
        <v>1</v>
      </c>
      <c r="E59" s="24">
        <f t="shared" ca="1" si="12"/>
        <v>1</v>
      </c>
      <c r="F59" s="24">
        <f ca="1">IF(D59=0,0,SUM($E$56:E59))</f>
        <v>2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SUMIFS(RAB!$F$14:$F$82,RAB!$C$14:$C$82,'REKAP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SUMIFS(RAB!$F$14:$F$82,RAB!$C$14:$C$82,'REKAP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SUMIFS(RAB!$F$14:$F$82,RAB!$C$14:$C$82,'REKAP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SUMIFS(RAB!$F$14:$F$82,RAB!$C$14:$C$82,'REKAP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SUMIFS(RAB!$F$14:$F$82,RAB!$C$14:$C$82,'REKAP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SUMIFS(RAB!$F$14:$F$82,RAB!$C$14:$C$82,'REKAP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SUMIFS(RAB!$F$14:$F$82,RAB!$C$14:$C$82,'REKAP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SUMIFS(RAB!$F$14:$F$82,RAB!$C$14:$C$82,'REKAP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SUMIFS(RAB!$F$14:$F$82,RAB!$C$14:$C$82,'REKAP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SUMIFS(RAB!$F$14:$F$82,RAB!$C$14:$C$82,'REKAP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SUMIFS(RAB!$F$14:$F$82,RAB!$C$14:$C$82,'REKAP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SUMIFS(RAB!$F$14:$F$82,RAB!$C$14:$C$82,'REKAP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SUMIFS(RAB!$F$14:$F$82,RAB!$C$14:$C$82,'REKAP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SUMIFS(RAB!$F$14:$F$82,RAB!$C$14:$C$82,'REKAP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SUMIFS(RAB!$F$14:$F$82,RAB!$C$14:$C$82,'REKAP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SUMIFS(RAB!$F$14:$F$82,RAB!$C$14:$C$82,'REKAP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SUMIFS(RAB!$F$14:$F$82,RAB!$C$14:$C$82,'REKAP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3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2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1" t="s">
        <v>1034</v>
      </c>
      <c r="C4" s="541"/>
      <c r="D4" s="541"/>
      <c r="E4" s="541"/>
      <c r="F4" s="541"/>
      <c r="G4" s="541"/>
      <c r="H4" s="541"/>
      <c r="I4" s="541"/>
      <c r="J4" s="541"/>
      <c r="K4" s="54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4" t="str">
        <f>RAB!G6</f>
        <v>IOH TLOGODOWO WONOSALAM</v>
      </c>
      <c r="H6" s="534"/>
      <c r="I6" s="534"/>
      <c r="J6" s="534"/>
      <c r="K6" s="534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TLOGODOWO, KEC WONOSALAM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2" t="s">
        <v>0</v>
      </c>
      <c r="C11" s="544" t="s">
        <v>1</v>
      </c>
      <c r="D11" s="547" t="s">
        <v>42</v>
      </c>
      <c r="E11" s="547" t="s">
        <v>43</v>
      </c>
      <c r="F11" s="547" t="s">
        <v>2</v>
      </c>
      <c r="G11" s="548" t="s">
        <v>41</v>
      </c>
      <c r="H11" s="547" t="s">
        <v>3</v>
      </c>
      <c r="I11" s="547"/>
      <c r="J11" s="547"/>
      <c r="K11" s="551"/>
      <c r="M11" s="33"/>
      <c r="N11" s="33"/>
      <c r="O11" s="33"/>
      <c r="P11" s="33"/>
      <c r="R11" s="34"/>
      <c r="S11" s="74"/>
      <c r="T11" s="74"/>
    </row>
    <row r="12" spans="1:21" ht="15" customHeight="1">
      <c r="B12" s="543"/>
      <c r="C12" s="545"/>
      <c r="D12" s="537"/>
      <c r="E12" s="537"/>
      <c r="F12" s="537"/>
      <c r="G12" s="549"/>
      <c r="H12" s="539" t="s">
        <v>46</v>
      </c>
      <c r="I12" s="539" t="s">
        <v>5</v>
      </c>
      <c r="J12" s="537" t="s">
        <v>47</v>
      </c>
      <c r="K12" s="53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3"/>
      <c r="C13" s="546"/>
      <c r="D13" s="537"/>
      <c r="E13" s="537"/>
      <c r="F13" s="537"/>
      <c r="G13" s="550"/>
      <c r="H13" s="540"/>
      <c r="I13" s="540"/>
      <c r="J13" s="537"/>
      <c r="K13" s="53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1P; 2W; 230 V; 5(100) A; kls 1 termasuk modem 3G/4G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1740750</v>
      </c>
      <c r="H16" s="42">
        <f t="shared" ca="1" si="1"/>
        <v>1740750</v>
      </c>
      <c r="I16" s="42">
        <f t="shared" ca="1" si="2"/>
        <v>0</v>
      </c>
      <c r="J16" s="42">
        <f t="shared" ca="1" si="3"/>
        <v>0</v>
      </c>
      <c r="K16" s="43">
        <f t="shared" ca="1" si="0"/>
        <v>1740750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NFA2X-T 2 x 70 + N 70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01">
        <f t="shared" ca="1" si="6"/>
        <v>100</v>
      </c>
      <c r="G18" s="41">
        <f ca="1">IF(ISERROR(OFFSET('HARGA SATUAN'!$I$6,MATCH(C18,'HARGA SATUAN'!$C$7:$C$1492,0),0)),"",OFFSET('HARGA SATUAN'!$I$6,MATCH(C18,'HARGA SATUAN'!$C$7:$C$1492,0),0))</f>
        <v>53300</v>
      </c>
      <c r="H18" s="42">
        <f t="shared" ca="1" si="1"/>
        <v>5330000</v>
      </c>
      <c r="I18" s="42">
        <f t="shared" ca="1" si="2"/>
        <v>0</v>
      </c>
      <c r="J18" s="42">
        <f t="shared" ca="1" si="3"/>
        <v>0</v>
      </c>
      <c r="K18" s="43">
        <f t="shared" ca="1" si="0"/>
        <v>5330000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NFA2X 2 x 16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01">
        <f t="shared" ca="1" si="6"/>
        <v>35</v>
      </c>
      <c r="G19" s="41">
        <f ca="1">IF(ISERROR(OFFSET('HARGA SATUAN'!$I$6,MATCH(C19,'HARGA SATUAN'!$C$7:$C$1492,0),0)),"",OFFSET('HARGA SATUAN'!$I$6,MATCH(C19,'HARGA SATUAN'!$C$7:$C$1492,0),0))</f>
        <v>6600</v>
      </c>
      <c r="H19" s="42">
        <f t="shared" ca="1" si="1"/>
        <v>231000</v>
      </c>
      <c r="I19" s="42">
        <f t="shared" ca="1" si="2"/>
        <v>0</v>
      </c>
      <c r="J19" s="42">
        <f t="shared" ca="1" si="3"/>
        <v>0</v>
      </c>
      <c r="K19" s="43">
        <f t="shared" ca="1" si="0"/>
        <v>231000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5" t="s">
        <v>1008</v>
      </c>
      <c r="D168" s="535"/>
      <c r="E168" s="535"/>
      <c r="F168" s="535"/>
      <c r="G168" s="77" t="s">
        <v>9</v>
      </c>
      <c r="H168" s="55">
        <f ca="1">SUM(H14:H167)</f>
        <v>7340750</v>
      </c>
      <c r="I168" s="55">
        <f ca="1">SUM(I14:I167)</f>
        <v>0</v>
      </c>
      <c r="J168" s="55">
        <f ca="1">SUM(J14:J167)</f>
        <v>0</v>
      </c>
      <c r="K168" s="55">
        <f ca="1">SUM(K14:K167)</f>
        <v>7340750</v>
      </c>
      <c r="L168" s="44"/>
      <c r="R168" s="99"/>
      <c r="S168" s="99"/>
      <c r="T168" s="99"/>
    </row>
    <row r="169" spans="1:20" s="36" customFormat="1">
      <c r="A169" s="30"/>
      <c r="B169" s="56"/>
      <c r="C169" s="536" t="s">
        <v>462</v>
      </c>
      <c r="D169" s="536"/>
      <c r="E169" s="536"/>
      <c r="F169" s="536"/>
      <c r="G169" s="59" t="s">
        <v>9</v>
      </c>
      <c r="H169" s="60">
        <f ca="1">H168*0.1</f>
        <v>734075</v>
      </c>
      <c r="I169" s="60">
        <f ca="1">I168*0.1</f>
        <v>0</v>
      </c>
      <c r="J169" s="60">
        <f ca="1">J168*0.1</f>
        <v>0</v>
      </c>
      <c r="K169" s="60">
        <f ca="1">K168*0.1</f>
        <v>734075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5" t="s">
        <v>463</v>
      </c>
      <c r="D170" s="525"/>
      <c r="E170" s="525"/>
      <c r="F170" s="525"/>
      <c r="G170" s="61" t="s">
        <v>9</v>
      </c>
      <c r="H170" s="78">
        <f ca="1">SUM(H168:H169)</f>
        <v>8074825</v>
      </c>
      <c r="I170" s="78">
        <f ca="1">SUM(I168:I169)</f>
        <v>0</v>
      </c>
      <c r="J170" s="61">
        <f ca="1">SUM(J168:J169)</f>
        <v>0</v>
      </c>
      <c r="K170" s="61">
        <f ca="1">SUM(K168:K169)</f>
        <v>8074825</v>
      </c>
      <c r="L170" s="44"/>
      <c r="R170" s="99"/>
      <c r="S170" s="99"/>
      <c r="T170" s="99"/>
    </row>
    <row r="171" spans="1:20" s="36" customFormat="1">
      <c r="A171" s="30"/>
      <c r="B171" s="528" t="e">
        <f ca="1">"Terbilang : ( "&amp;L172&amp;" Rupiah )"</f>
        <v>#NAME?</v>
      </c>
      <c r="C171" s="529"/>
      <c r="D171" s="529"/>
      <c r="E171" s="529"/>
      <c r="F171" s="529"/>
      <c r="G171" s="529"/>
      <c r="H171" s="529"/>
      <c r="I171" s="529"/>
      <c r="J171" s="529"/>
      <c r="K171" s="530"/>
      <c r="L171" s="44"/>
      <c r="R171" s="58"/>
      <c r="S171" s="58"/>
      <c r="T171" s="58"/>
    </row>
    <row r="172" spans="1:20" s="36" customFormat="1">
      <c r="A172" s="30"/>
      <c r="B172" s="531"/>
      <c r="C172" s="532"/>
      <c r="D172" s="532"/>
      <c r="E172" s="532"/>
      <c r="F172" s="532"/>
      <c r="G172" s="532"/>
      <c r="H172" s="532"/>
      <c r="I172" s="532"/>
      <c r="J172" s="532"/>
      <c r="K172" s="533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6"/>
      <c r="I175" s="526"/>
      <c r="J175" s="527"/>
      <c r="K175" s="527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6"/>
      <c r="I176" s="526"/>
      <c r="J176" s="527"/>
      <c r="K176" s="527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6"/>
      <c r="I177" s="526"/>
      <c r="J177" s="527"/>
      <c r="K177" s="527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6"/>
      <c r="I182" s="526"/>
      <c r="J182" s="527"/>
      <c r="K182" s="527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SUMIFS(RAB!$F$14:$F$82,RAB!$C$14:$C$82,C224)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SUMIFS(RAB!$F$14:$F$82,RAB!$C$14:$C$82,C225)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SUMIFS(RAB!$F$14:$F$82,RAB!$C$14:$C$82,C226)</f>
        <v>1</v>
      </c>
      <c r="E226" s="24">
        <f t="shared" ca="1" si="21"/>
        <v>1</v>
      </c>
      <c r="F226" s="24">
        <f ca="1">IF(D226=0,0,SUM($E$223:E226))</f>
        <v>1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SUMIFS(RAB!$F$14:$F$82,RAB!$C$14:$C$82,C227)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SUMIFS(RAB!$F$14:$F$82,RAB!$C$14:$C$82,C228)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SUMIFS(RAB!$F$14:$F$82,RAB!$C$14:$C$82,C229)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SUMIFS(RAB!$F$14:$F$82,RAB!$C$14:$C$82,C230)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SUMIFS(RAB!$F$14:$F$82,RAB!$C$14:$C$82,C231)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SUMIFS(RAB!$F$14:$F$82,RAB!$C$14:$C$82,C232)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SUMIFS(RAB!$F$14:$F$82,RAB!$C$14:$C$82,C233)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SUMIFS(RAB!$F$14:$F$82,RAB!$C$14:$C$82,C234)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SUMIFS(RAB!$F$14:$F$82,RAB!$C$14:$C$82,C235)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SUMIFS(RAB!$F$14:$F$82,RAB!$C$14:$C$82,C236)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SUMIFS(RAB!$F$14:$F$82,RAB!$C$14:$C$82,C237)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SUMIFS(RAB!$F$14:$F$82,RAB!$C$14:$C$82,C238)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SUMIFS(RAB!$F$14:$F$82,RAB!$C$14:$C$82,C239)</f>
        <v>1</v>
      </c>
      <c r="E239" s="24">
        <f t="shared" ca="1" si="21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SUMIFS(RAB!$F$14:$F$82,RAB!$C$14:$C$82,C240)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SUMIFS(RAB!$F$14:$F$82,RAB!$C$14:$C$82,C241)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SUMIFS(RAB!$F$14:$F$82,RAB!$C$14:$C$82,C242)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SUMIFS(RAB!$F$14:$F$82,RAB!$C$14:$C$82,C243)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SUMIFS(RAB!$F$14:$F$82,RAB!$C$14:$C$82,C244)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SUMIFS(RAB!$F$14:$F$82,RAB!$C$14:$C$82,C245)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SUMIFS(RAB!$F$14:$F$82,RAB!$C$14:$C$82,C246)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SUMIFS(RAB!$F$14:$F$82,RAB!$C$14:$C$82,C247)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SUMIFS(RAB!$F$14:$F$82,RAB!$C$14:$C$82,C248)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SUMIFS(RAB!$F$14:$F$82,RAB!$C$14:$C$82,C249)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SUMIFS(RAB!$F$14:$F$82,RAB!$C$14:$C$82,C250)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SUMIFS(RAB!$F$14:$F$82,RAB!$C$14:$C$82,C251)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SUMIFS(RAB!$F$14:$F$82,RAB!$C$14:$C$82,C252)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SUMIFS(RAB!$F$14:$F$82,RAB!$C$14:$C$82,C253)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SUMIFS(RAB!$F$14:$F$82,RAB!$C$14:$C$82,C254)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SUMIFS(RAB!$F$14:$F$82,RAB!$C$14:$C$82,C255)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SUMIFS(RAB!$F$14:$F$82,RAB!$C$14:$C$82,C256)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SUMIFS(RAB!$F$14:$F$82,RAB!$C$14:$C$82,C257)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SUMIFS(RAB!$F$14:$F$82,RAB!$C$14:$C$82,C258)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SUMIFS(RAB!$F$14:$F$82,RAB!$C$14:$C$82,C259)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SUMIFS(RAB!$F$14:$F$82,RAB!$C$14:$C$82,C260)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SUMIFS(RAB!$F$14:$F$82,RAB!$C$14:$C$82,C261)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SUMIFS(RAB!$F$14:$F$82,RAB!$C$14:$C$82,C262)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SUMIFS(RAB!$F$14:$F$82,RAB!$C$14:$C$82,C263)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SUMIFS(RAB!$F$14:$F$82,RAB!$C$14:$C$82,C264)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SUMIFS(RAB!$F$14:$F$82,RAB!$C$14:$C$82,C265)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SUMIFS(RAB!$F$14:$F$82,RAB!$C$14:$C$82,C266)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SUMIFS(RAB!$F$14:$F$82,RAB!$C$14:$C$82,C267)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SUMIFS(RAB!$F$14:$F$82,RAB!$C$14:$C$82,C268)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SUMIFS(RAB!$F$14:$F$82,RAB!$C$14:$C$82,C269)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SUMIFS(RAB!$F$14:$F$82,RAB!$C$14:$C$82,C270)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SUMIFS(RAB!$F$14:$F$82,RAB!$C$14:$C$82,C271)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SUMIFS(RAB!$F$14:$F$82,RAB!$C$14:$C$82,C272)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SUMIFS(RAB!$F$14:$F$82,RAB!$C$14:$C$82,C273)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SUMIFS(RAB!$F$14:$F$82,RAB!$C$14:$C$82,C274)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SUMIFS(RAB!$F$14:$F$82,RAB!$C$14:$C$82,C275)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SUMIFS(RAB!$F$14:$F$82,RAB!$C$14:$C$82,C276)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SUMIFS(RAB!$F$14:$F$82,RAB!$C$14:$C$82,C277)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SUMIFS(RAB!$F$14:$F$82,RAB!$C$14:$C$82,C278)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SUMIFS(RAB!$F$14:$F$82,RAB!$C$14:$C$82,C279)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SUMIFS(RAB!$F$14:$F$82,RAB!$C$14:$C$82,C280)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SUMIFS(RAB!$F$14:$F$82,RAB!$C$14:$C$82,C281)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SUMIFS(RAB!$F$14:$F$82,RAB!$C$14:$C$82,C282)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SUMIFS(RAB!$F$14:$F$82,RAB!$C$14:$C$82,C283)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SUMIFS(RAB!$F$14:$F$82,RAB!$C$14:$C$82,C284)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SUMIFS(RAB!$F$14:$F$82,RAB!$C$14:$C$82,C285)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SUMIFS(RAB!$F$14:$F$82,RAB!$C$14:$C$82,C286)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SUMIFS(RAB!$F$14:$F$82,RAB!$C$14:$C$82,C287)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SUMIFS(RAB!$F$14:$F$82,RAB!$C$14:$C$82,C288)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SUMIFS(RAB!$F$14:$F$82,RAB!$C$14:$C$82,C289)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SUMIFS(RAB!$F$14:$F$82,RAB!$C$14:$C$82,C290)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SUMIFS(RAB!$F$14:$F$82,RAB!$C$14:$C$82,C291)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SUMIFS(RAB!$F$14:$F$82,RAB!$C$14:$C$82,C292)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SUMIFS(RAB!$F$14:$F$82,RAB!$C$14:$C$82,C293)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SUMIFS(RAB!$F$14:$F$82,RAB!$C$14:$C$82,C294)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SUMIFS(RAB!$F$14:$F$82,RAB!$C$14:$C$82,C295)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SUMIFS(RAB!$F$14:$F$82,RAB!$C$14:$C$82,C296)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SUMIFS(RAB!$F$14:$F$82,RAB!$C$14:$C$82,C297)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SUMIFS(RAB!$F$14:$F$82,RAB!$C$14:$C$82,C298)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SUMIFS(RAB!$F$14:$F$82,RAB!$C$14:$C$82,C299)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SUMIFS(RAB!$F$14:$F$82,RAB!$C$14:$C$82,C300)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SUMIFS(RAB!$F$14:$F$82,RAB!$C$14:$C$82,C301)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SUMIFS(RAB!$F$14:$F$82,RAB!$C$14:$C$82,C302)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SUMIFS(RAB!$F$14:$F$82,RAB!$C$14:$C$82,C303)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SUMIFS(RAB!$F$14:$F$82,RAB!$C$14:$C$82,C304)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SUMIFS(RAB!$F$14:$F$82,RAB!$C$14:$C$82,C305)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SUMIFS(RAB!$F$14:$F$82,RAB!$C$14:$C$82,C306)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SUMIFS(RAB!$F$14:$F$82,RAB!$C$14:$C$82,C307)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SUMIFS(RAB!$F$14:$F$82,RAB!$C$14:$C$82,C308)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SUMIFS(RAB!$F$14:$F$82,RAB!$C$14:$C$82,C309)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SUMIFS(RAB!$F$14:$F$82,RAB!$C$14:$C$82,C310)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SUMIFS(RAB!$F$14:$F$82,RAB!$C$14:$C$82,C311)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SUMIFS(RAB!$F$14:$F$82,RAB!$C$14:$C$82,C312)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SUMIFS(RAB!$F$14:$F$82,RAB!$C$14:$C$82,C313)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SUMIFS(RAB!$F$14:$F$82,RAB!$C$14:$C$82,C314)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SUMIFS(RAB!$F$14:$F$82,RAB!$C$14:$C$82,C315)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SUMIFS(RAB!$F$14:$F$82,RAB!$C$14:$C$82,C316)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SUMIFS(RAB!$F$14:$F$82,RAB!$C$14:$C$82,C317)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SUMIFS(RAB!$F$14:$F$82,RAB!$C$14:$C$82,C318)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SUMIFS(RAB!$F$14:$F$82,RAB!$C$14:$C$82,C319)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SUMIFS(RAB!$F$14:$F$82,RAB!$C$14:$C$82,C320)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SUMIFS(RAB!$F$14:$F$82,RAB!$C$14:$C$82,C321)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SUMIFS(RAB!$F$14:$F$82,RAB!$C$14:$C$82,C322)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SUMIFS(RAB!$F$14:$F$82,RAB!$C$14:$C$82,C323)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SUMIFS(RAB!$F$14:$F$82,RAB!$C$14:$C$82,C324)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SUMIFS(RAB!$F$14:$F$82,RAB!$C$14:$C$82,C325)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SUMIFS(RAB!$F$14:$F$82,RAB!$C$14:$C$82,C326)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SUMIFS(RAB!$F$14:$F$82,RAB!$C$14:$C$82,C327)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SUMIFS(RAB!$F$14:$F$82,RAB!$C$14:$C$82,C328)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SUMIFS(RAB!$F$14:$F$82,RAB!$C$14:$C$82,C329)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SUMIFS(RAB!$F$14:$F$82,RAB!$C$14:$C$82,C330)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SUMIFS(RAB!$F$14:$F$82,RAB!$C$14:$C$82,C331)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SUMIFS(RAB!$F$14:$F$82,RAB!$C$14:$C$82,C332)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SUMIFS(RAB!$F$14:$F$82,RAB!$C$14:$C$82,C333)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SUMIFS(RAB!$F$14:$F$82,RAB!$C$14:$C$82,C334)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SUMIFS(RAB!$F$14:$F$82,RAB!$C$14:$C$82,C335)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SUMIFS(RAB!$F$14:$F$82,RAB!$C$14:$C$82,C336)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SUMIFS(RAB!$F$14:$F$82,RAB!$C$14:$C$82,C337)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SUMIFS(RAB!$F$14:$F$82,RAB!$C$14:$C$82,C338)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SUMIFS(RAB!$F$14:$F$82,RAB!$C$14:$C$82,C339)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SUMIFS(RAB!$F$14:$F$82,RAB!$C$14:$C$82,C340)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SUMIFS(RAB!$F$14:$F$82,RAB!$C$14:$C$82,C341)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SUMIFS(RAB!$F$14:$F$82,RAB!$C$14:$C$82,C342)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SUMIFS(RAB!$F$14:$F$82,RAB!$C$14:$C$82,C343)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SUMIFS(RAB!$F$14:$F$82,RAB!$C$14:$C$82,C344)</f>
        <v>100</v>
      </c>
      <c r="E344" s="24">
        <f t="shared" ca="1" si="22"/>
        <v>1</v>
      </c>
      <c r="F344" s="24">
        <f ca="1">IF(D344=0,0,SUM($E$223:E344))</f>
        <v>3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SUMIFS(RAB!$F$14:$F$82,RAB!$C$14:$C$82,C345)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SUMIFS(RAB!$F$14:$F$82,RAB!$C$14:$C$82,C346)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SUMIFS(RAB!$F$14:$F$82,RAB!$C$14:$C$82,C347)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SUMIFS(RAB!$F$14:$F$82,RAB!$C$14:$C$82,C348)</f>
        <v>35</v>
      </c>
      <c r="E348" s="24">
        <f t="shared" ca="1" si="22"/>
        <v>1</v>
      </c>
      <c r="F348" s="24">
        <f ca="1">IF(D348=0,0,SUM($E$223:E348))</f>
        <v>4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SUMIFS(RAB!$F$14:$F$82,RAB!$C$14:$C$82,C349)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SUMIFS(RAB!$F$14:$F$82,RAB!$C$14:$C$82,C350)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SUMIFS(RAB!$F$14:$F$82,RAB!$C$14:$C$82,C351)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SUMIFS(RAB!$F$14:$F$82,RAB!$C$14:$C$82,C352)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SUMIFS(RAB!$F$14:$F$82,RAB!$C$14:$C$82,C353)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SUMIFS(RAB!$F$14:$F$82,RAB!$C$14:$C$82,C354)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SUMIFS(RAB!$F$14:$F$82,RAB!$C$14:$C$82,C355)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SUMIFS(RAB!$F$14:$F$82,RAB!$C$14:$C$82,C356)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SUMIFS(RAB!$F$14:$F$82,RAB!$C$14:$C$82,C357)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SUMIFS(RAB!$F$14:$F$82,RAB!$C$14:$C$82,C358)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SUMIFS(RAB!$F$14:$F$82,RAB!$C$14:$C$82,C359)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SUMIFS(RAB!$F$14:$F$82,RAB!$C$14:$C$82,C360)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SUMIFS(RAB!$F$14:$F$82,RAB!$C$14:$C$82,C361)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SUMIFS(RAB!$F$14:$F$82,RAB!$C$14:$C$82,C362)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SUMIFS(RAB!$F$14:$F$82,RAB!$C$14:$C$82,C363)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SUMIFS(RAB!$F$14:$F$82,RAB!$C$14:$C$82,C364)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SUMIFS(RAB!$F$14:$F$82,RAB!$C$14:$C$82,C365)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SUMIFS(RAB!$F$14:$F$82,RAB!$C$14:$C$82,C366)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SUMIFS(RAB!$F$14:$F$82,RAB!$C$14:$C$82,C367)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SUMIFS(RAB!$F$14:$F$82,RAB!$C$14:$C$82,C368)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SUMIFS(RAB!$F$14:$F$82,RAB!$C$14:$C$82,C369)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SUMIFS(RAB!$F$14:$F$82,RAB!$C$14:$C$82,C370)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SUMIFS(RAB!$F$14:$F$82,RAB!$C$14:$C$82,C371)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SUMIFS(RAB!$F$14:$F$82,RAB!$C$14:$C$82,C372)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SUMIFS(RAB!$F$14:$F$82,RAB!$C$14:$C$82,C373)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1" priority="5" operator="equal">
      <formula>0</formula>
    </cfRule>
  </conditionalFormatting>
  <conditionalFormatting sqref="C16:C165">
    <cfRule type="cellIs" dxfId="40" priority="4" stopIfTrue="1" operator="equal">
      <formula>0</formula>
    </cfRule>
  </conditionalFormatting>
  <conditionalFormatting sqref="C16:E165">
    <cfRule type="cellIs" dxfId="39" priority="1" operator="equal">
      <formula>0</formula>
    </cfRule>
  </conditionalFormatting>
  <conditionalFormatting sqref="D224:F373">
    <cfRule type="cellIs" dxfId="38" priority="8" operator="equal">
      <formula>0</formula>
    </cfRule>
  </conditionalFormatting>
  <conditionalFormatting sqref="E1:E3 G1:G115 E6:E15 H12:I12 N13 F14:F15 H14:K115 E166:K166 G166:G223 E167:F167 H167:K167">
    <cfRule type="cellIs" dxfId="37" priority="43" stopIfTrue="1" operator="equal">
      <formula>0</formula>
    </cfRule>
  </conditionalFormatting>
  <conditionalFormatting sqref="E171:E65536">
    <cfRule type="cellIs" dxfId="36" priority="9" stopIfTrue="1" operator="equal">
      <formula>0</formula>
    </cfRule>
  </conditionalFormatting>
  <conditionalFormatting sqref="G224">
    <cfRule type="cellIs" dxfId="35" priority="10" operator="equal">
      <formula>0</formula>
    </cfRule>
  </conditionalFormatting>
  <conditionalFormatting sqref="G225:G65536">
    <cfRule type="cellIs" dxfId="34" priority="14" stopIfTrue="1" operator="equal">
      <formula>0</formula>
    </cfRule>
  </conditionalFormatting>
  <conditionalFormatting sqref="R14:T166 G116:K165">
    <cfRule type="cellIs" dxfId="33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0"/>
    </row>
    <row r="4" spans="4:4" ht="57" customHeight="1">
      <c r="D4" s="460">
        <v>3</v>
      </c>
    </row>
    <row r="5" spans="4:4" ht="57" customHeight="1">
      <c r="D5" s="46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96" activePane="bottomRight" state="frozen"/>
      <selection activeCell="D209" sqref="D209"/>
      <selection pane="topRight" activeCell="D209" sqref="D209"/>
      <selection pane="bottomLeft" activeCell="D209" sqref="D209"/>
      <selection pane="bottomRight" activeCell="C204" sqref="C204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3" t="s">
        <v>41</v>
      </c>
      <c r="C2" s="553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4" t="s">
        <v>23</v>
      </c>
      <c r="C4" s="555" t="s">
        <v>1012</v>
      </c>
      <c r="D4" s="555" t="s">
        <v>42</v>
      </c>
      <c r="E4" s="554" t="s">
        <v>43</v>
      </c>
      <c r="F4" s="108" t="s">
        <v>1609</v>
      </c>
      <c r="G4" s="108" t="s">
        <v>1608</v>
      </c>
      <c r="H4" s="552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4"/>
      <c r="C5" s="555"/>
      <c r="D5" s="555"/>
      <c r="E5" s="554"/>
      <c r="F5" s="93"/>
      <c r="G5" s="93"/>
      <c r="H5" s="552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7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7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8">
        <v>2740</v>
      </c>
      <c r="G1433" s="488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9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9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9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9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9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2" priority="138" operator="equal">
      <formula>0</formula>
    </cfRule>
  </conditionalFormatting>
  <conditionalFormatting sqref="B8:C135">
    <cfRule type="cellIs" dxfId="31" priority="51" operator="equal">
      <formula>0</formula>
    </cfRule>
  </conditionalFormatting>
  <conditionalFormatting sqref="B150:G1493">
    <cfRule type="cellIs" dxfId="30" priority="1" operator="equal">
      <formula>0</formula>
    </cfRule>
  </conditionalFormatting>
  <conditionalFormatting sqref="C143:G149">
    <cfRule type="cellIs" dxfId="29" priority="5" operator="equal">
      <formula>0</formula>
    </cfRule>
  </conditionalFormatting>
  <conditionalFormatting sqref="D9:G142">
    <cfRule type="cellIs" dxfId="28" priority="11" operator="equal">
      <formula>0</formula>
    </cfRule>
  </conditionalFormatting>
  <conditionalFormatting sqref="D1:IV5 A1:C7 D6:K6 H1455:IV1457 H1458:XFD1485 H1486:H1493 I1486:XFD1494 A1494:H1494 A1495:XFD65536">
    <cfRule type="cellIs" dxfId="27" priority="163" operator="equal">
      <formula>0</formula>
    </cfRule>
  </conditionalFormatting>
  <conditionalFormatting sqref="D7:IV8 C136:C142 B136:B149">
    <cfRule type="cellIs" dxfId="26" priority="62" operator="equal">
      <formula>0</formula>
    </cfRule>
  </conditionalFormatting>
  <conditionalFormatting sqref="H9:H1418">
    <cfRule type="cellIs" dxfId="25" priority="129" operator="equal">
      <formula>0</formula>
    </cfRule>
  </conditionalFormatting>
  <conditionalFormatting sqref="H1419:I1454">
    <cfRule type="cellIs" dxfId="24" priority="128" operator="equal">
      <formula>0</formula>
    </cfRule>
  </conditionalFormatting>
  <conditionalFormatting sqref="I108:I1418">
    <cfRule type="cellIs" dxfId="23" priority="125" operator="equal">
      <formula>0</formula>
    </cfRule>
  </conditionalFormatting>
  <conditionalFormatting sqref="J108:IV1454">
    <cfRule type="cellIs" dxfId="22" priority="139" operator="equal">
      <formula>0</formula>
    </cfRule>
  </conditionalFormatting>
  <conditionalFormatting sqref="M6:IV6">
    <cfRule type="cellIs" dxfId="21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K12" sqref="K12:L13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60" t="s">
        <v>1454</v>
      </c>
      <c r="C2" s="560"/>
      <c r="D2" s="560"/>
      <c r="E2" s="560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65" t="s">
        <v>1532</v>
      </c>
      <c r="C4" s="566"/>
      <c r="D4" s="566"/>
      <c r="E4" s="567"/>
      <c r="F4" s="442"/>
      <c r="G4" s="442"/>
      <c r="H4" s="443"/>
      <c r="I4" s="592" t="s">
        <v>1533</v>
      </c>
      <c r="J4" s="593"/>
      <c r="K4" s="593"/>
      <c r="L4" s="594"/>
    </row>
    <row r="5" spans="1:12" ht="34.5" customHeight="1">
      <c r="A5" s="204"/>
      <c r="B5" s="445" t="s">
        <v>1379</v>
      </c>
      <c r="C5" s="277" t="s">
        <v>9</v>
      </c>
      <c r="D5" s="561" t="str">
        <f>DATA!D14</f>
        <v>IOH TLOGODOWO WONOSALAM</v>
      </c>
      <c r="E5" s="562"/>
      <c r="F5" s="208"/>
      <c r="G5" s="208"/>
      <c r="I5" s="446" t="s">
        <v>1379</v>
      </c>
      <c r="J5" s="277" t="s">
        <v>9</v>
      </c>
      <c r="K5" s="595" t="str">
        <f>D5</f>
        <v>IOH TLOGODOWO WONOSALAM</v>
      </c>
      <c r="L5" s="596"/>
    </row>
    <row r="6" spans="1:12" ht="31.5" customHeight="1">
      <c r="A6" s="204"/>
      <c r="B6" s="445" t="s">
        <v>1529</v>
      </c>
      <c r="C6" s="277" t="s">
        <v>9</v>
      </c>
      <c r="D6" s="570">
        <f>DATA!D17*1000</f>
        <v>0</v>
      </c>
      <c r="E6" s="571"/>
      <c r="F6" s="208"/>
      <c r="G6" s="208"/>
      <c r="I6" s="446" t="s">
        <v>1530</v>
      </c>
      <c r="J6" s="277" t="s">
        <v>9</v>
      </c>
      <c r="K6" s="597">
        <f>DATA!D20*1000</f>
        <v>11000</v>
      </c>
      <c r="L6" s="598"/>
    </row>
    <row r="7" spans="1:12" ht="30.75" customHeight="1">
      <c r="A7" s="204"/>
      <c r="B7" s="445" t="s">
        <v>1441</v>
      </c>
      <c r="C7" s="277" t="s">
        <v>9</v>
      </c>
      <c r="D7" s="568">
        <f>DATA!D18</f>
        <v>1</v>
      </c>
      <c r="E7" s="569"/>
      <c r="F7" s="444" t="s">
        <v>1453</v>
      </c>
      <c r="I7" s="446" t="s">
        <v>1441</v>
      </c>
      <c r="J7" s="277" t="s">
        <v>9</v>
      </c>
      <c r="K7" s="599">
        <f>DATA!D21</f>
        <v>1</v>
      </c>
      <c r="L7" s="600"/>
    </row>
    <row r="8" spans="1:12" ht="51" customHeight="1">
      <c r="A8" s="204"/>
      <c r="B8" s="445" t="s">
        <v>1442</v>
      </c>
      <c r="C8" s="277" t="s">
        <v>9</v>
      </c>
      <c r="D8" s="568">
        <f>DATA!D19</f>
        <v>220</v>
      </c>
      <c r="E8" s="569"/>
      <c r="F8" s="444" t="s">
        <v>1453</v>
      </c>
      <c r="G8" s="439">
        <v>220</v>
      </c>
      <c r="I8" s="446" t="s">
        <v>1442</v>
      </c>
      <c r="J8" s="277" t="s">
        <v>9</v>
      </c>
      <c r="K8" s="599">
        <f>DATA!D22</f>
        <v>220</v>
      </c>
      <c r="L8" s="600"/>
    </row>
    <row r="9" spans="1:12" ht="30" customHeight="1" thickBot="1">
      <c r="A9" s="204"/>
      <c r="B9" s="451" t="s">
        <v>1541</v>
      </c>
      <c r="C9" s="441" t="s">
        <v>9</v>
      </c>
      <c r="D9" s="563">
        <f>IF(D7=1,D6/(380/3^0.5),(D6/(380*3^0.5)))</f>
        <v>0</v>
      </c>
      <c r="E9" s="564"/>
      <c r="F9" s="207"/>
      <c r="G9" s="440">
        <v>380</v>
      </c>
      <c r="I9" s="452" t="s">
        <v>1541</v>
      </c>
      <c r="J9" s="441" t="s">
        <v>9</v>
      </c>
      <c r="K9" s="601">
        <f>IF(K7=1,K6/(380/3^0.5),(K6/(380*3^0.5)))</f>
        <v>50.138312850678027</v>
      </c>
      <c r="L9" s="602"/>
    </row>
    <row r="10" spans="1:12" ht="24.75" customHeight="1">
      <c r="B10" s="453"/>
      <c r="C10" s="450"/>
      <c r="D10" s="454"/>
      <c r="E10" s="454"/>
      <c r="F10" s="207"/>
      <c r="G10" s="440"/>
      <c r="I10" s="453"/>
      <c r="J10" s="450"/>
      <c r="K10" s="454"/>
      <c r="L10" s="454"/>
    </row>
    <row r="11" spans="1:12" ht="16.5" thickBot="1">
      <c r="B11" s="447" t="s">
        <v>1542</v>
      </c>
      <c r="I11" s="447" t="s">
        <v>1536</v>
      </c>
    </row>
    <row r="12" spans="1:12" ht="34.5" customHeight="1">
      <c r="A12" s="204"/>
      <c r="B12" s="475" t="s">
        <v>1534</v>
      </c>
      <c r="C12" s="469" t="s">
        <v>9</v>
      </c>
      <c r="D12" s="572"/>
      <c r="E12" s="573"/>
      <c r="F12" s="208"/>
      <c r="G12" s="208"/>
      <c r="I12" s="468" t="s">
        <v>1534</v>
      </c>
      <c r="J12" s="469" t="s">
        <v>9</v>
      </c>
      <c r="K12" s="572"/>
      <c r="L12" s="573"/>
    </row>
    <row r="13" spans="1:12" ht="31.5" customHeight="1">
      <c r="A13" s="204"/>
      <c r="B13" s="476" t="s">
        <v>1380</v>
      </c>
      <c r="C13" s="456" t="s">
        <v>9</v>
      </c>
      <c r="D13" s="576"/>
      <c r="E13" s="577"/>
      <c r="F13" s="208"/>
      <c r="G13" s="208"/>
      <c r="I13" s="470" t="s">
        <v>1380</v>
      </c>
      <c r="J13" s="456" t="s">
        <v>9</v>
      </c>
      <c r="K13" s="576"/>
      <c r="L13" s="577"/>
    </row>
    <row r="14" spans="1:12" ht="30.75" customHeight="1">
      <c r="A14" s="204"/>
      <c r="B14" s="476" t="s">
        <v>1535</v>
      </c>
      <c r="C14" s="456" t="s">
        <v>9</v>
      </c>
      <c r="D14" s="584"/>
      <c r="E14" s="585"/>
      <c r="F14" s="444" t="s">
        <v>1453</v>
      </c>
      <c r="G14" s="448">
        <v>50</v>
      </c>
      <c r="I14" s="470" t="s">
        <v>1535</v>
      </c>
      <c r="J14" s="456" t="s">
        <v>9</v>
      </c>
      <c r="K14" s="586"/>
      <c r="L14" s="587"/>
    </row>
    <row r="15" spans="1:12" ht="57" customHeight="1">
      <c r="A15" s="204"/>
      <c r="B15" s="476" t="s">
        <v>1441</v>
      </c>
      <c r="C15" s="456" t="s">
        <v>9</v>
      </c>
      <c r="D15" s="462"/>
      <c r="E15" s="471"/>
      <c r="F15" s="444" t="s">
        <v>1453</v>
      </c>
      <c r="G15" s="448">
        <v>100</v>
      </c>
      <c r="I15" s="470" t="s">
        <v>1441</v>
      </c>
      <c r="J15" s="456" t="s">
        <v>9</v>
      </c>
      <c r="K15" s="462">
        <v>3</v>
      </c>
      <c r="L15" s="471"/>
    </row>
    <row r="16" spans="1:12" ht="44.25" customHeight="1">
      <c r="A16" s="204"/>
      <c r="B16" s="476" t="s">
        <v>1545</v>
      </c>
      <c r="C16" s="456"/>
      <c r="D16" s="588">
        <v>0</v>
      </c>
      <c r="E16" s="589"/>
      <c r="F16" s="444"/>
      <c r="G16" s="448">
        <v>160</v>
      </c>
      <c r="I16" s="470" t="s">
        <v>1537</v>
      </c>
      <c r="J16" s="456" t="s">
        <v>9</v>
      </c>
      <c r="K16" s="590">
        <f>K9</f>
        <v>50.138312850678027</v>
      </c>
      <c r="L16" s="591"/>
    </row>
    <row r="17" spans="1:12" ht="34.5" customHeight="1">
      <c r="A17" s="204"/>
      <c r="B17" s="476" t="s">
        <v>1538</v>
      </c>
      <c r="C17" s="456" t="s">
        <v>9</v>
      </c>
      <c r="D17" s="578">
        <f>IF(D15=1,D14/(20/3^0.5),(D14/(20*3^0.5)))</f>
        <v>0</v>
      </c>
      <c r="E17" s="579"/>
      <c r="F17" s="444" t="s">
        <v>1453</v>
      </c>
      <c r="G17" s="449">
        <v>200</v>
      </c>
      <c r="I17" s="470" t="s">
        <v>1538</v>
      </c>
      <c r="J17" s="456" t="s">
        <v>9</v>
      </c>
      <c r="K17" s="582">
        <f>IF(K15=1,K14/(20/3^0.5),(K14/(20*3^0.5)))</f>
        <v>0</v>
      </c>
      <c r="L17" s="583"/>
    </row>
    <row r="18" spans="1:12" ht="34.5" customHeight="1">
      <c r="A18" s="204"/>
      <c r="B18" s="476" t="s">
        <v>1539</v>
      </c>
      <c r="C18" s="456" t="s">
        <v>9</v>
      </c>
      <c r="D18" s="578">
        <f>IF(D15=1,D14/(380/3^0.5),(D14/(380*3^0.5)))*1000</f>
        <v>0</v>
      </c>
      <c r="E18" s="579"/>
      <c r="F18" s="444" t="s">
        <v>1453</v>
      </c>
      <c r="G18" s="449">
        <v>250</v>
      </c>
      <c r="I18" s="470" t="s">
        <v>1539</v>
      </c>
      <c r="J18" s="456" t="s">
        <v>9</v>
      </c>
      <c r="K18" s="582">
        <f>IF(K15=1,K14/(380/3^0.5),(K14/(380*3^0.5)))*1000</f>
        <v>0</v>
      </c>
      <c r="L18" s="583"/>
    </row>
    <row r="19" spans="1:12" ht="30" customHeight="1">
      <c r="A19" s="204"/>
      <c r="B19" s="477" t="s">
        <v>1531</v>
      </c>
      <c r="C19" s="455" t="s">
        <v>9</v>
      </c>
      <c r="D19" s="578">
        <f>IF(D15=1,D14/(380/3^0.5),(D14/(380*3^0.5)))</f>
        <v>0</v>
      </c>
      <c r="E19" s="579"/>
      <c r="F19" s="207"/>
      <c r="G19" s="440"/>
      <c r="I19" s="472" t="s">
        <v>1531</v>
      </c>
      <c r="J19" s="455" t="s">
        <v>9</v>
      </c>
      <c r="K19" s="582">
        <f>IF(K15=1,K14/(380/3^0.5),(K14/(380*3^0.5)))</f>
        <v>0</v>
      </c>
      <c r="L19" s="583"/>
    </row>
    <row r="20" spans="1:12" ht="30" customHeight="1" thickBot="1">
      <c r="A20" s="204"/>
      <c r="B20" s="478" t="s">
        <v>1540</v>
      </c>
      <c r="C20" s="474" t="s">
        <v>9</v>
      </c>
      <c r="D20" s="574" t="e">
        <f>D16/D18</f>
        <v>#DIV/0!</v>
      </c>
      <c r="E20" s="575"/>
      <c r="F20" s="207"/>
      <c r="G20" s="440"/>
      <c r="I20" s="473" t="s">
        <v>1531</v>
      </c>
      <c r="J20" s="474" t="s">
        <v>9</v>
      </c>
      <c r="K20" s="580" t="e">
        <f>K16/K18</f>
        <v>#DIV/0!</v>
      </c>
      <c r="L20" s="581"/>
    </row>
    <row r="21" spans="1:12" ht="9.75" customHeight="1">
      <c r="A21" s="204"/>
      <c r="B21" s="463" t="s">
        <v>1540</v>
      </c>
      <c r="C21" s="464" t="s">
        <v>9</v>
      </c>
      <c r="D21" s="559">
        <v>1</v>
      </c>
      <c r="E21" s="559"/>
      <c r="F21" s="465"/>
      <c r="G21" s="466"/>
      <c r="H21" s="467"/>
      <c r="I21" s="463" t="s">
        <v>1531</v>
      </c>
      <c r="J21" s="464" t="s">
        <v>9</v>
      </c>
      <c r="K21" s="559">
        <v>1</v>
      </c>
      <c r="L21" s="559"/>
    </row>
    <row r="22" spans="1:12" ht="6.75" customHeight="1">
      <c r="B22" s="453"/>
      <c r="C22" s="450"/>
      <c r="D22" s="461"/>
      <c r="E22" s="461"/>
      <c r="F22" s="207"/>
      <c r="G22" s="440"/>
      <c r="J22" s="450"/>
      <c r="K22" s="461"/>
      <c r="L22" s="461"/>
    </row>
    <row r="23" spans="1:12" ht="15.75" thickBot="1"/>
    <row r="24" spans="1:12" ht="200.25" customHeight="1" thickBot="1">
      <c r="B24" s="556"/>
      <c r="C24" s="557"/>
      <c r="D24" s="557"/>
      <c r="E24" s="558"/>
      <c r="I24" s="556"/>
      <c r="J24" s="557"/>
      <c r="K24" s="557"/>
      <c r="L24" s="558"/>
    </row>
    <row r="26" spans="1:12">
      <c r="D26" s="458"/>
    </row>
    <row r="27" spans="1:12">
      <c r="D27" s="459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0" priority="5" stopIfTrue="1" operator="greaterThan">
      <formula>0.89</formula>
    </cfRule>
    <cfRule type="cellIs" dxfId="19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1" zoomScaleNormal="100" workbookViewId="0">
      <selection activeCell="M26" sqref="M26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3"/>
      <c r="C1" s="603"/>
      <c r="D1" s="603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1">
        <v>1084.1250458865841</v>
      </c>
      <c r="F5" s="486" t="s">
        <v>1611</v>
      </c>
      <c r="K5" s="485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6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11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10659000</v>
      </c>
    </row>
    <row r="10" spans="2:11" ht="20.100000000000001" customHeight="1">
      <c r="B10" s="291" t="s">
        <v>1446</v>
      </c>
      <c r="C10" s="292" t="s">
        <v>9</v>
      </c>
      <c r="D10" s="298">
        <f ca="1">RAB!K88</f>
        <v>24805481.91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496109.63819999999</v>
      </c>
    </row>
    <row r="12" spans="2:11" ht="9" customHeight="1">
      <c r="B12" s="604"/>
      <c r="C12" s="604"/>
      <c r="D12" s="604"/>
    </row>
    <row r="13" spans="2:11" ht="15.75" customHeight="1">
      <c r="B13" s="299"/>
      <c r="C13" s="299"/>
      <c r="D13" s="299"/>
    </row>
    <row r="14" spans="2:11" ht="33.75" customHeight="1">
      <c r="B14" s="415" t="s">
        <v>1379</v>
      </c>
      <c r="C14" s="416" t="s">
        <v>9</v>
      </c>
      <c r="D14" s="421" t="s">
        <v>1639</v>
      </c>
      <c r="E14" s="300" t="s">
        <v>1453</v>
      </c>
    </row>
    <row r="15" spans="2:11" ht="20.100000000000001" customHeight="1">
      <c r="B15" s="417" t="s">
        <v>1447</v>
      </c>
      <c r="C15" s="418" t="s">
        <v>9</v>
      </c>
      <c r="D15" s="422" t="s">
        <v>1626</v>
      </c>
      <c r="E15" s="300" t="s">
        <v>1453</v>
      </c>
    </row>
    <row r="16" spans="2:11" ht="20.100000000000001" customHeight="1">
      <c r="B16" s="417" t="s">
        <v>1448</v>
      </c>
      <c r="C16" s="418" t="s">
        <v>9</v>
      </c>
      <c r="D16" s="422" t="s">
        <v>1451</v>
      </c>
      <c r="E16" s="300" t="s">
        <v>1453</v>
      </c>
    </row>
    <row r="17" spans="2:5" ht="20.100000000000001" customHeight="1">
      <c r="B17" s="417" t="s">
        <v>1449</v>
      </c>
      <c r="C17" s="418" t="s">
        <v>9</v>
      </c>
      <c r="D17" s="423">
        <v>0</v>
      </c>
      <c r="E17" s="300" t="s">
        <v>1453</v>
      </c>
    </row>
    <row r="18" spans="2:5" ht="20.100000000000001" hidden="1" customHeight="1">
      <c r="B18" s="417" t="s">
        <v>1543</v>
      </c>
      <c r="C18" s="418"/>
      <c r="D18" s="423">
        <f>IF((D17&lt;=11),1,3)</f>
        <v>1</v>
      </c>
      <c r="E18" s="300"/>
    </row>
    <row r="19" spans="2:5" ht="20.100000000000001" hidden="1" customHeight="1">
      <c r="B19" s="417" t="s">
        <v>1544</v>
      </c>
      <c r="C19" s="418"/>
      <c r="D19" s="423">
        <f>IF((D17&lt;=11),220,380)</f>
        <v>220</v>
      </c>
      <c r="E19" s="300"/>
    </row>
    <row r="20" spans="2:5" ht="20.100000000000001" customHeight="1">
      <c r="B20" s="417" t="s">
        <v>1450</v>
      </c>
      <c r="C20" s="418" t="s">
        <v>9</v>
      </c>
      <c r="D20" s="423">
        <v>11</v>
      </c>
      <c r="E20" s="300" t="s">
        <v>1453</v>
      </c>
    </row>
    <row r="21" spans="2:5" ht="20.100000000000001" hidden="1" customHeight="1">
      <c r="B21" s="417" t="s">
        <v>1543</v>
      </c>
      <c r="C21" s="418"/>
      <c r="D21" s="423">
        <f>IF((D20&lt;=11),1,3)</f>
        <v>1</v>
      </c>
      <c r="E21" s="300"/>
    </row>
    <row r="22" spans="2:5" ht="20.100000000000001" hidden="1" customHeight="1">
      <c r="B22" s="417" t="s">
        <v>1544</v>
      </c>
      <c r="C22" s="418"/>
      <c r="D22" s="423">
        <f>IF((D20&lt;=11),220,380)</f>
        <v>220</v>
      </c>
      <c r="E22" s="300"/>
    </row>
    <row r="23" spans="2:5" ht="20.100000000000001" customHeight="1">
      <c r="B23" s="417" t="s">
        <v>1353</v>
      </c>
      <c r="C23" s="418" t="s">
        <v>9</v>
      </c>
      <c r="D23" s="422">
        <v>1444.7</v>
      </c>
      <c r="E23" s="300" t="s">
        <v>1453</v>
      </c>
    </row>
    <row r="24" spans="2:5" ht="20.100000000000001" customHeight="1">
      <c r="B24" s="417" t="s">
        <v>1354</v>
      </c>
      <c r="C24" s="418" t="s">
        <v>9</v>
      </c>
      <c r="D24" s="422">
        <v>1444.7</v>
      </c>
      <c r="E24" s="300" t="s">
        <v>1453</v>
      </c>
    </row>
    <row r="25" spans="2:5" ht="20.100000000000001" customHeight="1">
      <c r="B25" s="417" t="s">
        <v>1452</v>
      </c>
      <c r="C25" s="418" t="s">
        <v>9</v>
      </c>
      <c r="D25" s="423">
        <v>969</v>
      </c>
      <c r="E25" s="300" t="s">
        <v>1453</v>
      </c>
    </row>
    <row r="26" spans="2:5" ht="20.100000000000001" customHeight="1">
      <c r="B26" s="419" t="s">
        <v>1355</v>
      </c>
      <c r="C26" s="420" t="s">
        <v>9</v>
      </c>
      <c r="D26" s="424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F1" zoomScale="85" zoomScaleNormal="85" workbookViewId="0">
      <pane ySplit="6" topLeftCell="A7" activePane="bottomLeft" state="frozen"/>
      <selection activeCell="H1093" sqref="H1093"/>
      <selection pane="bottomLeft" activeCell="N16" sqref="N16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05" t="s">
        <v>1357</v>
      </c>
      <c r="C3" s="605"/>
      <c r="D3" s="605"/>
      <c r="E3" s="605"/>
      <c r="F3" s="305" t="str">
        <f>DATA!D14</f>
        <v>IOH TLOGODOWO WONOSALAM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06" t="s">
        <v>1349</v>
      </c>
      <c r="C5" s="606" t="s">
        <v>1358</v>
      </c>
      <c r="D5" s="607" t="s">
        <v>1359</v>
      </c>
      <c r="E5" s="607" t="s">
        <v>1360</v>
      </c>
      <c r="F5" s="606" t="s">
        <v>1361</v>
      </c>
      <c r="G5" s="606"/>
      <c r="H5" s="606"/>
      <c r="I5" s="606"/>
      <c r="J5" s="606"/>
      <c r="K5" s="606" t="s">
        <v>1362</v>
      </c>
      <c r="L5" s="606"/>
      <c r="M5" s="307"/>
      <c r="N5" s="610" t="s">
        <v>1363</v>
      </c>
      <c r="O5" s="607" t="s">
        <v>1364</v>
      </c>
      <c r="P5" s="607" t="s">
        <v>1365</v>
      </c>
      <c r="Q5" s="607" t="s">
        <v>1366</v>
      </c>
      <c r="R5" s="308"/>
      <c r="S5" s="309"/>
      <c r="T5" s="608" t="s">
        <v>1367</v>
      </c>
      <c r="U5" s="310"/>
    </row>
    <row r="6" spans="1:21" ht="20.100000000000001" customHeight="1">
      <c r="B6" s="606"/>
      <c r="C6" s="606"/>
      <c r="D6" s="606"/>
      <c r="E6" s="606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1"/>
      <c r="O6" s="606"/>
      <c r="P6" s="606"/>
      <c r="Q6" s="606"/>
      <c r="R6" s="308"/>
      <c r="S6" s="309"/>
      <c r="T6" s="606"/>
      <c r="U6" s="312"/>
    </row>
    <row r="7" spans="1:21" ht="20.100000000000001" customHeight="1">
      <c r="A7" s="313">
        <v>0</v>
      </c>
      <c r="B7" s="314">
        <v>2023</v>
      </c>
      <c r="C7" s="479">
        <f>DATA!D8*DATA!D26*8</f>
        <v>3520</v>
      </c>
      <c r="D7" s="316">
        <f>C7*4/24</f>
        <v>586.66666666666663</v>
      </c>
      <c r="E7" s="316">
        <f>C7-D7</f>
        <v>2933.3333333333335</v>
      </c>
      <c r="F7" s="317">
        <f ca="1">DATA!D10/1000000</f>
        <v>24.805481910000001</v>
      </c>
      <c r="G7" s="318">
        <f ca="1">DATA!$D$11/1000000</f>
        <v>0.49610963819999998</v>
      </c>
      <c r="H7" s="318">
        <f>C7*DATA!$D$5/1000000</f>
        <v>3.816120161520776</v>
      </c>
      <c r="I7" s="318">
        <f>(C7*DATA!$D$5*DATA!$D$7)/1000000</f>
        <v>8.5862703634217455E-2</v>
      </c>
      <c r="J7" s="316">
        <f ca="1">SUM(F7:I7)</f>
        <v>29.203574413354993</v>
      </c>
      <c r="K7" s="319">
        <f>DATA!D9/1000000</f>
        <v>10.659000000000001</v>
      </c>
      <c r="L7" s="316">
        <f>((D7*DATA!$D$23)/1000000)+((E7*DATA!$D$24)/1000000)</f>
        <v>5.0853440000000001</v>
      </c>
      <c r="M7" s="316">
        <f>K7+L7</f>
        <v>15.744344000000002</v>
      </c>
      <c r="N7" s="316">
        <f ca="1">M7-J7</f>
        <v>-13.459230413354991</v>
      </c>
      <c r="O7" s="314">
        <v>1</v>
      </c>
      <c r="P7" s="316">
        <f ca="1">O7*N7</f>
        <v>-13.459230413354991</v>
      </c>
      <c r="Q7" s="316">
        <f ca="1">P7</f>
        <v>-13.459230413354991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5280</v>
      </c>
      <c r="D8" s="316">
        <f>C8*4/24</f>
        <v>880</v>
      </c>
      <c r="E8" s="316">
        <f t="shared" ref="E8:E32" si="0">C8-D8</f>
        <v>4400</v>
      </c>
      <c r="F8" s="314"/>
      <c r="G8" s="318">
        <f ca="1">DATA!$D$11/1000000</f>
        <v>0.49610963819999998</v>
      </c>
      <c r="H8" s="318">
        <f>C8*DATA!$D$5/1000000</f>
        <v>5.7241802422811636</v>
      </c>
      <c r="I8" s="318">
        <f>(C8*DATA!$D$5*DATA!$D$7)/1000000</f>
        <v>0.12879405545132619</v>
      </c>
      <c r="J8" s="316">
        <f t="shared" ref="J8:J32" ca="1" si="1">SUM(F8:I8)</f>
        <v>6.34908393593249</v>
      </c>
      <c r="K8" s="321"/>
      <c r="L8" s="316">
        <f>((D8*DATA!$D$23)/1000000)+((E8*DATA!$D$24)/1000000)</f>
        <v>7.6280159999999997</v>
      </c>
      <c r="M8" s="316">
        <f t="shared" ref="M8:M32" si="2">K8+L8</f>
        <v>7.6280159999999997</v>
      </c>
      <c r="N8" s="316">
        <f ca="1">M8-J8</f>
        <v>1.2789320640675097</v>
      </c>
      <c r="O8" s="315">
        <f>1/(1+'[93]Asumsi I'!$C$3)^(KKF!A8)</f>
        <v>0.89285714285714279</v>
      </c>
      <c r="P8" s="316">
        <f ca="1">O8*N8</f>
        <v>1.141903628631705</v>
      </c>
      <c r="Q8" s="316">
        <f ca="1">Q7+P8</f>
        <v>-12.317326784723285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5280</v>
      </c>
      <c r="D9" s="316">
        <f t="shared" ref="D9:D32" si="5">C9*4/24</f>
        <v>880</v>
      </c>
      <c r="E9" s="316">
        <f t="shared" si="0"/>
        <v>4400</v>
      </c>
      <c r="F9" s="314"/>
      <c r="G9" s="318">
        <f ca="1">DATA!$D$11/1000000</f>
        <v>0.49610963819999998</v>
      </c>
      <c r="H9" s="318">
        <f>C9*DATA!$D$5/1000000</f>
        <v>5.7241802422811636</v>
      </c>
      <c r="I9" s="318">
        <f>(C9*DATA!$D$5*DATA!$D$7)/1000000</f>
        <v>0.12879405545132619</v>
      </c>
      <c r="J9" s="316">
        <f t="shared" ca="1" si="1"/>
        <v>6.34908393593249</v>
      </c>
      <c r="K9" s="316"/>
      <c r="L9" s="316">
        <f>((D9*DATA!$D$23)/1000000)+((E9*DATA!$D$24)/1000000)</f>
        <v>7.6280159999999997</v>
      </c>
      <c r="M9" s="316">
        <f t="shared" si="2"/>
        <v>7.6280159999999997</v>
      </c>
      <c r="N9" s="316">
        <f t="shared" ref="N9:N32" ca="1" si="6">M9-J9</f>
        <v>1.2789320640675097</v>
      </c>
      <c r="O9" s="322">
        <f>1/(1+'[93]Asumsi I'!$C$3)^(KKF!A9)</f>
        <v>0.79719387755102034</v>
      </c>
      <c r="P9" s="316">
        <f t="shared" ref="P9:P32" ca="1" si="7">O9*N9</f>
        <v>1.019556811278308</v>
      </c>
      <c r="Q9" s="316">
        <f ca="1">Q8+P9</f>
        <v>-11.297769973444977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5280</v>
      </c>
      <c r="D10" s="316">
        <f t="shared" si="5"/>
        <v>880</v>
      </c>
      <c r="E10" s="316">
        <f t="shared" si="0"/>
        <v>4400</v>
      </c>
      <c r="F10" s="314"/>
      <c r="G10" s="318">
        <f ca="1">DATA!$D$11/1000000</f>
        <v>0.49610963819999998</v>
      </c>
      <c r="H10" s="318">
        <f>C10*DATA!$D$5/1000000</f>
        <v>5.7241802422811636</v>
      </c>
      <c r="I10" s="318">
        <f>(C10*DATA!$D$5*DATA!$D$7)/1000000</f>
        <v>0.12879405545132619</v>
      </c>
      <c r="J10" s="316">
        <f t="shared" ca="1" si="1"/>
        <v>6.34908393593249</v>
      </c>
      <c r="K10" s="314"/>
      <c r="L10" s="316">
        <f>((D10*DATA!$D$23)/1000000)+((E10*DATA!$D$24)/1000000)</f>
        <v>7.6280159999999997</v>
      </c>
      <c r="M10" s="316">
        <f t="shared" si="2"/>
        <v>7.6280159999999997</v>
      </c>
      <c r="N10" s="316">
        <f t="shared" ca="1" si="6"/>
        <v>1.2789320640675097</v>
      </c>
      <c r="O10" s="315">
        <f>1/(1+'[93]Asumsi I'!$C$3)^(KKF!A10)</f>
        <v>0.71178024781341087</v>
      </c>
      <c r="P10" s="316">
        <f t="shared" ca="1" si="7"/>
        <v>0.9103185814984891</v>
      </c>
      <c r="Q10" s="316">
        <f t="shared" ref="Q10:Q30" ca="1" si="9">Q9+P10</f>
        <v>-10.387451391946488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5280</v>
      </c>
      <c r="D11" s="316">
        <f t="shared" si="5"/>
        <v>880</v>
      </c>
      <c r="E11" s="316">
        <f t="shared" si="0"/>
        <v>4400</v>
      </c>
      <c r="F11" s="314"/>
      <c r="G11" s="318">
        <f ca="1">DATA!$D$11/1000000</f>
        <v>0.49610963819999998</v>
      </c>
      <c r="H11" s="318">
        <f>C11*DATA!$D$5/1000000</f>
        <v>5.7241802422811636</v>
      </c>
      <c r="I11" s="318">
        <f>(C11*DATA!$D$5*DATA!$D$7)/1000000</f>
        <v>0.12879405545132619</v>
      </c>
      <c r="J11" s="316">
        <f t="shared" ca="1" si="1"/>
        <v>6.34908393593249</v>
      </c>
      <c r="K11" s="314"/>
      <c r="L11" s="316">
        <f>((D11*DATA!$D$23)/1000000)+((E11*DATA!$D$24)/1000000)</f>
        <v>7.6280159999999997</v>
      </c>
      <c r="M11" s="316">
        <f t="shared" si="2"/>
        <v>7.6280159999999997</v>
      </c>
      <c r="N11" s="316">
        <f t="shared" ca="1" si="6"/>
        <v>1.2789320640675097</v>
      </c>
      <c r="O11" s="315">
        <f>1/(1+'[93]Asumsi I'!$C$3)^(KKF!A11)</f>
        <v>0.63551807840483121</v>
      </c>
      <c r="P11" s="316">
        <f t="shared" ca="1" si="7"/>
        <v>0.81278444776650827</v>
      </c>
      <c r="Q11" s="316">
        <f t="shared" ca="1" si="9"/>
        <v>-9.5746669441799792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5280</v>
      </c>
      <c r="D12" s="316">
        <f t="shared" si="5"/>
        <v>880</v>
      </c>
      <c r="E12" s="316">
        <f t="shared" si="0"/>
        <v>4400</v>
      </c>
      <c r="F12" s="314"/>
      <c r="G12" s="318">
        <f ca="1">DATA!$D$11/1000000</f>
        <v>0.49610963819999998</v>
      </c>
      <c r="H12" s="318">
        <f>C12*DATA!$D$5/1000000</f>
        <v>5.7241802422811636</v>
      </c>
      <c r="I12" s="318">
        <f>(C12*DATA!$D$5*DATA!$D$7)/1000000</f>
        <v>0.12879405545132619</v>
      </c>
      <c r="J12" s="316">
        <f t="shared" ca="1" si="1"/>
        <v>6.34908393593249</v>
      </c>
      <c r="K12" s="314"/>
      <c r="L12" s="316">
        <f>((D12*DATA!$D$23)/1000000)+((E12*DATA!$D$24)/1000000)</f>
        <v>7.6280159999999997</v>
      </c>
      <c r="M12" s="316">
        <f t="shared" si="2"/>
        <v>7.6280159999999997</v>
      </c>
      <c r="N12" s="316">
        <f t="shared" ca="1" si="6"/>
        <v>1.2789320640675097</v>
      </c>
      <c r="O12" s="315">
        <f>1/(1+'[93]Asumsi I'!$C$3)^(KKF!A12)</f>
        <v>0.56742685571859919</v>
      </c>
      <c r="P12" s="316">
        <f t="shared" ca="1" si="7"/>
        <v>0.72570039979152512</v>
      </c>
      <c r="Q12" s="316">
        <f t="shared" ca="1" si="9"/>
        <v>-8.8489665443884533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5280</v>
      </c>
      <c r="D13" s="316">
        <f t="shared" si="5"/>
        <v>880</v>
      </c>
      <c r="E13" s="316">
        <f t="shared" si="0"/>
        <v>4400</v>
      </c>
      <c r="F13" s="314"/>
      <c r="G13" s="318">
        <f ca="1">DATA!$D$11/1000000</f>
        <v>0.49610963819999998</v>
      </c>
      <c r="H13" s="318">
        <f>C13*DATA!$D$5/1000000</f>
        <v>5.7241802422811636</v>
      </c>
      <c r="I13" s="318">
        <f>(C13*DATA!$D$5*DATA!$D$7)/1000000</f>
        <v>0.12879405545132619</v>
      </c>
      <c r="J13" s="316">
        <f t="shared" ca="1" si="1"/>
        <v>6.34908393593249</v>
      </c>
      <c r="K13" s="314"/>
      <c r="L13" s="316">
        <f>((D13*DATA!$D$23)/1000000)+((E13*DATA!$D$24)/1000000)</f>
        <v>7.6280159999999997</v>
      </c>
      <c r="M13" s="316">
        <f t="shared" si="2"/>
        <v>7.6280159999999997</v>
      </c>
      <c r="N13" s="316">
        <f t="shared" ca="1" si="6"/>
        <v>1.2789320640675097</v>
      </c>
      <c r="O13" s="315">
        <f>1/(1+'[93]Asumsi I'!$C$3)^(KKF!A13)</f>
        <v>0.50663112117732068</v>
      </c>
      <c r="P13" s="316">
        <f t="shared" ca="1" si="7"/>
        <v>0.64794678552814733</v>
      </c>
      <c r="Q13" s="316">
        <f t="shared" ca="1" si="9"/>
        <v>-8.2010197588603067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5280</v>
      </c>
      <c r="D14" s="316">
        <f t="shared" si="5"/>
        <v>880</v>
      </c>
      <c r="E14" s="316">
        <f t="shared" si="0"/>
        <v>4400</v>
      </c>
      <c r="F14" s="314"/>
      <c r="G14" s="318">
        <f ca="1">DATA!$D$11/1000000</f>
        <v>0.49610963819999998</v>
      </c>
      <c r="H14" s="318">
        <f>C14*DATA!$D$5/1000000</f>
        <v>5.7241802422811636</v>
      </c>
      <c r="I14" s="318">
        <f>(C14*DATA!$D$5*DATA!$D$7)/1000000</f>
        <v>0.12879405545132619</v>
      </c>
      <c r="J14" s="316">
        <f t="shared" ca="1" si="1"/>
        <v>6.34908393593249</v>
      </c>
      <c r="K14" s="314"/>
      <c r="L14" s="316">
        <f>((D14*DATA!$D$23)/1000000)+((E14*DATA!$D$24)/1000000)</f>
        <v>7.6280159999999997</v>
      </c>
      <c r="M14" s="316">
        <f t="shared" si="2"/>
        <v>7.6280159999999997</v>
      </c>
      <c r="N14" s="316">
        <f t="shared" ca="1" si="6"/>
        <v>1.2789320640675097</v>
      </c>
      <c r="O14" s="315">
        <f>1/(1+'[93]Asumsi I'!$C$3)^(KKF!A14)</f>
        <v>0.45234921533689343</v>
      </c>
      <c r="P14" s="316">
        <f t="shared" ca="1" si="7"/>
        <v>0.5785239156501315</v>
      </c>
      <c r="Q14" s="316">
        <f t="shared" ca="1" si="9"/>
        <v>-7.6224958432101753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5280</v>
      </c>
      <c r="D15" s="316">
        <f t="shared" si="5"/>
        <v>880</v>
      </c>
      <c r="E15" s="316">
        <f t="shared" si="0"/>
        <v>4400</v>
      </c>
      <c r="F15" s="314"/>
      <c r="G15" s="318">
        <f ca="1">DATA!$D$11/1000000</f>
        <v>0.49610963819999998</v>
      </c>
      <c r="H15" s="318">
        <f>C15*DATA!$D$5/1000000</f>
        <v>5.7241802422811636</v>
      </c>
      <c r="I15" s="318">
        <f>(C15*DATA!$D$5*DATA!$D$7)/1000000</f>
        <v>0.12879405545132619</v>
      </c>
      <c r="J15" s="316">
        <f t="shared" ca="1" si="1"/>
        <v>6.34908393593249</v>
      </c>
      <c r="K15" s="314"/>
      <c r="L15" s="316">
        <f>((D15*DATA!$D$23)/1000000)+((E15*DATA!$D$24)/1000000)</f>
        <v>7.6280159999999997</v>
      </c>
      <c r="M15" s="316">
        <f t="shared" si="2"/>
        <v>7.6280159999999997</v>
      </c>
      <c r="N15" s="316">
        <f t="shared" ca="1" si="6"/>
        <v>1.2789320640675097</v>
      </c>
      <c r="O15" s="315">
        <f>1/(1+'[93]Asumsi I'!$C$3)^(KKF!A15)</f>
        <v>0.4038832279793691</v>
      </c>
      <c r="P15" s="316">
        <f t="shared" ca="1" si="7"/>
        <v>0.51653921040190309</v>
      </c>
      <c r="Q15" s="316">
        <f t="shared" ca="1" si="9"/>
        <v>-7.1059566328082724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5280</v>
      </c>
      <c r="D16" s="316">
        <f t="shared" si="5"/>
        <v>880</v>
      </c>
      <c r="E16" s="316">
        <f t="shared" si="0"/>
        <v>4400</v>
      </c>
      <c r="F16" s="314"/>
      <c r="G16" s="318">
        <f ca="1">DATA!$D$11/1000000</f>
        <v>0.49610963819999998</v>
      </c>
      <c r="H16" s="318">
        <f>C16*DATA!$D$5/1000000</f>
        <v>5.7241802422811636</v>
      </c>
      <c r="I16" s="318">
        <f>(C16*DATA!$D$5*DATA!$D$7)/1000000</f>
        <v>0.12879405545132619</v>
      </c>
      <c r="J16" s="316">
        <f t="shared" ca="1" si="1"/>
        <v>6.34908393593249</v>
      </c>
      <c r="K16" s="314"/>
      <c r="L16" s="316">
        <f>((D16*DATA!$D$23)/1000000)+((E16*DATA!$D$24)/1000000)</f>
        <v>7.6280159999999997</v>
      </c>
      <c r="M16" s="316">
        <f t="shared" si="2"/>
        <v>7.6280159999999997</v>
      </c>
      <c r="N16" s="316">
        <f t="shared" ca="1" si="6"/>
        <v>1.2789320640675097</v>
      </c>
      <c r="O16" s="315">
        <f>1/(1+'[93]Asumsi I'!$C$3)^(KKF!A16)</f>
        <v>0.36061002498157957</v>
      </c>
      <c r="P16" s="316">
        <f t="shared" ca="1" si="7"/>
        <v>0.46119572357312777</v>
      </c>
      <c r="Q16" s="316">
        <f t="shared" ca="1" si="9"/>
        <v>-6.6447609092351447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5280</v>
      </c>
      <c r="D17" s="316">
        <f t="shared" si="5"/>
        <v>880</v>
      </c>
      <c r="E17" s="316">
        <f t="shared" si="0"/>
        <v>4400</v>
      </c>
      <c r="F17" s="314"/>
      <c r="G17" s="318">
        <f ca="1">DATA!$D$11/1000000</f>
        <v>0.49610963819999998</v>
      </c>
      <c r="H17" s="318">
        <f>C17*DATA!$D$5/1000000</f>
        <v>5.7241802422811636</v>
      </c>
      <c r="I17" s="318">
        <f>(C17*DATA!$D$5*DATA!$D$7)/1000000</f>
        <v>0.12879405545132619</v>
      </c>
      <c r="J17" s="316">
        <f t="shared" ca="1" si="1"/>
        <v>6.34908393593249</v>
      </c>
      <c r="K17" s="314"/>
      <c r="L17" s="316">
        <f>((D17*DATA!$D$23)/1000000)+((E17*DATA!$D$24)/1000000)</f>
        <v>7.6280159999999997</v>
      </c>
      <c r="M17" s="316">
        <f t="shared" si="2"/>
        <v>7.6280159999999997</v>
      </c>
      <c r="N17" s="316">
        <f t="shared" ca="1" si="6"/>
        <v>1.2789320640675097</v>
      </c>
      <c r="O17" s="315">
        <f>1/(1+'[93]Asumsi I'!$C$3)^(KKF!A17)</f>
        <v>0.32197323659069599</v>
      </c>
      <c r="P17" s="316">
        <f t="shared" ca="1" si="7"/>
        <v>0.41178189604743548</v>
      </c>
      <c r="Q17" s="316">
        <f t="shared" ca="1" si="9"/>
        <v>-6.232979013187709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5280</v>
      </c>
      <c r="D18" s="316">
        <f t="shared" si="5"/>
        <v>880</v>
      </c>
      <c r="E18" s="316">
        <f t="shared" si="0"/>
        <v>4400</v>
      </c>
      <c r="F18" s="314"/>
      <c r="G18" s="318">
        <f ca="1">DATA!$D$11/1000000</f>
        <v>0.49610963819999998</v>
      </c>
      <c r="H18" s="318">
        <f>C18*DATA!$D$5/1000000</f>
        <v>5.7241802422811636</v>
      </c>
      <c r="I18" s="318">
        <f>(C18*DATA!$D$5*DATA!$D$7)/1000000</f>
        <v>0.12879405545132619</v>
      </c>
      <c r="J18" s="316">
        <f t="shared" ca="1" si="1"/>
        <v>6.34908393593249</v>
      </c>
      <c r="K18" s="314"/>
      <c r="L18" s="316">
        <f>((D18*DATA!$D$23)/1000000)+((E18*DATA!$D$24)/1000000)</f>
        <v>7.6280159999999997</v>
      </c>
      <c r="M18" s="316">
        <f t="shared" si="2"/>
        <v>7.6280159999999997</v>
      </c>
      <c r="N18" s="316">
        <f t="shared" ca="1" si="6"/>
        <v>1.2789320640675097</v>
      </c>
      <c r="O18" s="315">
        <f>1/(1+'[93]Asumsi I'!$C$3)^(KKF!A18)</f>
        <v>0.28747610409883567</v>
      </c>
      <c r="P18" s="316">
        <f t="shared" ca="1" si="7"/>
        <v>0.3676624071852102</v>
      </c>
      <c r="Q18" s="316">
        <f t="shared" ca="1" si="9"/>
        <v>-5.8653166060024988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5280</v>
      </c>
      <c r="D19" s="316">
        <f t="shared" si="5"/>
        <v>880</v>
      </c>
      <c r="E19" s="316">
        <f t="shared" si="0"/>
        <v>4400</v>
      </c>
      <c r="F19" s="314"/>
      <c r="G19" s="318">
        <f ca="1">DATA!$D$11/1000000</f>
        <v>0.49610963819999998</v>
      </c>
      <c r="H19" s="318">
        <f>C19*DATA!$D$5/1000000</f>
        <v>5.7241802422811636</v>
      </c>
      <c r="I19" s="318">
        <f>(C19*DATA!$D$5*DATA!$D$7)/1000000</f>
        <v>0.12879405545132619</v>
      </c>
      <c r="J19" s="316">
        <f t="shared" ca="1" si="1"/>
        <v>6.34908393593249</v>
      </c>
      <c r="K19" s="314"/>
      <c r="L19" s="316">
        <f>((D19*DATA!$D$23)/1000000)+((E19*DATA!$D$24)/1000000)</f>
        <v>7.6280159999999997</v>
      </c>
      <c r="M19" s="316">
        <f t="shared" si="2"/>
        <v>7.6280159999999997</v>
      </c>
      <c r="N19" s="316">
        <f t="shared" ca="1" si="6"/>
        <v>1.2789320640675097</v>
      </c>
      <c r="O19" s="315">
        <f>1/(1+'[93]Asumsi I'!$C$3)^(KKF!A19)</f>
        <v>0.25667509294538904</v>
      </c>
      <c r="P19" s="316">
        <f t="shared" ca="1" si="7"/>
        <v>0.3282700064153663</v>
      </c>
      <c r="Q19" s="316">
        <f t="shared" ca="1" si="9"/>
        <v>-5.5370465995871321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5280</v>
      </c>
      <c r="D20" s="316">
        <f t="shared" si="5"/>
        <v>880</v>
      </c>
      <c r="E20" s="316">
        <f t="shared" si="0"/>
        <v>4400</v>
      </c>
      <c r="F20" s="314"/>
      <c r="G20" s="318">
        <f ca="1">DATA!$D$11/1000000</f>
        <v>0.49610963819999998</v>
      </c>
      <c r="H20" s="318">
        <f>C20*DATA!$D$5/1000000</f>
        <v>5.7241802422811636</v>
      </c>
      <c r="I20" s="318">
        <f>(C20*DATA!$D$5*DATA!$D$7)/1000000</f>
        <v>0.12879405545132619</v>
      </c>
      <c r="J20" s="316">
        <f t="shared" ca="1" si="1"/>
        <v>6.34908393593249</v>
      </c>
      <c r="K20" s="314"/>
      <c r="L20" s="316">
        <f>((D20*DATA!$D$23)/1000000)+((E20*DATA!$D$24)/1000000)</f>
        <v>7.6280159999999997</v>
      </c>
      <c r="M20" s="316">
        <f t="shared" si="2"/>
        <v>7.6280159999999997</v>
      </c>
      <c r="N20" s="316">
        <f t="shared" ca="1" si="6"/>
        <v>1.2789320640675097</v>
      </c>
      <c r="O20" s="315">
        <f>1/(1+'[93]Asumsi I'!$C$3)^(KKF!A20)</f>
        <v>0.22917419012981158</v>
      </c>
      <c r="P20" s="316">
        <f t="shared" ca="1" si="7"/>
        <v>0.29309822001371982</v>
      </c>
      <c r="Q20" s="316">
        <f t="shared" ca="1" si="9"/>
        <v>-5.2439483795734123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5280</v>
      </c>
      <c r="D21" s="316">
        <f t="shared" si="5"/>
        <v>880</v>
      </c>
      <c r="E21" s="316">
        <f t="shared" si="0"/>
        <v>4400</v>
      </c>
      <c r="F21" s="314"/>
      <c r="G21" s="318">
        <f ca="1">DATA!$D$11/1000000</f>
        <v>0.49610963819999998</v>
      </c>
      <c r="H21" s="318">
        <f>C21*DATA!$D$5/1000000</f>
        <v>5.7241802422811636</v>
      </c>
      <c r="I21" s="318">
        <f>(C21*DATA!$D$5*DATA!$D$7)/1000000</f>
        <v>0.12879405545132619</v>
      </c>
      <c r="J21" s="316">
        <f t="shared" ca="1" si="1"/>
        <v>6.34908393593249</v>
      </c>
      <c r="K21" s="314"/>
      <c r="L21" s="316">
        <f>((D21*DATA!$D$23)/1000000)+((E21*DATA!$D$24)/1000000)</f>
        <v>7.6280159999999997</v>
      </c>
      <c r="M21" s="316">
        <f t="shared" si="2"/>
        <v>7.6280159999999997</v>
      </c>
      <c r="N21" s="316">
        <f t="shared" ca="1" si="6"/>
        <v>1.2789320640675097</v>
      </c>
      <c r="O21" s="315">
        <f>1/(1+'[93]Asumsi I'!$C$3)^(KKF!A21)</f>
        <v>0.20461981261590317</v>
      </c>
      <c r="P21" s="316">
        <f t="shared" ca="1" si="7"/>
        <v>0.26169483929796411</v>
      </c>
      <c r="Q21" s="316">
        <f t="shared" ca="1" si="9"/>
        <v>-4.9822535402754484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5280</v>
      </c>
      <c r="D22" s="316">
        <f t="shared" si="5"/>
        <v>880</v>
      </c>
      <c r="E22" s="316">
        <f t="shared" si="0"/>
        <v>4400</v>
      </c>
      <c r="F22" s="314"/>
      <c r="G22" s="318">
        <f ca="1">DATA!$D$11/1000000</f>
        <v>0.49610963819999998</v>
      </c>
      <c r="H22" s="318">
        <f>C22*DATA!$D$5/1000000</f>
        <v>5.7241802422811636</v>
      </c>
      <c r="I22" s="318">
        <f>(C22*DATA!$D$5*DATA!$D$7)/1000000</f>
        <v>0.12879405545132619</v>
      </c>
      <c r="J22" s="316">
        <f t="shared" ca="1" si="1"/>
        <v>6.34908393593249</v>
      </c>
      <c r="K22" s="314"/>
      <c r="L22" s="316">
        <f>((D22*DATA!$D$23)/1000000)+((E22*DATA!$D$24)/1000000)</f>
        <v>7.6280159999999997</v>
      </c>
      <c r="M22" s="316">
        <f t="shared" si="2"/>
        <v>7.6280159999999997</v>
      </c>
      <c r="N22" s="316">
        <f t="shared" ca="1" si="6"/>
        <v>1.2789320640675097</v>
      </c>
      <c r="O22" s="315">
        <f>1/(1+'[93]Asumsi I'!$C$3)^(KKF!A22)</f>
        <v>0.18269626126419927</v>
      </c>
      <c r="P22" s="316">
        <f t="shared" ca="1" si="7"/>
        <v>0.23365610651603941</v>
      </c>
      <c r="Q22" s="316">
        <f t="shared" ca="1" si="9"/>
        <v>-4.748597433759409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5280</v>
      </c>
      <c r="D23" s="316">
        <f t="shared" si="5"/>
        <v>880</v>
      </c>
      <c r="E23" s="316">
        <f t="shared" si="0"/>
        <v>4400</v>
      </c>
      <c r="F23" s="314"/>
      <c r="G23" s="318">
        <f ca="1">DATA!$D$11/1000000</f>
        <v>0.49610963819999998</v>
      </c>
      <c r="H23" s="318">
        <f>C23*DATA!$D$5/1000000</f>
        <v>5.7241802422811636</v>
      </c>
      <c r="I23" s="318">
        <f>(C23*DATA!$D$5*DATA!$D$7)/1000000</f>
        <v>0.12879405545132619</v>
      </c>
      <c r="J23" s="316">
        <f t="shared" ca="1" si="1"/>
        <v>6.34908393593249</v>
      </c>
      <c r="K23" s="314"/>
      <c r="L23" s="316">
        <f>((D23*DATA!$D$23)/1000000)+((E23*DATA!$D$24)/1000000)</f>
        <v>7.6280159999999997</v>
      </c>
      <c r="M23" s="316">
        <f t="shared" si="2"/>
        <v>7.6280159999999997</v>
      </c>
      <c r="N23" s="316">
        <f t="shared" ca="1" si="6"/>
        <v>1.2789320640675097</v>
      </c>
      <c r="O23" s="315">
        <f>1/(1+'[93]Asumsi I'!$C$3)^(KKF!A23)</f>
        <v>0.16312166184303503</v>
      </c>
      <c r="P23" s="316">
        <f t="shared" ca="1" si="7"/>
        <v>0.20862152367503514</v>
      </c>
      <c r="Q23" s="316">
        <f t="shared" ca="1" si="9"/>
        <v>-4.5399759100843742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5280</v>
      </c>
      <c r="D24" s="316">
        <f t="shared" si="5"/>
        <v>880</v>
      </c>
      <c r="E24" s="316">
        <f t="shared" si="0"/>
        <v>4400</v>
      </c>
      <c r="F24" s="314"/>
      <c r="G24" s="318">
        <f ca="1">DATA!$D$11/1000000</f>
        <v>0.49610963819999998</v>
      </c>
      <c r="H24" s="318">
        <f>C24*DATA!$D$5/1000000</f>
        <v>5.7241802422811636</v>
      </c>
      <c r="I24" s="318">
        <f>(C24*DATA!$D$5*DATA!$D$7)/1000000</f>
        <v>0.12879405545132619</v>
      </c>
      <c r="J24" s="316">
        <f t="shared" ca="1" si="1"/>
        <v>6.34908393593249</v>
      </c>
      <c r="K24" s="314"/>
      <c r="L24" s="316">
        <f>((D24*DATA!$D$23)/1000000)+((E24*DATA!$D$24)/1000000)</f>
        <v>7.6280159999999997</v>
      </c>
      <c r="M24" s="316">
        <f t="shared" si="2"/>
        <v>7.6280159999999997</v>
      </c>
      <c r="N24" s="316">
        <f t="shared" ca="1" si="6"/>
        <v>1.2789320640675097</v>
      </c>
      <c r="O24" s="315">
        <f>1/(1+'[93]Asumsi I'!$C$3)^(KKF!A24)</f>
        <v>0.14564434093128129</v>
      </c>
      <c r="P24" s="316">
        <f t="shared" ca="1" si="7"/>
        <v>0.18626921756699566</v>
      </c>
      <c r="Q24" s="316">
        <f t="shared" ca="1" si="9"/>
        <v>-4.3537066925173784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5280</v>
      </c>
      <c r="D25" s="316">
        <f t="shared" si="5"/>
        <v>880</v>
      </c>
      <c r="E25" s="316">
        <f t="shared" si="0"/>
        <v>4400</v>
      </c>
      <c r="F25" s="314"/>
      <c r="G25" s="318">
        <f ca="1">DATA!$D$11/1000000</f>
        <v>0.49610963819999998</v>
      </c>
      <c r="H25" s="318">
        <f>C25*DATA!$D$5/1000000</f>
        <v>5.7241802422811636</v>
      </c>
      <c r="I25" s="318">
        <f>(C25*DATA!$D$5*DATA!$D$7)/1000000</f>
        <v>0.12879405545132619</v>
      </c>
      <c r="J25" s="316">
        <f t="shared" ca="1" si="1"/>
        <v>6.34908393593249</v>
      </c>
      <c r="K25" s="314"/>
      <c r="L25" s="316">
        <f>((D25*DATA!$D$23)/1000000)+((E25*DATA!$D$24)/1000000)</f>
        <v>7.6280159999999997</v>
      </c>
      <c r="M25" s="316">
        <f t="shared" si="2"/>
        <v>7.6280159999999997</v>
      </c>
      <c r="N25" s="316">
        <f t="shared" ca="1" si="6"/>
        <v>1.2789320640675097</v>
      </c>
      <c r="O25" s="315">
        <f>1/(1+'[93]Asumsi I'!$C$3)^(KKF!A25)</f>
        <v>0.13003959011721541</v>
      </c>
      <c r="P25" s="316">
        <f t="shared" ca="1" si="7"/>
        <v>0.16631180139910323</v>
      </c>
      <c r="Q25" s="316">
        <f t="shared" ca="1" si="9"/>
        <v>-4.1873948911182755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5280</v>
      </c>
      <c r="D26" s="316">
        <f t="shared" si="5"/>
        <v>880</v>
      </c>
      <c r="E26" s="316">
        <f t="shared" si="0"/>
        <v>4400</v>
      </c>
      <c r="F26" s="314"/>
      <c r="G26" s="318">
        <f ca="1">DATA!$D$11/1000000</f>
        <v>0.49610963819999998</v>
      </c>
      <c r="H26" s="318">
        <f>C26*DATA!$D$5/1000000</f>
        <v>5.7241802422811636</v>
      </c>
      <c r="I26" s="318">
        <f>(C26*DATA!$D$5*DATA!$D$7)/1000000</f>
        <v>0.12879405545132619</v>
      </c>
      <c r="J26" s="316">
        <f t="shared" ca="1" si="1"/>
        <v>6.34908393593249</v>
      </c>
      <c r="K26" s="314"/>
      <c r="L26" s="316">
        <f>((D26*DATA!$D$23)/1000000)+((E26*DATA!$D$24)/1000000)</f>
        <v>7.6280159999999997</v>
      </c>
      <c r="M26" s="316">
        <f t="shared" si="2"/>
        <v>7.6280159999999997</v>
      </c>
      <c r="N26" s="316">
        <f t="shared" ca="1" si="6"/>
        <v>1.2789320640675097</v>
      </c>
      <c r="O26" s="315">
        <f>1/(1+'[93]Asumsi I'!$C$3)^(KKF!A26)</f>
        <v>0.1161067768903709</v>
      </c>
      <c r="P26" s="316">
        <f t="shared" ca="1" si="7"/>
        <v>0.14849267982062789</v>
      </c>
      <c r="Q26" s="316">
        <f t="shared" ca="1" si="9"/>
        <v>-4.0389022112976471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5280</v>
      </c>
      <c r="D27" s="316">
        <f t="shared" si="5"/>
        <v>880</v>
      </c>
      <c r="E27" s="316">
        <f t="shared" si="0"/>
        <v>4400</v>
      </c>
      <c r="F27" s="314"/>
      <c r="G27" s="318">
        <f ca="1">DATA!$D$11/1000000</f>
        <v>0.49610963819999998</v>
      </c>
      <c r="H27" s="318">
        <f>C27*DATA!$D$5/1000000</f>
        <v>5.7241802422811636</v>
      </c>
      <c r="I27" s="318">
        <f>(C27*DATA!$D$5*DATA!$D$7)/1000000</f>
        <v>0.12879405545132619</v>
      </c>
      <c r="J27" s="316">
        <f t="shared" ca="1" si="1"/>
        <v>6.34908393593249</v>
      </c>
      <c r="K27" s="314"/>
      <c r="L27" s="316">
        <f>((D27*DATA!$D$23)/1000000)+((E27*DATA!$D$24)/1000000)</f>
        <v>7.6280159999999997</v>
      </c>
      <c r="M27" s="316">
        <f t="shared" si="2"/>
        <v>7.6280159999999997</v>
      </c>
      <c r="N27" s="316">
        <f t="shared" ca="1" si="6"/>
        <v>1.2789320640675097</v>
      </c>
      <c r="O27" s="315">
        <f>1/(1+'[93]Asumsi I'!$C$3)^(KKF!A27)</f>
        <v>0.1036667650806883</v>
      </c>
      <c r="P27" s="316">
        <f t="shared" ca="1" si="7"/>
        <v>0.13258274983984633</v>
      </c>
      <c r="Q27" s="316">
        <f t="shared" ca="1" si="9"/>
        <v>-3.9063194614578007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5280</v>
      </c>
      <c r="D28" s="316">
        <f t="shared" si="5"/>
        <v>880</v>
      </c>
      <c r="E28" s="316">
        <f t="shared" si="0"/>
        <v>4400</v>
      </c>
      <c r="F28" s="314"/>
      <c r="G28" s="318">
        <f ca="1">DATA!$D$11/1000000</f>
        <v>0.49610963819999998</v>
      </c>
      <c r="H28" s="318">
        <f>C28*DATA!$D$5/1000000</f>
        <v>5.7241802422811636</v>
      </c>
      <c r="I28" s="318">
        <f>(C28*DATA!$D$5*DATA!$D$7)/1000000</f>
        <v>0.12879405545132619</v>
      </c>
      <c r="J28" s="316">
        <f t="shared" ca="1" si="1"/>
        <v>6.34908393593249</v>
      </c>
      <c r="K28" s="314"/>
      <c r="L28" s="316">
        <f>((D28*DATA!$D$23)/1000000)+((E28*DATA!$D$24)/1000000)</f>
        <v>7.6280159999999997</v>
      </c>
      <c r="M28" s="316">
        <f t="shared" si="2"/>
        <v>7.6280159999999997</v>
      </c>
      <c r="N28" s="316">
        <f t="shared" ca="1" si="6"/>
        <v>1.2789320640675097</v>
      </c>
      <c r="O28" s="315">
        <f>1/(1+'[93]Asumsi I'!$C$3)^(KKF!A28)</f>
        <v>9.2559611679185971E-2</v>
      </c>
      <c r="P28" s="316">
        <f t="shared" ca="1" si="7"/>
        <v>0.1183774552141485</v>
      </c>
      <c r="Q28" s="316">
        <f t="shared" ca="1" si="9"/>
        <v>-3.7879420062436524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5280</v>
      </c>
      <c r="D29" s="316">
        <f t="shared" si="5"/>
        <v>880</v>
      </c>
      <c r="E29" s="316">
        <f t="shared" si="0"/>
        <v>4400</v>
      </c>
      <c r="F29" s="314"/>
      <c r="G29" s="318">
        <f ca="1">DATA!$D$11/1000000</f>
        <v>0.49610963819999998</v>
      </c>
      <c r="H29" s="318">
        <f>C29*DATA!$D$5/1000000</f>
        <v>5.7241802422811636</v>
      </c>
      <c r="I29" s="318">
        <f>(C29*DATA!$D$5*DATA!$D$7)/1000000</f>
        <v>0.12879405545132619</v>
      </c>
      <c r="J29" s="316">
        <f t="shared" ca="1" si="1"/>
        <v>6.34908393593249</v>
      </c>
      <c r="K29" s="314"/>
      <c r="L29" s="316">
        <f>((D29*DATA!$D$23)/1000000)+((E29*DATA!$D$24)/1000000)</f>
        <v>7.6280159999999997</v>
      </c>
      <c r="M29" s="316">
        <f t="shared" si="2"/>
        <v>7.6280159999999997</v>
      </c>
      <c r="N29" s="316">
        <f t="shared" ca="1" si="6"/>
        <v>1.2789320640675097</v>
      </c>
      <c r="O29" s="315">
        <f>1/(1+'[93]Asumsi I'!$C$3)^(KKF!A29)</f>
        <v>8.2642510427844609E-2</v>
      </c>
      <c r="P29" s="316">
        <f t="shared" ca="1" si="7"/>
        <v>0.105694156441204</v>
      </c>
      <c r="Q29" s="316">
        <f t="shared" ca="1" si="9"/>
        <v>-3.6822478498024482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5280</v>
      </c>
      <c r="D30" s="316">
        <f t="shared" si="5"/>
        <v>880</v>
      </c>
      <c r="E30" s="316">
        <f t="shared" si="0"/>
        <v>4400</v>
      </c>
      <c r="F30" s="314"/>
      <c r="G30" s="318">
        <f ca="1">DATA!$D$11/1000000</f>
        <v>0.49610963819999998</v>
      </c>
      <c r="H30" s="318">
        <f>C30*DATA!$D$5/1000000</f>
        <v>5.7241802422811636</v>
      </c>
      <c r="I30" s="318">
        <f>(C30*DATA!$D$5*DATA!$D$7)/1000000</f>
        <v>0.12879405545132619</v>
      </c>
      <c r="J30" s="316">
        <f t="shared" ca="1" si="1"/>
        <v>6.34908393593249</v>
      </c>
      <c r="K30" s="314"/>
      <c r="L30" s="316">
        <f>((D30*DATA!$D$23)/1000000)+((E30*DATA!$D$24)/1000000)</f>
        <v>7.6280159999999997</v>
      </c>
      <c r="M30" s="316">
        <f t="shared" si="2"/>
        <v>7.6280159999999997</v>
      </c>
      <c r="N30" s="316">
        <f t="shared" ca="1" si="6"/>
        <v>1.2789320640675097</v>
      </c>
      <c r="O30" s="315">
        <f>1/(1+'[93]Asumsi I'!$C$3)^(KKF!A30)</f>
        <v>7.3787955739146982E-2</v>
      </c>
      <c r="P30" s="316">
        <f t="shared" ca="1" si="7"/>
        <v>9.4369782536789293E-2</v>
      </c>
      <c r="Q30" s="316">
        <f t="shared" ca="1" si="9"/>
        <v>-3.5878780672656587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5280</v>
      </c>
      <c r="D31" s="316">
        <f t="shared" si="5"/>
        <v>880</v>
      </c>
      <c r="E31" s="316">
        <f t="shared" si="0"/>
        <v>4400</v>
      </c>
      <c r="F31" s="314"/>
      <c r="G31" s="318">
        <f ca="1">DATA!$D$11/1000000</f>
        <v>0.49610963819999998</v>
      </c>
      <c r="H31" s="318">
        <f>C31*DATA!$D$5/1000000</f>
        <v>5.7241802422811636</v>
      </c>
      <c r="I31" s="318">
        <f>(C31*DATA!$D$5*DATA!$D$7)/1000000</f>
        <v>0.12879405545132619</v>
      </c>
      <c r="J31" s="316">
        <f t="shared" ca="1" si="1"/>
        <v>6.34908393593249</v>
      </c>
      <c r="K31" s="314"/>
      <c r="L31" s="316">
        <f>((D31*DATA!$D$23)/1000000)+((E31*DATA!$D$24)/1000000)</f>
        <v>7.6280159999999997</v>
      </c>
      <c r="M31" s="316">
        <f t="shared" si="2"/>
        <v>7.6280159999999997</v>
      </c>
      <c r="N31" s="316">
        <f t="shared" ca="1" si="6"/>
        <v>1.2789320640675097</v>
      </c>
      <c r="O31" s="315">
        <f>1/(1+'[93]Asumsi I'!$C$3)^(KKF!A31)</f>
        <v>6.5882103338524081E-2</v>
      </c>
      <c r="P31" s="316">
        <f t="shared" ca="1" si="7"/>
        <v>8.4258734407847577E-2</v>
      </c>
      <c r="Q31" s="316">
        <f ca="1">Q30+P31</f>
        <v>-3.5036193328578111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5280</v>
      </c>
      <c r="D32" s="316">
        <f t="shared" si="5"/>
        <v>880</v>
      </c>
      <c r="E32" s="316">
        <f t="shared" si="0"/>
        <v>4400</v>
      </c>
      <c r="F32" s="314"/>
      <c r="G32" s="318">
        <f ca="1">DATA!$D$11/1000000</f>
        <v>0.49610963819999998</v>
      </c>
      <c r="H32" s="318">
        <f>C32*DATA!$D$5/1000000</f>
        <v>5.7241802422811636</v>
      </c>
      <c r="I32" s="318">
        <f>(C32*DATA!$D$5*DATA!$D$7)/1000000</f>
        <v>0.12879405545132619</v>
      </c>
      <c r="J32" s="316">
        <f t="shared" ca="1" si="1"/>
        <v>6.34908393593249</v>
      </c>
      <c r="K32" s="314"/>
      <c r="L32" s="316">
        <f>((D32*DATA!$D$23)/1000000)+((E32*DATA!$D$24)/1000000)</f>
        <v>7.6280159999999997</v>
      </c>
      <c r="M32" s="316">
        <f t="shared" si="2"/>
        <v>7.6280159999999997</v>
      </c>
      <c r="N32" s="316">
        <f t="shared" ca="1" si="6"/>
        <v>1.2789320640675097</v>
      </c>
      <c r="O32" s="315">
        <f>1/(1+'[93]Asumsi I'!$C$3)^(KKF!A32)</f>
        <v>5.8823306552253637E-2</v>
      </c>
      <c r="P32" s="316">
        <f t="shared" ca="1" si="7"/>
        <v>7.5231012864149613E-2</v>
      </c>
      <c r="Q32" s="316">
        <f ca="1">Q31+P32</f>
        <v>-3.4283883199936613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09" t="s">
        <v>1374</v>
      </c>
      <c r="G33" s="609"/>
      <c r="H33" s="609"/>
      <c r="I33" s="324"/>
      <c r="J33" s="325">
        <f ca="1">SUM(J7:J32)</f>
        <v>187.93067281166725</v>
      </c>
      <c r="K33" s="609" t="s">
        <v>1375</v>
      </c>
      <c r="L33" s="609"/>
      <c r="M33" s="325">
        <f>SUM(M7:M32)</f>
        <v>206.44474400000004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22.83434377309775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1.0985154307774254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-3.0610609999943459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8.167491781227687E-2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8" priority="1" stopIfTrue="1" operator="greaterThanOrEqual">
      <formula>$F$7</formula>
    </cfRule>
    <cfRule type="cellIs" dxfId="17" priority="2" stopIfTrue="1" operator="lessThan">
      <formula>$F$7</formula>
    </cfRule>
  </conditionalFormatting>
  <conditionalFormatting sqref="Q7:Q32">
    <cfRule type="cellIs" dxfId="16" priority="3" operator="lessThan">
      <formula>0</formula>
    </cfRule>
    <cfRule type="cellIs" dxfId="15" priority="4" operator="lessThan">
      <formula>0</formula>
    </cfRule>
    <cfRule type="cellIs" dxfId="14" priority="5" operator="lessThan">
      <formula>-6395.81</formula>
    </cfRule>
    <cfRule type="cellIs" dxfId="13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03"/>
  <sheetViews>
    <sheetView showGridLines="0" zoomScale="70" zoomScaleNormal="70" zoomScaleSheetLayoutView="70" workbookViewId="0">
      <pane ySplit="13" topLeftCell="A38" activePane="bottomLeft" state="frozen"/>
      <selection activeCell="H1093" sqref="H1093"/>
      <selection pane="bottomLeft" activeCell="P69" sqref="P69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9" customWidth="1"/>
    <col min="4" max="4" width="13.7109375" style="409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12" t="s">
        <v>1036</v>
      </c>
      <c r="P3" s="612"/>
      <c r="Q3" s="346"/>
      <c r="T3" s="344"/>
      <c r="U3" s="345" t="s">
        <v>1041</v>
      </c>
      <c r="V3" s="344"/>
    </row>
    <row r="4" spans="1:22" ht="15.75" customHeight="1">
      <c r="B4" s="613" t="s">
        <v>1023</v>
      </c>
      <c r="C4" s="613"/>
      <c r="D4" s="613"/>
      <c r="E4" s="613"/>
      <c r="F4" s="613"/>
      <c r="G4" s="613"/>
      <c r="H4" s="613"/>
      <c r="I4" s="613"/>
      <c r="J4" s="613"/>
      <c r="K4" s="613"/>
      <c r="O4" s="612"/>
      <c r="P4" s="612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29" t="str">
        <f>DATA!D14</f>
        <v>IOH TLOGODOWO WONOSALAM</v>
      </c>
      <c r="H6" s="629"/>
      <c r="I6" s="629"/>
      <c r="J6" s="629"/>
      <c r="K6" s="629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1638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1548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15" t="s">
        <v>0</v>
      </c>
      <c r="C11" s="617" t="s">
        <v>1</v>
      </c>
      <c r="D11" s="620" t="s">
        <v>42</v>
      </c>
      <c r="E11" s="620" t="s">
        <v>43</v>
      </c>
      <c r="F11" s="620" t="s">
        <v>2</v>
      </c>
      <c r="G11" s="622" t="s">
        <v>41</v>
      </c>
      <c r="H11" s="620" t="s">
        <v>3</v>
      </c>
      <c r="I11" s="620"/>
      <c r="J11" s="620"/>
      <c r="K11" s="639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16"/>
      <c r="C12" s="618"/>
      <c r="D12" s="621"/>
      <c r="E12" s="621"/>
      <c r="F12" s="621"/>
      <c r="G12" s="623"/>
      <c r="H12" s="625" t="s">
        <v>46</v>
      </c>
      <c r="I12" s="625" t="s">
        <v>5</v>
      </c>
      <c r="J12" s="621" t="s">
        <v>47</v>
      </c>
      <c r="K12" s="640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16"/>
      <c r="C13" s="619"/>
      <c r="D13" s="621"/>
      <c r="E13" s="621"/>
      <c r="F13" s="621"/>
      <c r="G13" s="624"/>
      <c r="H13" s="626"/>
      <c r="I13" s="626"/>
      <c r="J13" s="621"/>
      <c r="K13" s="640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1612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6" ca="1" si="4">IF(OR(D15="MDU",D15="MDU-KD"),(IF($O$3="RAB NON MDU","PLN KD",G15*F15)),0)</f>
        <v>0</v>
      </c>
      <c r="I15" s="361">
        <f t="shared" ref="I15:I16" ca="1" si="5">IF(D15="HDW",G15*F15,0)</f>
        <v>0</v>
      </c>
      <c r="J15" s="361">
        <f t="shared" ref="J15:J16" ca="1" si="6">IF(D15="JASA",G15*F15,0)</f>
        <v>0</v>
      </c>
      <c r="K15" s="362">
        <f t="shared" ref="K15:K16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 t="e">
        <f>IF(AND(C16=0,#REF!=0,#REF!=0),"BLANKS",1)</f>
        <v>#REF!</v>
      </c>
      <c r="B16" s="371"/>
      <c r="C16" s="372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ca="1" si="4"/>
        <v>0</v>
      </c>
      <c r="I16" s="361">
        <f t="shared" ca="1" si="5"/>
        <v>0</v>
      </c>
      <c r="J16" s="361">
        <f t="shared" ca="1" si="6"/>
        <v>0</v>
      </c>
      <c r="K16" s="362">
        <f t="shared" ca="1" si="7"/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71">
        <v>1</v>
      </c>
      <c r="C17" s="109" t="s">
        <v>103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8">
        <v>1</v>
      </c>
      <c r="G17" s="360">
        <f ca="1">IF(ISERROR(OFFSET('HARGA SATUAN'!$I$6,MATCH(RAB!C17,'HARGA SATUAN'!$C$7:$C$1492,0),0)),0,OFFSET('HARGA SATUAN'!$I$6,MATCH(RAB!C17,'HARGA SATUAN'!$C$7:$C$1492,0),0))</f>
        <v>5800000</v>
      </c>
      <c r="H17" s="361">
        <f t="shared" ref="H17:H20" ca="1" si="8">IF(OR(D17="MDU",D17="MDU-KD"),(IF($O$3="RAB NON MDU","PLN KD",G17*F17)),0)</f>
        <v>0</v>
      </c>
      <c r="I17" s="361">
        <f t="shared" ref="I17:I20" ca="1" si="9">IF(D17="HDW",G17*F17,0)</f>
        <v>5800000</v>
      </c>
      <c r="J17" s="361">
        <f t="shared" ref="J17:J20" ca="1" si="10">IF(D17="JASA",G17*F17,0)</f>
        <v>0</v>
      </c>
      <c r="K17" s="362">
        <f t="shared" ref="K17:K20" ca="1" si="11">SUM(H17:J17)</f>
        <v>5800000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71">
        <v>2</v>
      </c>
      <c r="C18" s="109" t="s">
        <v>101</v>
      </c>
      <c r="D18" s="358" t="str">
        <f ca="1">IF(ISERROR(OFFSET('HARGA SATUAN'!$D$6,MATCH(RAB!C18,'HARGA SATUAN'!$C$7:$C$1492,0),0)),"",OFFSET('HARGA SATUAN'!$D$6,MATCH(RAB!C18,'HARGA SATUAN'!$C$7:$C$1492,0),0))</f>
        <v>HDW</v>
      </c>
      <c r="E18" s="359" t="str">
        <f ca="1">IF(B18="+","Unit",IF(ISERROR(OFFSET('HARGA SATUAN'!$E$6,MATCH(RAB!C18,'HARGA SATUAN'!$C$7:$C$1492,0),0)),"",OFFSET('HARGA SATUAN'!$E$6,MATCH(RAB!C18,'HARGA SATUAN'!$C$7:$C$1492,0),0)))</f>
        <v>Btg</v>
      </c>
      <c r="F18" s="368">
        <v>2</v>
      </c>
      <c r="G18" s="360">
        <f ca="1">IF(ISERROR(OFFSET('HARGA SATUAN'!$I$6,MATCH(RAB!C18,'HARGA SATUAN'!$C$7:$C$1492,0),0)),0,OFFSET('HARGA SATUAN'!$I$6,MATCH(RAB!C18,'HARGA SATUAN'!$C$7:$C$1492,0),0))</f>
        <v>3382600</v>
      </c>
      <c r="H18" s="361">
        <f t="shared" ref="H18" ca="1" si="12">IF(OR(D18="MDU",D18="MDU-KD"),(IF($O$3="RAB NON MDU","PLN KD",G18*F18)),0)</f>
        <v>0</v>
      </c>
      <c r="I18" s="361">
        <f t="shared" ref="I18" ca="1" si="13">IF(D18="HDW",G18*F18,0)</f>
        <v>6765200</v>
      </c>
      <c r="J18" s="361">
        <f t="shared" ref="J18" ca="1" si="14">IF(D18="JASA",G18*F18,0)</f>
        <v>0</v>
      </c>
      <c r="K18" s="362">
        <f t="shared" ref="K18" ca="1" si="15">SUM(H18:J18)</f>
        <v>6765200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71"/>
      <c r="C19" s="109"/>
      <c r="D19" s="358"/>
      <c r="E19" s="359"/>
      <c r="F19" s="368"/>
      <c r="G19" s="360"/>
      <c r="H19" s="361"/>
      <c r="I19" s="361"/>
      <c r="J19" s="361"/>
      <c r="K19" s="362"/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70" customFormat="1">
      <c r="A20" s="336"/>
      <c r="B20" s="366" t="s">
        <v>1613</v>
      </c>
      <c r="C20" s="367" t="s">
        <v>1632</v>
      </c>
      <c r="D20" s="358" t="str">
        <f ca="1">IF(ISERROR(OFFSET('HARGA SATUAN'!$D$6,MATCH(RAB!C20,'HARGA SATUAN'!$C$7:$C$1492,0),0)),"",OFFSET('HARGA SATUAN'!$D$6,MATCH(RAB!C20,'HARGA SATUAN'!$C$7:$C$1492,0),0))</f>
        <v/>
      </c>
      <c r="E20" s="359" t="str">
        <f ca="1">IF(B20="+","Unit",IF(ISERROR(OFFSET('HARGA SATUAN'!$E$6,MATCH(RAB!C20,'HARGA SATUAN'!$C$7:$C$1492,0),0)),"",OFFSET('HARGA SATUAN'!$E$6,MATCH(RAB!C20,'HARGA SATUAN'!$C$7:$C$1492,0),0)))</f>
        <v/>
      </c>
      <c r="F20" s="368"/>
      <c r="G20" s="360">
        <f ca="1">IF(ISERROR(OFFSET('HARGA SATUAN'!$I$6,MATCH(RAB!C20,'HARGA SATUAN'!$C$7:$C$1492,0),0)),0,OFFSET('HARGA SATUAN'!$I$6,MATCH(RAB!C20,'HARGA SATUAN'!$C$7:$C$1492,0),0))</f>
        <v>0</v>
      </c>
      <c r="H20" s="361">
        <f t="shared" ca="1" si="8"/>
        <v>0</v>
      </c>
      <c r="I20" s="361">
        <f t="shared" ca="1" si="9"/>
        <v>0</v>
      </c>
      <c r="J20" s="361">
        <f t="shared" ca="1" si="10"/>
        <v>0</v>
      </c>
      <c r="K20" s="362">
        <f t="shared" ca="1" si="11"/>
        <v>0</v>
      </c>
      <c r="L20" s="369"/>
      <c r="M20" s="369"/>
      <c r="N20" s="369"/>
      <c r="O20" s="363"/>
      <c r="P20" s="363"/>
      <c r="Q20" s="344"/>
      <c r="R20" s="336"/>
      <c r="S20" s="364"/>
      <c r="T20" s="341"/>
      <c r="U20" s="341"/>
      <c r="V20" s="341"/>
    </row>
    <row r="21" spans="1:22" s="365" customFormat="1">
      <c r="A21" s="336"/>
      <c r="B21" s="511"/>
      <c r="C21" s="512"/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/>
      </c>
      <c r="F21" s="368"/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ref="H21" ca="1" si="16">IF(OR(D21="MDU",D21="MDU-KD"),(IF($O$3="RAB NON MDU","PLN KD",G21*F21)),0)</f>
        <v>0</v>
      </c>
      <c r="I21" s="361">
        <f t="shared" ref="I21" ca="1" si="17">IF(D21="HDW",G21*F21,0)</f>
        <v>0</v>
      </c>
      <c r="J21" s="361">
        <f t="shared" ref="J21" ca="1" si="18">IF(D21="JASA",G21*F21,0)</f>
        <v>0</v>
      </c>
      <c r="K21" s="362">
        <f t="shared" ref="K21" ca="1" si="19">SUM(H21:J21)</f>
        <v>0</v>
      </c>
      <c r="L21" s="342"/>
      <c r="M21" s="342"/>
      <c r="N21" s="369"/>
      <c r="O21" s="344"/>
      <c r="P21" s="397"/>
      <c r="Q21" s="344"/>
    </row>
    <row r="22" spans="1:22" s="365" customFormat="1">
      <c r="A22" s="336"/>
      <c r="B22" s="511" t="s">
        <v>1035</v>
      </c>
      <c r="C22" s="512" t="s">
        <v>1620</v>
      </c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>Unit</v>
      </c>
      <c r="F22" s="501">
        <v>4</v>
      </c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ref="H22:H28" ca="1" si="20">IF(OR(D22="MDU",D22="MDU-KD"),(IF($O$3="RAB NON MDU","PLN KD",G22*F22)),0)</f>
        <v>0</v>
      </c>
      <c r="I22" s="361">
        <f t="shared" ref="I22:I28" ca="1" si="21">IF(D22="HDW",G22*F22,0)</f>
        <v>0</v>
      </c>
      <c r="J22" s="361">
        <f t="shared" ref="J22:J28" ca="1" si="22">IF(D22="JASA",G22*F22,0)</f>
        <v>0</v>
      </c>
      <c r="K22" s="362">
        <f t="shared" ref="K22:K28" ca="1" si="23">SUM(H22:J22)</f>
        <v>0</v>
      </c>
      <c r="L22" s="342"/>
      <c r="M22" s="342"/>
      <c r="N22" s="369"/>
      <c r="O22" s="344"/>
      <c r="P22" s="397"/>
      <c r="Q22" s="344"/>
    </row>
    <row r="23" spans="1:22" s="365" customFormat="1">
      <c r="A23" s="336"/>
      <c r="B23" s="511">
        <v>1</v>
      </c>
      <c r="C23" s="512" t="s">
        <v>595</v>
      </c>
      <c r="D23" s="358" t="str">
        <f ca="1">IF(ISERROR(OFFSET('HARGA SATUAN'!$D$6,MATCH(RAB!C23,'HARGA SATUAN'!$C$7:$C$1492,0),0)),"",OFFSET('HARGA SATUAN'!$D$6,MATCH(RAB!C23,'HARGA SATUAN'!$C$7:$C$1492,0),0))</f>
        <v>HDW</v>
      </c>
      <c r="E23" s="359" t="str">
        <f ca="1">IF(B23="+","Unit",IF(ISERROR(OFFSET('HARGA SATUAN'!$E$6,MATCH(RAB!C23,'HARGA SATUAN'!$C$7:$C$1492,0),0)),"",OFFSET('HARGA SATUAN'!$E$6,MATCH(RAB!C23,'HARGA SATUAN'!$C$7:$C$1492,0),0)))</f>
        <v>Bh</v>
      </c>
      <c r="F23" s="501">
        <f>F22*1</f>
        <v>4</v>
      </c>
      <c r="G23" s="360">
        <f ca="1">IF(ISERROR(OFFSET('HARGA SATUAN'!$I$6,MATCH(RAB!C23,'HARGA SATUAN'!$C$7:$C$1492,0),0)),0,OFFSET('HARGA SATUAN'!$I$6,MATCH(RAB!C23,'HARGA SATUAN'!$C$7:$C$1492,0),0))</f>
        <v>78500</v>
      </c>
      <c r="H23" s="361">
        <f t="shared" ca="1" si="20"/>
        <v>0</v>
      </c>
      <c r="I23" s="361">
        <f t="shared" ca="1" si="21"/>
        <v>314000</v>
      </c>
      <c r="J23" s="361">
        <f t="shared" ca="1" si="22"/>
        <v>0</v>
      </c>
      <c r="K23" s="362">
        <f t="shared" ca="1" si="23"/>
        <v>314000</v>
      </c>
      <c r="L23" s="342"/>
      <c r="M23" s="342"/>
      <c r="N23" s="369"/>
      <c r="O23" s="344"/>
      <c r="P23" s="397"/>
      <c r="Q23" s="344"/>
    </row>
    <row r="24" spans="1:22" s="365" customFormat="1">
      <c r="A24" s="336"/>
      <c r="B24" s="511">
        <v>2</v>
      </c>
      <c r="C24" s="512" t="s">
        <v>229</v>
      </c>
      <c r="D24" s="358" t="str">
        <f ca="1">IF(ISERROR(OFFSET('HARGA SATUAN'!$D$6,MATCH(RAB!C24,'HARGA SATUAN'!$C$7:$C$1492,0),0)),"",OFFSET('HARGA SATUAN'!$D$6,MATCH(RAB!C24,'HARGA SATUAN'!$C$7:$C$1492,0),0))</f>
        <v>HDW</v>
      </c>
      <c r="E24" s="359" t="str">
        <f ca="1">IF(B24="+","Unit",IF(ISERROR(OFFSET('HARGA SATUAN'!$E$6,MATCH(RAB!C24,'HARGA SATUAN'!$C$7:$C$1492,0),0)),"",OFFSET('HARGA SATUAN'!$E$6,MATCH(RAB!C24,'HARGA SATUAN'!$C$7:$C$1492,0),0)))</f>
        <v>Bh</v>
      </c>
      <c r="F24" s="501">
        <f>F22*1</f>
        <v>4</v>
      </c>
      <c r="G24" s="360">
        <f ca="1">IF(ISERROR(OFFSET('HARGA SATUAN'!$I$6,MATCH(RAB!C24,'HARGA SATUAN'!$C$7:$C$1492,0),0)),0,OFFSET('HARGA SATUAN'!$I$6,MATCH(RAB!C24,'HARGA SATUAN'!$C$7:$C$1492,0),0))</f>
        <v>4212</v>
      </c>
      <c r="H24" s="361">
        <f t="shared" ca="1" si="20"/>
        <v>0</v>
      </c>
      <c r="I24" s="361">
        <f t="shared" ca="1" si="21"/>
        <v>16848</v>
      </c>
      <c r="J24" s="361">
        <f t="shared" ca="1" si="22"/>
        <v>0</v>
      </c>
      <c r="K24" s="362">
        <f t="shared" ca="1" si="23"/>
        <v>16848</v>
      </c>
      <c r="L24" s="342"/>
      <c r="M24" s="342"/>
      <c r="N24" s="369"/>
      <c r="O24" s="344"/>
      <c r="P24" s="397"/>
      <c r="Q24" s="344"/>
    </row>
    <row r="25" spans="1:22" s="365" customFormat="1">
      <c r="A25" s="336"/>
      <c r="B25" s="511">
        <v>3</v>
      </c>
      <c r="C25" s="512" t="s">
        <v>266</v>
      </c>
      <c r="D25" s="358" t="str">
        <f ca="1">IF(ISERROR(OFFSET('HARGA SATUAN'!$D$6,MATCH(RAB!C25,'HARGA SATUAN'!$C$7:$C$1492,0),0)),"",OFFSET('HARGA SATUAN'!$D$6,MATCH(RAB!C25,'HARGA SATUAN'!$C$7:$C$1492,0),0))</f>
        <v>HDW</v>
      </c>
      <c r="E25" s="359" t="str">
        <f ca="1">IF(B25="+","Unit",IF(ISERROR(OFFSET('HARGA SATUAN'!$E$6,MATCH(RAB!C25,'HARGA SATUAN'!$C$7:$C$1492,0),0)),"",OFFSET('HARGA SATUAN'!$E$6,MATCH(RAB!C25,'HARGA SATUAN'!$C$7:$C$1492,0),0)))</f>
        <v>Mtr</v>
      </c>
      <c r="F25" s="501">
        <f>F22*1</f>
        <v>4</v>
      </c>
      <c r="G25" s="360">
        <f ca="1">IF(ISERROR(OFFSET('HARGA SATUAN'!$I$6,MATCH(RAB!C25,'HARGA SATUAN'!$C$7:$C$1492,0),0)),0,OFFSET('HARGA SATUAN'!$I$6,MATCH(RAB!C25,'HARGA SATUAN'!$C$7:$C$1492,0),0))</f>
        <v>23310</v>
      </c>
      <c r="H25" s="361">
        <f t="shared" ca="1" si="20"/>
        <v>0</v>
      </c>
      <c r="I25" s="361">
        <f t="shared" ca="1" si="21"/>
        <v>93240</v>
      </c>
      <c r="J25" s="361">
        <f t="shared" ca="1" si="22"/>
        <v>0</v>
      </c>
      <c r="K25" s="362">
        <f t="shared" ca="1" si="23"/>
        <v>93240</v>
      </c>
      <c r="L25" s="342"/>
      <c r="M25" s="342"/>
      <c r="N25" s="369"/>
      <c r="O25" s="344"/>
      <c r="P25" s="397"/>
      <c r="Q25" s="344"/>
    </row>
    <row r="26" spans="1:22" s="365" customFormat="1">
      <c r="A26" s="336"/>
      <c r="B26" s="511">
        <v>4</v>
      </c>
      <c r="C26" s="512" t="s">
        <v>35</v>
      </c>
      <c r="D26" s="358" t="str">
        <f ca="1">IF(ISERROR(OFFSET('HARGA SATUAN'!$D$6,MATCH(RAB!C26,'HARGA SATUAN'!$C$7:$C$1492,0),0)),"",OFFSET('HARGA SATUAN'!$D$6,MATCH(RAB!C26,'HARGA SATUAN'!$C$7:$C$1492,0),0))</f>
        <v>HDW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501">
        <f>F22*1</f>
        <v>4</v>
      </c>
      <c r="G26" s="360">
        <f ca="1">IF(ISERROR(OFFSET('HARGA SATUAN'!$I$6,MATCH(RAB!C26,'HARGA SATUAN'!$C$7:$C$1492,0),0)),0,OFFSET('HARGA SATUAN'!$I$6,MATCH(RAB!C26,'HARGA SATUAN'!$C$7:$C$1492,0),0))</f>
        <v>2300</v>
      </c>
      <c r="H26" s="361">
        <f t="shared" ca="1" si="20"/>
        <v>0</v>
      </c>
      <c r="I26" s="361">
        <f t="shared" ca="1" si="21"/>
        <v>9200</v>
      </c>
      <c r="J26" s="361">
        <f t="shared" ca="1" si="22"/>
        <v>0</v>
      </c>
      <c r="K26" s="362">
        <f t="shared" ca="1" si="23"/>
        <v>9200</v>
      </c>
      <c r="L26" s="342"/>
      <c r="M26" s="342"/>
      <c r="N26" s="369"/>
      <c r="O26" s="344"/>
      <c r="P26" s="397"/>
      <c r="Q26" s="344"/>
    </row>
    <row r="27" spans="1:22" s="365" customFormat="1">
      <c r="A27" s="336"/>
      <c r="B27" s="511">
        <v>5</v>
      </c>
      <c r="C27" s="512" t="s">
        <v>630</v>
      </c>
      <c r="D27" s="358" t="str">
        <f ca="1">IF(ISERROR(OFFSET('HARGA SATUAN'!$D$6,MATCH(RAB!C27,'HARGA SATUAN'!$C$7:$C$1492,0),0)),"",OFFSET('HARGA SATUAN'!$D$6,MATCH(RAB!C27,'HARGA SATUAN'!$C$7:$C$1492,0),0))</f>
        <v>JASA</v>
      </c>
      <c r="E27" s="359" t="str">
        <f ca="1">IF(B27="+","Unit",IF(ISERROR(OFFSET('HARGA SATUAN'!$E$6,MATCH(RAB!C27,'HARGA SATUAN'!$C$7:$C$1492,0),0)),"",OFFSET('HARGA SATUAN'!$E$6,MATCH(RAB!C27,'HARGA SATUAN'!$C$7:$C$1492,0),0)))</f>
        <v>Unit</v>
      </c>
      <c r="F27" s="501">
        <f>F22*1</f>
        <v>4</v>
      </c>
      <c r="G27" s="360">
        <f ca="1">IF(ISERROR(OFFSET('HARGA SATUAN'!$I$6,MATCH(RAB!C27,'HARGA SATUAN'!$C$7:$C$1492,0),0)),0,OFFSET('HARGA SATUAN'!$I$6,MATCH(RAB!C27,'HARGA SATUAN'!$C$7:$C$1492,0),0))</f>
        <v>35700</v>
      </c>
      <c r="H27" s="361">
        <f t="shared" ca="1" si="20"/>
        <v>0</v>
      </c>
      <c r="I27" s="361">
        <f t="shared" ca="1" si="21"/>
        <v>0</v>
      </c>
      <c r="J27" s="361">
        <f t="shared" ca="1" si="22"/>
        <v>142800</v>
      </c>
      <c r="K27" s="362">
        <f t="shared" ca="1" si="23"/>
        <v>142800</v>
      </c>
      <c r="L27" s="342"/>
      <c r="M27" s="342"/>
      <c r="N27" s="369"/>
      <c r="O27" s="344"/>
      <c r="P27" s="397"/>
      <c r="Q27" s="344"/>
    </row>
    <row r="28" spans="1:22" s="365" customFormat="1">
      <c r="A28" s="336"/>
      <c r="B28" s="511"/>
      <c r="C28" s="512"/>
      <c r="D28" s="358" t="str">
        <f ca="1">IF(ISERROR(OFFSET('HARGA SATUAN'!$D$6,MATCH(RAB!C28,'HARGA SATUAN'!$C$7:$C$1492,0),0)),"",OFFSET('HARGA SATUAN'!$D$6,MATCH(RAB!C28,'HARGA SATUAN'!$C$7:$C$1492,0),0))</f>
        <v/>
      </c>
      <c r="E28" s="359" t="str">
        <f ca="1">IF(B28="+","Unit",IF(ISERROR(OFFSET('HARGA SATUAN'!$E$6,MATCH(RAB!C28,'HARGA SATUAN'!$C$7:$C$1492,0),0)),"",OFFSET('HARGA SATUAN'!$E$6,MATCH(RAB!C28,'HARGA SATUAN'!$C$7:$C$1492,0),0)))</f>
        <v/>
      </c>
      <c r="F28" s="501"/>
      <c r="G28" s="360">
        <f ca="1">IF(ISERROR(OFFSET('HARGA SATUAN'!$I$6,MATCH(RAB!C28,'HARGA SATUAN'!$C$7:$C$1492,0),0)),0,OFFSET('HARGA SATUAN'!$I$6,MATCH(RAB!C28,'HARGA SATUAN'!$C$7:$C$1492,0),0))</f>
        <v>0</v>
      </c>
      <c r="H28" s="361">
        <f t="shared" ca="1" si="20"/>
        <v>0</v>
      </c>
      <c r="I28" s="361">
        <f t="shared" ca="1" si="21"/>
        <v>0</v>
      </c>
      <c r="J28" s="361">
        <f t="shared" ca="1" si="22"/>
        <v>0</v>
      </c>
      <c r="K28" s="362">
        <f t="shared" ca="1" si="23"/>
        <v>0</v>
      </c>
      <c r="L28" s="342"/>
      <c r="M28" s="342"/>
      <c r="N28" s="369"/>
      <c r="O28" s="344"/>
      <c r="P28" s="397"/>
      <c r="Q28" s="344"/>
    </row>
    <row r="29" spans="1:22" s="365" customFormat="1">
      <c r="A29" s="336"/>
      <c r="B29" s="711" t="s">
        <v>1035</v>
      </c>
      <c r="C29" s="712" t="s">
        <v>1624</v>
      </c>
      <c r="D29" s="358" t="str">
        <f ca="1">IF(ISERROR(OFFSET('HARGA SATUAN'!$D$6,MATCH(RAB!C29,'HARGA SATUAN'!$C$7:$C$1492,0),0)),"",OFFSET('HARGA SATUAN'!$D$6,MATCH(RAB!C29,'HARGA SATUAN'!$C$7:$C$1492,0),0))</f>
        <v/>
      </c>
      <c r="E29" s="359" t="str">
        <f ca="1">IF(B29="+","Unit",IF(ISERROR(OFFSET('HARGA SATUAN'!$E$6,MATCH(RAB!C29,'HARGA SATUAN'!$C$7:$C$1492,0),0)),"",OFFSET('HARGA SATUAN'!$E$6,MATCH(RAB!C29,'HARGA SATUAN'!$C$7:$C$1492,0),0)))</f>
        <v>Unit</v>
      </c>
      <c r="F29" s="501">
        <v>1</v>
      </c>
      <c r="G29" s="360">
        <f ca="1">IF(ISERROR(OFFSET('HARGA SATUAN'!$I$6,MATCH(RAB!C29,'HARGA SATUAN'!$C$7:$C$1492,0),0)),0,OFFSET('HARGA SATUAN'!$I$6,MATCH(RAB!C29,'HARGA SATUAN'!$C$7:$C$1492,0),0))</f>
        <v>0</v>
      </c>
      <c r="H29" s="361">
        <f t="shared" ref="H29:H35" ca="1" si="24">IF(OR(D29="MDU",D29="MDU-KD"),(IF($O$3="RAB NON MDU","PLN KD",G29*F29)),0)</f>
        <v>0</v>
      </c>
      <c r="I29" s="361">
        <f t="shared" ref="I29:I35" ca="1" si="25">IF(D29="HDW",G29*F29,0)</f>
        <v>0</v>
      </c>
      <c r="J29" s="361">
        <f t="shared" ref="J29:J35" ca="1" si="26">IF(D29="JASA",G29*F29,0)</f>
        <v>0</v>
      </c>
      <c r="K29" s="362">
        <f t="shared" ref="K29:K35" ca="1" si="27">SUM(H29:J29)</f>
        <v>0</v>
      </c>
      <c r="L29" s="342"/>
      <c r="M29" s="342"/>
      <c r="N29" s="369"/>
      <c r="O29" s="344"/>
      <c r="P29" s="397"/>
      <c r="Q29" s="344"/>
    </row>
    <row r="30" spans="1:22" s="365" customFormat="1">
      <c r="A30" s="336"/>
      <c r="B30" s="711">
        <v>1</v>
      </c>
      <c r="C30" s="712" t="s">
        <v>229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501">
        <f>F29*1</f>
        <v>1</v>
      </c>
      <c r="G30" s="360">
        <f ca="1">IF(ISERROR(OFFSET('HARGA SATUAN'!$I$6,MATCH(RAB!C30,'HARGA SATUAN'!$C$7:$C$1492,0),0)),0,OFFSET('HARGA SATUAN'!$I$6,MATCH(RAB!C30,'HARGA SATUAN'!$C$7:$C$1492,0),0))</f>
        <v>4212</v>
      </c>
      <c r="H30" s="361">
        <f t="shared" ca="1" si="24"/>
        <v>0</v>
      </c>
      <c r="I30" s="361">
        <f t="shared" ca="1" si="25"/>
        <v>4212</v>
      </c>
      <c r="J30" s="361">
        <f t="shared" ca="1" si="26"/>
        <v>0</v>
      </c>
      <c r="K30" s="362">
        <f t="shared" ca="1" si="27"/>
        <v>4212</v>
      </c>
      <c r="L30" s="342"/>
      <c r="M30" s="342"/>
      <c r="N30" s="369"/>
      <c r="O30" s="344"/>
      <c r="P30" s="397"/>
      <c r="Q30" s="344"/>
    </row>
    <row r="31" spans="1:22" s="365" customFormat="1">
      <c r="A31" s="336"/>
      <c r="B31" s="711">
        <v>2</v>
      </c>
      <c r="C31" s="712" t="s">
        <v>266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Mtr</v>
      </c>
      <c r="F31" s="501">
        <f>F29*1</f>
        <v>1</v>
      </c>
      <c r="G31" s="360">
        <f ca="1">IF(ISERROR(OFFSET('HARGA SATUAN'!$I$6,MATCH(RAB!C31,'HARGA SATUAN'!$C$7:$C$1492,0),0)),0,OFFSET('HARGA SATUAN'!$I$6,MATCH(RAB!C31,'HARGA SATUAN'!$C$7:$C$1492,0),0))</f>
        <v>23310</v>
      </c>
      <c r="H31" s="361">
        <f t="shared" ca="1" si="24"/>
        <v>0</v>
      </c>
      <c r="I31" s="361">
        <f t="shared" ca="1" si="25"/>
        <v>23310</v>
      </c>
      <c r="J31" s="361">
        <f t="shared" ca="1" si="26"/>
        <v>0</v>
      </c>
      <c r="K31" s="362">
        <f t="shared" ca="1" si="27"/>
        <v>23310</v>
      </c>
      <c r="L31" s="342"/>
      <c r="M31" s="342"/>
      <c r="N31" s="369"/>
      <c r="O31" s="344"/>
      <c r="P31" s="397"/>
      <c r="Q31" s="344"/>
    </row>
    <row r="32" spans="1:22" s="365" customFormat="1">
      <c r="A32" s="336"/>
      <c r="B32" s="711">
        <v>3</v>
      </c>
      <c r="C32" s="712" t="s">
        <v>35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501">
        <f>F29*1</f>
        <v>1</v>
      </c>
      <c r="G32" s="360">
        <f ca="1">IF(ISERROR(OFFSET('HARGA SATUAN'!$I$6,MATCH(RAB!C32,'HARGA SATUAN'!$C$7:$C$1492,0),0)),0,OFFSET('HARGA SATUAN'!$I$6,MATCH(RAB!C32,'HARGA SATUAN'!$C$7:$C$1492,0),0))</f>
        <v>2300</v>
      </c>
      <c r="H32" s="361">
        <f t="shared" ca="1" si="24"/>
        <v>0</v>
      </c>
      <c r="I32" s="361">
        <f t="shared" ca="1" si="25"/>
        <v>2300</v>
      </c>
      <c r="J32" s="361">
        <f t="shared" ca="1" si="26"/>
        <v>0</v>
      </c>
      <c r="K32" s="362">
        <f t="shared" ca="1" si="27"/>
        <v>2300</v>
      </c>
      <c r="L32" s="342"/>
      <c r="M32" s="342"/>
      <c r="N32" s="369"/>
      <c r="O32" s="344"/>
      <c r="P32" s="397"/>
      <c r="Q32" s="344"/>
    </row>
    <row r="33" spans="1:17" s="365" customFormat="1">
      <c r="A33" s="336"/>
      <c r="B33" s="711">
        <v>4</v>
      </c>
      <c r="C33" s="712" t="s">
        <v>609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501">
        <f>F29*1</f>
        <v>1</v>
      </c>
      <c r="G33" s="360">
        <f ca="1">IF(ISERROR(OFFSET('HARGA SATUAN'!$I$6,MATCH(RAB!C33,'HARGA SATUAN'!$C$7:$C$1492,0),0)),0,OFFSET('HARGA SATUAN'!$I$6,MATCH(RAB!C33,'HARGA SATUAN'!$C$7:$C$1492,0),0))</f>
        <v>71000</v>
      </c>
      <c r="H33" s="361">
        <f t="shared" ca="1" si="24"/>
        <v>0</v>
      </c>
      <c r="I33" s="361">
        <f t="shared" ca="1" si="25"/>
        <v>71000</v>
      </c>
      <c r="J33" s="361">
        <f t="shared" ca="1" si="26"/>
        <v>0</v>
      </c>
      <c r="K33" s="362">
        <f t="shared" ca="1" si="27"/>
        <v>71000</v>
      </c>
      <c r="L33" s="342"/>
      <c r="M33" s="342"/>
      <c r="N33" s="369"/>
      <c r="O33" s="344"/>
      <c r="P33" s="397"/>
      <c r="Q33" s="344"/>
    </row>
    <row r="34" spans="1:17" s="365" customFormat="1">
      <c r="A34" s="336"/>
      <c r="B34" s="711">
        <v>5</v>
      </c>
      <c r="C34" s="712" t="s">
        <v>629</v>
      </c>
      <c r="D34" s="358" t="str">
        <f ca="1">IF(ISERROR(OFFSET('HARGA SATUAN'!$D$6,MATCH(RAB!C34,'HARGA SATUAN'!$C$7:$C$1492,0),0)),"",OFFSET('HARGA SATUAN'!$D$6,MATCH(RAB!C34,'HARGA SATUAN'!$C$7:$C$1492,0),0))</f>
        <v>JASA</v>
      </c>
      <c r="E34" s="359" t="str">
        <f ca="1">IF(B34="+","Unit",IF(ISERROR(OFFSET('HARGA SATUAN'!$E$6,MATCH(RAB!C34,'HARGA SATUAN'!$C$7:$C$1492,0),0)),"",OFFSET('HARGA SATUAN'!$E$6,MATCH(RAB!C34,'HARGA SATUAN'!$C$7:$C$1492,0),0)))</f>
        <v>Unit</v>
      </c>
      <c r="F34" s="501">
        <f>F29*1</f>
        <v>1</v>
      </c>
      <c r="G34" s="360">
        <f ca="1">IF(ISERROR(OFFSET('HARGA SATUAN'!$I$6,MATCH(RAB!C34,'HARGA SATUAN'!$C$7:$C$1492,0),0)),0,OFFSET('HARGA SATUAN'!$I$6,MATCH(RAB!C34,'HARGA SATUAN'!$C$7:$C$1492,0),0))</f>
        <v>29400</v>
      </c>
      <c r="H34" s="361">
        <f t="shared" ca="1" si="24"/>
        <v>0</v>
      </c>
      <c r="I34" s="361">
        <f t="shared" ca="1" si="25"/>
        <v>0</v>
      </c>
      <c r="J34" s="361">
        <f t="shared" ca="1" si="26"/>
        <v>29400</v>
      </c>
      <c r="K34" s="362">
        <f t="shared" ca="1" si="27"/>
        <v>29400</v>
      </c>
      <c r="L34" s="342"/>
      <c r="M34" s="342"/>
      <c r="N34" s="369"/>
      <c r="O34" s="344"/>
      <c r="P34" s="397"/>
      <c r="Q34" s="344"/>
    </row>
    <row r="35" spans="1:17" s="365" customFormat="1">
      <c r="A35" s="336"/>
      <c r="B35" s="511"/>
      <c r="C35" s="512"/>
      <c r="D35" s="358" t="str">
        <f ca="1">IF(ISERROR(OFFSET('HARGA SATUAN'!$D$6,MATCH(RAB!C35,'HARGA SATUAN'!$C$7:$C$1492,0),0)),"",OFFSET('HARGA SATUAN'!$D$6,MATCH(RAB!C35,'HARGA SATUAN'!$C$7:$C$1492,0),0))</f>
        <v/>
      </c>
      <c r="E35" s="359" t="str">
        <f ca="1">IF(B35="+","Unit",IF(ISERROR(OFFSET('HARGA SATUAN'!$E$6,MATCH(RAB!C35,'HARGA SATUAN'!$C$7:$C$1492,0),0)),"",OFFSET('HARGA SATUAN'!$E$6,MATCH(RAB!C35,'HARGA SATUAN'!$C$7:$C$1492,0),0)))</f>
        <v/>
      </c>
      <c r="F35" s="501"/>
      <c r="G35" s="360">
        <f ca="1">IF(ISERROR(OFFSET('HARGA SATUAN'!$I$6,MATCH(RAB!C35,'HARGA SATUAN'!$C$7:$C$1492,0),0)),0,OFFSET('HARGA SATUAN'!$I$6,MATCH(RAB!C35,'HARGA SATUAN'!$C$7:$C$1492,0),0))</f>
        <v>0</v>
      </c>
      <c r="H35" s="361">
        <f t="shared" ca="1" si="24"/>
        <v>0</v>
      </c>
      <c r="I35" s="361">
        <f t="shared" ca="1" si="25"/>
        <v>0</v>
      </c>
      <c r="J35" s="361">
        <f t="shared" ca="1" si="26"/>
        <v>0</v>
      </c>
      <c r="K35" s="362">
        <f t="shared" ca="1" si="27"/>
        <v>0</v>
      </c>
      <c r="L35" s="342"/>
      <c r="M35" s="342"/>
      <c r="N35" s="369"/>
      <c r="O35" s="344"/>
      <c r="P35" s="397"/>
      <c r="Q35" s="344"/>
    </row>
    <row r="36" spans="1:17" s="365" customFormat="1">
      <c r="A36" s="336"/>
      <c r="B36" s="714"/>
      <c r="C36" s="507" t="s">
        <v>1637</v>
      </c>
      <c r="D36" s="358"/>
      <c r="E36" s="359"/>
      <c r="F36" s="501"/>
      <c r="G36" s="360"/>
      <c r="H36" s="361"/>
      <c r="I36" s="361"/>
      <c r="J36" s="361"/>
      <c r="K36" s="362"/>
      <c r="L36" s="342"/>
      <c r="M36" s="342"/>
      <c r="N36" s="369"/>
      <c r="O36" s="344"/>
      <c r="P36" s="397"/>
      <c r="Q36" s="344"/>
    </row>
    <row r="37" spans="1:17" s="365" customFormat="1">
      <c r="A37" s="336"/>
      <c r="B37" s="711" t="s">
        <v>1035</v>
      </c>
      <c r="C37" s="712" t="s">
        <v>1634</v>
      </c>
      <c r="D37" s="358" t="str">
        <f ca="1">IF(ISERROR(OFFSET('HARGA SATUAN'!$D$6,MATCH(RAB!C37,'HARGA SATUAN'!$C$7:$C$1492,0),0)),"",OFFSET('HARGA SATUAN'!$D$6,MATCH(RAB!C37,'HARGA SATUAN'!$C$7:$C$1492,0),0))</f>
        <v/>
      </c>
      <c r="E37" s="359" t="str">
        <f ca="1">IF(B37="+","Unit",IF(ISERROR(OFFSET('HARGA SATUAN'!$E$6,MATCH(RAB!C37,'HARGA SATUAN'!$C$7:$C$1492,0),0)),"",OFFSET('HARGA SATUAN'!$E$6,MATCH(RAB!C37,'HARGA SATUAN'!$C$7:$C$1492,0),0)))</f>
        <v>Unit</v>
      </c>
      <c r="F37" s="501">
        <v>1</v>
      </c>
      <c r="G37" s="360">
        <f ca="1">IF(ISERROR(OFFSET('HARGA SATUAN'!$I$6,MATCH(RAB!C37,'HARGA SATUAN'!$C$7:$C$1492,0),0)),0,OFFSET('HARGA SATUAN'!$I$6,MATCH(RAB!C37,'HARGA SATUAN'!$C$7:$C$1492,0),0))</f>
        <v>0</v>
      </c>
      <c r="H37" s="361">
        <f t="shared" ref="H37:H57" ca="1" si="28">IF(OR(D37="MDU",D37="MDU-KD"),(IF($O$3="RAB NON MDU","PLN KD",G37*F37)),0)</f>
        <v>0</v>
      </c>
      <c r="I37" s="361">
        <f t="shared" ref="I37:I57" ca="1" si="29">IF(D37="HDW",G37*F37,0)</f>
        <v>0</v>
      </c>
      <c r="J37" s="361">
        <f t="shared" ref="J37:J57" ca="1" si="30">IF(D37="JASA",G37*F37,0)</f>
        <v>0</v>
      </c>
      <c r="K37" s="362">
        <f t="shared" ref="K37:K57" ca="1" si="31">SUM(H37:J37)</f>
        <v>0</v>
      </c>
      <c r="L37" s="342"/>
      <c r="M37" s="342"/>
      <c r="N37" s="369"/>
      <c r="O37" s="344"/>
      <c r="P37" s="397"/>
      <c r="Q37" s="344"/>
    </row>
    <row r="38" spans="1:17" s="365" customFormat="1">
      <c r="A38" s="336"/>
      <c r="B38" s="711">
        <v>1</v>
      </c>
      <c r="C38" s="712" t="s">
        <v>28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501">
        <f>F37*1</f>
        <v>1</v>
      </c>
      <c r="G38" s="360">
        <f ca="1">IF(ISERROR(OFFSET('HARGA SATUAN'!$I$6,MATCH(RAB!C38,'HARGA SATUAN'!$C$7:$C$1492,0),0)),0,OFFSET('HARGA SATUAN'!$I$6,MATCH(RAB!C38,'HARGA SATUAN'!$C$7:$C$1492,0),0))</f>
        <v>26500</v>
      </c>
      <c r="H38" s="361">
        <f t="shared" ca="1" si="28"/>
        <v>0</v>
      </c>
      <c r="I38" s="361">
        <f t="shared" ca="1" si="29"/>
        <v>26500</v>
      </c>
      <c r="J38" s="361">
        <f t="shared" ca="1" si="30"/>
        <v>0</v>
      </c>
      <c r="K38" s="362">
        <f t="shared" ca="1" si="31"/>
        <v>26500</v>
      </c>
      <c r="L38" s="342"/>
      <c r="M38" s="342"/>
      <c r="N38" s="369"/>
      <c r="O38" s="344"/>
      <c r="P38" s="397"/>
      <c r="Q38" s="344"/>
    </row>
    <row r="39" spans="1:17" s="365" customFormat="1">
      <c r="A39" s="336"/>
      <c r="B39" s="711">
        <v>2</v>
      </c>
      <c r="C39" s="712" t="s">
        <v>203</v>
      </c>
      <c r="D39" s="358" t="str">
        <f ca="1">IF(ISERROR(OFFSET('HARGA SATUAN'!$D$6,MATCH(RAB!C39,'HARGA SATUAN'!$C$7:$C$1492,0),0)),"",OFFSET('HARGA SATUAN'!$D$6,MATCH(RAB!C39,'HARGA SATUAN'!$C$7:$C$1492,0),0))</f>
        <v>HDW</v>
      </c>
      <c r="E39" s="359" t="str">
        <f ca="1">IF(B39="+","Unit",IF(ISERROR(OFFSET('HARGA SATUAN'!$E$6,MATCH(RAB!C39,'HARGA SATUAN'!$C$7:$C$1492,0),0)),"",OFFSET('HARGA SATUAN'!$E$6,MATCH(RAB!C39,'HARGA SATUAN'!$C$7:$C$1492,0),0)))</f>
        <v>Bh</v>
      </c>
      <c r="F39" s="501">
        <f>F37*1</f>
        <v>1</v>
      </c>
      <c r="G39" s="360">
        <f ca="1">IF(ISERROR(OFFSET('HARGA SATUAN'!$I$6,MATCH(RAB!C39,'HARGA SATUAN'!$C$7:$C$1492,0),0)),0,OFFSET('HARGA SATUAN'!$I$6,MATCH(RAB!C39,'HARGA SATUAN'!$C$7:$C$1492,0),0))</f>
        <v>12500</v>
      </c>
      <c r="H39" s="361">
        <f t="shared" ca="1" si="28"/>
        <v>0</v>
      </c>
      <c r="I39" s="361">
        <f t="shared" ca="1" si="29"/>
        <v>12500</v>
      </c>
      <c r="J39" s="361">
        <f t="shared" ca="1" si="30"/>
        <v>0</v>
      </c>
      <c r="K39" s="362">
        <f t="shared" ca="1" si="31"/>
        <v>12500</v>
      </c>
      <c r="L39" s="342"/>
      <c r="M39" s="342"/>
      <c r="N39" s="369"/>
      <c r="O39" s="344"/>
      <c r="P39" s="397"/>
      <c r="Q39" s="344"/>
    </row>
    <row r="40" spans="1:17" s="365" customFormat="1">
      <c r="A40" s="336"/>
      <c r="B40" s="711">
        <v>3</v>
      </c>
      <c r="C40" s="712" t="s">
        <v>206</v>
      </c>
      <c r="D40" s="358" t="str">
        <f ca="1">IF(ISERROR(OFFSET('HARGA SATUAN'!$D$6,MATCH(RAB!C40,'HARGA SATUAN'!$C$7:$C$1492,0),0)),"",OFFSET('HARGA SATUAN'!$D$6,MATCH(RAB!C40,'HARGA SATUAN'!$C$7:$C$1492,0),0))</f>
        <v>HDW</v>
      </c>
      <c r="E40" s="359" t="str">
        <f ca="1">IF(B40="+","Unit",IF(ISERROR(OFFSET('HARGA SATUAN'!$E$6,MATCH(RAB!C40,'HARGA SATUAN'!$C$7:$C$1492,0),0)),"",OFFSET('HARGA SATUAN'!$E$6,MATCH(RAB!C40,'HARGA SATUAN'!$C$7:$C$1492,0),0)))</f>
        <v>Mtr</v>
      </c>
      <c r="F40" s="501">
        <f>F37*12</f>
        <v>12</v>
      </c>
      <c r="G40" s="360">
        <f ca="1">IF(ISERROR(OFFSET('HARGA SATUAN'!$I$6,MATCH(RAB!C40,'HARGA SATUAN'!$C$7:$C$1492,0),0)),0,OFFSET('HARGA SATUAN'!$I$6,MATCH(RAB!C40,'HARGA SATUAN'!$C$7:$C$1492,0),0))</f>
        <v>39204</v>
      </c>
      <c r="H40" s="361">
        <f t="shared" ca="1" si="28"/>
        <v>0</v>
      </c>
      <c r="I40" s="361">
        <f t="shared" ca="1" si="29"/>
        <v>470448</v>
      </c>
      <c r="J40" s="361">
        <f t="shared" ca="1" si="30"/>
        <v>0</v>
      </c>
      <c r="K40" s="362">
        <f t="shared" ca="1" si="31"/>
        <v>470448</v>
      </c>
      <c r="L40" s="342"/>
      <c r="M40" s="342"/>
      <c r="N40" s="369"/>
      <c r="O40" s="344"/>
      <c r="P40" s="397"/>
      <c r="Q40" s="344"/>
    </row>
    <row r="41" spans="1:17" s="365" customFormat="1">
      <c r="A41" s="336"/>
      <c r="B41" s="711">
        <v>4</v>
      </c>
      <c r="C41" s="712" t="s">
        <v>287</v>
      </c>
      <c r="D41" s="358" t="str">
        <f ca="1">IF(ISERROR(OFFSET('HARGA SATUAN'!$D$6,MATCH(RAB!C41,'HARGA SATUAN'!$C$7:$C$1492,0),0)),"",OFFSET('HARGA SATUAN'!$D$6,MATCH(RAB!C41,'HARGA SATUAN'!$C$7:$C$1492,0),0))</f>
        <v>HDW</v>
      </c>
      <c r="E41" s="359" t="str">
        <f ca="1">IF(B41="+","Unit",IF(ISERROR(OFFSET('HARGA SATUAN'!$E$6,MATCH(RAB!C41,'HARGA SATUAN'!$C$7:$C$1492,0),0)),"",OFFSET('HARGA SATUAN'!$E$6,MATCH(RAB!C41,'HARGA SATUAN'!$C$7:$C$1492,0),0)))</f>
        <v>Bh</v>
      </c>
      <c r="F41" s="501">
        <f>F37*2</f>
        <v>2</v>
      </c>
      <c r="G41" s="360">
        <f ca="1">IF(ISERROR(OFFSET('HARGA SATUAN'!$I$6,MATCH(RAB!C41,'HARGA SATUAN'!$C$7:$C$1492,0),0)),0,OFFSET('HARGA SATUAN'!$I$6,MATCH(RAB!C41,'HARGA SATUAN'!$C$7:$C$1492,0),0))</f>
        <v>40000</v>
      </c>
      <c r="H41" s="361">
        <f t="shared" ca="1" si="28"/>
        <v>0</v>
      </c>
      <c r="I41" s="361">
        <f t="shared" ca="1" si="29"/>
        <v>80000</v>
      </c>
      <c r="J41" s="361">
        <f t="shared" ca="1" si="30"/>
        <v>0</v>
      </c>
      <c r="K41" s="362">
        <f t="shared" ca="1" si="31"/>
        <v>80000</v>
      </c>
      <c r="L41" s="342"/>
      <c r="M41" s="342"/>
      <c r="N41" s="369"/>
      <c r="O41" s="344"/>
      <c r="P41" s="397"/>
      <c r="Q41" s="344"/>
    </row>
    <row r="42" spans="1:17" s="365" customFormat="1">
      <c r="A42" s="336"/>
      <c r="B42" s="711">
        <v>5</v>
      </c>
      <c r="C42" s="712" t="s">
        <v>26</v>
      </c>
      <c r="D42" s="358" t="str">
        <f ca="1">IF(ISERROR(OFFSET('HARGA SATUAN'!$D$6,MATCH(RAB!C42,'HARGA SATUAN'!$C$7:$C$1492,0),0)),"",OFFSET('HARGA SATUAN'!$D$6,MATCH(RAB!C42,'HARGA SATUAN'!$C$7:$C$1492,0),0))</f>
        <v>HDW</v>
      </c>
      <c r="E42" s="359" t="str">
        <f ca="1">IF(B42="+","Unit",IF(ISERROR(OFFSET('HARGA SATUAN'!$E$6,MATCH(RAB!C42,'HARGA SATUAN'!$C$7:$C$1492,0),0)),"",OFFSET('HARGA SATUAN'!$E$6,MATCH(RAB!C42,'HARGA SATUAN'!$C$7:$C$1492,0),0)))</f>
        <v>Bh</v>
      </c>
      <c r="F42" s="501">
        <f>F37*1</f>
        <v>1</v>
      </c>
      <c r="G42" s="360">
        <f ca="1">IF(ISERROR(OFFSET('HARGA SATUAN'!$I$6,MATCH(RAB!C42,'HARGA SATUAN'!$C$7:$C$1492,0),0)),0,OFFSET('HARGA SATUAN'!$I$6,MATCH(RAB!C42,'HARGA SATUAN'!$C$7:$C$1492,0),0))</f>
        <v>2500</v>
      </c>
      <c r="H42" s="361">
        <f t="shared" ca="1" si="28"/>
        <v>0</v>
      </c>
      <c r="I42" s="361">
        <f t="shared" ca="1" si="29"/>
        <v>2500</v>
      </c>
      <c r="J42" s="361">
        <f t="shared" ca="1" si="30"/>
        <v>0</v>
      </c>
      <c r="K42" s="362">
        <f t="shared" ca="1" si="31"/>
        <v>2500</v>
      </c>
      <c r="L42" s="342"/>
      <c r="M42" s="342"/>
      <c r="N42" s="369"/>
      <c r="O42" s="344"/>
      <c r="P42" s="397"/>
      <c r="Q42" s="344"/>
    </row>
    <row r="43" spans="1:17" s="365" customFormat="1">
      <c r="A43" s="336"/>
      <c r="B43" s="711">
        <v>6</v>
      </c>
      <c r="C43" s="712" t="s">
        <v>760</v>
      </c>
      <c r="D43" s="358" t="str">
        <f ca="1">IF(ISERROR(OFFSET('HARGA SATUAN'!$D$6,MATCH(RAB!C43,'HARGA SATUAN'!$C$7:$C$1492,0),0)),"",OFFSET('HARGA SATUAN'!$D$6,MATCH(RAB!C43,'HARGA SATUAN'!$C$7:$C$1492,0),0))</f>
        <v>JASA</v>
      </c>
      <c r="E43" s="359" t="str">
        <f ca="1">IF(B43="+","Unit",IF(ISERROR(OFFSET('HARGA SATUAN'!$E$6,MATCH(RAB!C43,'HARGA SATUAN'!$C$7:$C$1492,0),0)),"",OFFSET('HARGA SATUAN'!$E$6,MATCH(RAB!C43,'HARGA SATUAN'!$C$7:$C$1492,0),0)))</f>
        <v>Unit</v>
      </c>
      <c r="F43" s="501">
        <f>F37*1</f>
        <v>1</v>
      </c>
      <c r="G43" s="360">
        <f ca="1">IF(ISERROR(OFFSET('HARGA SATUAN'!$I$6,MATCH(RAB!C43,'HARGA SATUAN'!$C$7:$C$1492,0),0)),0,OFFSET('HARGA SATUAN'!$I$6,MATCH(RAB!C43,'HARGA SATUAN'!$C$7:$C$1492,0),0))</f>
        <v>36600</v>
      </c>
      <c r="H43" s="361">
        <f t="shared" ca="1" si="28"/>
        <v>0</v>
      </c>
      <c r="I43" s="361">
        <f t="shared" ca="1" si="29"/>
        <v>0</v>
      </c>
      <c r="J43" s="361">
        <f t="shared" ca="1" si="30"/>
        <v>36600</v>
      </c>
      <c r="K43" s="362">
        <f t="shared" ca="1" si="31"/>
        <v>36600</v>
      </c>
      <c r="L43" s="342"/>
      <c r="M43" s="342"/>
      <c r="N43" s="369"/>
      <c r="O43" s="344"/>
      <c r="P43" s="397"/>
      <c r="Q43" s="344"/>
    </row>
    <row r="44" spans="1:17" s="365" customFormat="1">
      <c r="A44" s="336"/>
      <c r="B44" s="711"/>
      <c r="C44" s="712"/>
      <c r="D44" s="358" t="str">
        <f ca="1">IF(ISERROR(OFFSET('HARGA SATUAN'!$D$6,MATCH(RAB!C44,'HARGA SATUAN'!$C$7:$C$1492,0),0)),"",OFFSET('HARGA SATUAN'!$D$6,MATCH(RAB!C44,'HARGA SATUAN'!$C$7:$C$1492,0),0))</f>
        <v/>
      </c>
      <c r="E44" s="359" t="str">
        <f ca="1">IF(B44="+","Unit",IF(ISERROR(OFFSET('HARGA SATUAN'!$E$6,MATCH(RAB!C44,'HARGA SATUAN'!$C$7:$C$1492,0),0)),"",OFFSET('HARGA SATUAN'!$E$6,MATCH(RAB!C44,'HARGA SATUAN'!$C$7:$C$1492,0),0)))</f>
        <v/>
      </c>
      <c r="F44" s="713"/>
      <c r="G44" s="360">
        <f ca="1">IF(ISERROR(OFFSET('HARGA SATUAN'!$I$6,MATCH(RAB!C44,'HARGA SATUAN'!$C$7:$C$1492,0),0)),0,OFFSET('HARGA SATUAN'!$I$6,MATCH(RAB!C44,'HARGA SATUAN'!$C$7:$C$1492,0),0))</f>
        <v>0</v>
      </c>
      <c r="H44" s="361">
        <f t="shared" ca="1" si="28"/>
        <v>0</v>
      </c>
      <c r="I44" s="361">
        <f t="shared" ca="1" si="29"/>
        <v>0</v>
      </c>
      <c r="J44" s="361">
        <f t="shared" ca="1" si="30"/>
        <v>0</v>
      </c>
      <c r="K44" s="362">
        <f t="shared" ca="1" si="31"/>
        <v>0</v>
      </c>
      <c r="L44" s="342"/>
      <c r="M44" s="342"/>
      <c r="N44" s="369"/>
      <c r="O44" s="344"/>
      <c r="P44" s="397"/>
      <c r="Q44" s="344"/>
    </row>
    <row r="45" spans="1:17" s="365" customFormat="1">
      <c r="A45" s="336"/>
      <c r="B45" s="711" t="s">
        <v>1035</v>
      </c>
      <c r="C45" s="712" t="s">
        <v>1635</v>
      </c>
      <c r="D45" s="358" t="str">
        <f ca="1">IF(ISERROR(OFFSET('HARGA SATUAN'!$D$6,MATCH(RAB!C45,'HARGA SATUAN'!$C$7:$C$1492,0),0)),"",OFFSET('HARGA SATUAN'!$D$6,MATCH(RAB!C45,'HARGA SATUAN'!$C$7:$C$1492,0),0))</f>
        <v/>
      </c>
      <c r="E45" s="359" t="str">
        <f ca="1">IF(B45="+","Unit",IF(ISERROR(OFFSET('HARGA SATUAN'!$E$6,MATCH(RAB!C45,'HARGA SATUAN'!$C$7:$C$1492,0),0)),"",OFFSET('HARGA SATUAN'!$E$6,MATCH(RAB!C45,'HARGA SATUAN'!$C$7:$C$1492,0),0)))</f>
        <v>Unit</v>
      </c>
      <c r="F45" s="501">
        <f>F37</f>
        <v>1</v>
      </c>
      <c r="G45" s="360">
        <f ca="1">IF(ISERROR(OFFSET('HARGA SATUAN'!$I$6,MATCH(RAB!C45,'HARGA SATUAN'!$C$7:$C$1492,0),0)),0,OFFSET('HARGA SATUAN'!$I$6,MATCH(RAB!C45,'HARGA SATUAN'!$C$7:$C$1492,0),0))</f>
        <v>0</v>
      </c>
      <c r="H45" s="361">
        <f t="shared" ca="1" si="28"/>
        <v>0</v>
      </c>
      <c r="I45" s="361">
        <f t="shared" ca="1" si="29"/>
        <v>0</v>
      </c>
      <c r="J45" s="361">
        <f t="shared" ca="1" si="30"/>
        <v>0</v>
      </c>
      <c r="K45" s="362">
        <f t="shared" ca="1" si="31"/>
        <v>0</v>
      </c>
      <c r="L45" s="342"/>
      <c r="M45" s="342"/>
      <c r="N45" s="369"/>
      <c r="O45" s="344"/>
      <c r="P45" s="397"/>
      <c r="Q45" s="344"/>
    </row>
    <row r="46" spans="1:17" s="365" customFormat="1">
      <c r="A46" s="336"/>
      <c r="B46" s="711">
        <v>1</v>
      </c>
      <c r="C46" s="712" t="s">
        <v>597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Bh</v>
      </c>
      <c r="F46" s="501">
        <f>F45*1</f>
        <v>1</v>
      </c>
      <c r="G46" s="360">
        <f ca="1">IF(ISERROR(OFFSET('HARGA SATUAN'!$I$6,MATCH(RAB!C46,'HARGA SATUAN'!$C$7:$C$1492,0),0)),0,OFFSET('HARGA SATUAN'!$I$6,MATCH(RAB!C46,'HARGA SATUAN'!$C$7:$C$1492,0),0))</f>
        <v>120900</v>
      </c>
      <c r="H46" s="361">
        <f t="shared" ca="1" si="28"/>
        <v>0</v>
      </c>
      <c r="I46" s="361">
        <f t="shared" ca="1" si="29"/>
        <v>120900</v>
      </c>
      <c r="J46" s="361">
        <f t="shared" ca="1" si="30"/>
        <v>0</v>
      </c>
      <c r="K46" s="362">
        <f t="shared" ca="1" si="31"/>
        <v>120900</v>
      </c>
      <c r="L46" s="342"/>
      <c r="M46" s="342"/>
      <c r="N46" s="369"/>
      <c r="O46" s="344"/>
      <c r="P46" s="397"/>
      <c r="Q46" s="344"/>
    </row>
    <row r="47" spans="1:17" s="365" customFormat="1">
      <c r="A47" s="336"/>
      <c r="B47" s="711">
        <v>2</v>
      </c>
      <c r="C47" s="712" t="s">
        <v>261</v>
      </c>
      <c r="D47" s="358" t="str">
        <f ca="1">IF(ISERROR(OFFSET('HARGA SATUAN'!$D$6,MATCH(RAB!C47,'HARGA SATUAN'!$C$7:$C$1492,0),0)),"",OFFSET('HARGA SATUAN'!$D$6,MATCH(RAB!C47,'HARGA SATUAN'!$C$7:$C$1492,0),0))</f>
        <v>HDW</v>
      </c>
      <c r="E47" s="359" t="str">
        <f ca="1">IF(B47="+","Unit",IF(ISERROR(OFFSET('HARGA SATUAN'!$E$6,MATCH(RAB!C47,'HARGA SATUAN'!$C$7:$C$1492,0),0)),"",OFFSET('HARGA SATUAN'!$E$6,MATCH(RAB!C47,'HARGA SATUAN'!$C$7:$C$1492,0),0)))</f>
        <v>Bh</v>
      </c>
      <c r="F47" s="501">
        <f>F45*1</f>
        <v>1</v>
      </c>
      <c r="G47" s="360">
        <f ca="1">IF(ISERROR(OFFSET('HARGA SATUAN'!$I$6,MATCH(RAB!C47,'HARGA SATUAN'!$C$7:$C$1492,0),0)),0,OFFSET('HARGA SATUAN'!$I$6,MATCH(RAB!C47,'HARGA SATUAN'!$C$7:$C$1492,0),0))</f>
        <v>135800</v>
      </c>
      <c r="H47" s="361">
        <f t="shared" ca="1" si="28"/>
        <v>0</v>
      </c>
      <c r="I47" s="361">
        <f t="shared" ca="1" si="29"/>
        <v>135800</v>
      </c>
      <c r="J47" s="361">
        <f t="shared" ca="1" si="30"/>
        <v>0</v>
      </c>
      <c r="K47" s="362">
        <f t="shared" ca="1" si="31"/>
        <v>135800</v>
      </c>
      <c r="L47" s="342"/>
      <c r="M47" s="342"/>
      <c r="N47" s="369"/>
      <c r="O47" s="344"/>
      <c r="P47" s="397"/>
      <c r="Q47" s="344"/>
    </row>
    <row r="48" spans="1:17" s="365" customFormat="1">
      <c r="A48" s="336"/>
      <c r="B48" s="711">
        <v>3</v>
      </c>
      <c r="C48" s="712" t="s">
        <v>214</v>
      </c>
      <c r="D48" s="358" t="str">
        <f ca="1">IF(ISERROR(OFFSET('HARGA SATUAN'!$D$6,MATCH(RAB!C48,'HARGA SATUAN'!$C$7:$C$1492,0),0)),"",OFFSET('HARGA SATUAN'!$D$6,MATCH(RAB!C48,'HARGA SATUAN'!$C$7:$C$1492,0),0))</f>
        <v>HDW</v>
      </c>
      <c r="E48" s="359" t="str">
        <f ca="1">IF(B48="+","Unit",IF(ISERROR(OFFSET('HARGA SATUAN'!$E$6,MATCH(RAB!C48,'HARGA SATUAN'!$C$7:$C$1492,0),0)),"",OFFSET('HARGA SATUAN'!$E$6,MATCH(RAB!C48,'HARGA SATUAN'!$C$7:$C$1492,0),0)))</f>
        <v>Bh</v>
      </c>
      <c r="F48" s="713">
        <f>F45*1</f>
        <v>1</v>
      </c>
      <c r="G48" s="360">
        <f ca="1">IF(ISERROR(OFFSET('HARGA SATUAN'!$I$6,MATCH(RAB!C48,'HARGA SATUAN'!$C$7:$C$1492,0),0)),0,OFFSET('HARGA SATUAN'!$I$6,MATCH(RAB!C48,'HARGA SATUAN'!$C$7:$C$1492,0),0))</f>
        <v>4500</v>
      </c>
      <c r="H48" s="361">
        <f t="shared" ca="1" si="28"/>
        <v>0</v>
      </c>
      <c r="I48" s="361">
        <f t="shared" ca="1" si="29"/>
        <v>4500</v>
      </c>
      <c r="J48" s="361">
        <f t="shared" ca="1" si="30"/>
        <v>0</v>
      </c>
      <c r="K48" s="362">
        <f t="shared" ca="1" si="31"/>
        <v>4500</v>
      </c>
      <c r="L48" s="342"/>
      <c r="M48" s="342"/>
      <c r="N48" s="369"/>
      <c r="O48" s="344"/>
      <c r="P48" s="397"/>
      <c r="Q48" s="344"/>
    </row>
    <row r="49" spans="1:17" s="365" customFormat="1">
      <c r="A49" s="336"/>
      <c r="B49" s="711">
        <v>4</v>
      </c>
      <c r="C49" s="712" t="s">
        <v>768</v>
      </c>
      <c r="D49" s="358" t="str">
        <f ca="1">IF(ISERROR(OFFSET('HARGA SATUAN'!$D$6,MATCH(RAB!C49,'HARGA SATUAN'!$C$7:$C$1492,0),0)),"",OFFSET('HARGA SATUAN'!$D$6,MATCH(RAB!C49,'HARGA SATUAN'!$C$7:$C$1492,0),0))</f>
        <v>JASA</v>
      </c>
      <c r="E49" s="359" t="str">
        <f ca="1">IF(B49="+","Unit",IF(ISERROR(OFFSET('HARGA SATUAN'!$E$6,MATCH(RAB!C49,'HARGA SATUAN'!$C$7:$C$1492,0),0)),"",OFFSET('HARGA SATUAN'!$E$6,MATCH(RAB!C49,'HARGA SATUAN'!$C$7:$C$1492,0),0)))</f>
        <v>Unit</v>
      </c>
      <c r="F49" s="501">
        <f>F45*1</f>
        <v>1</v>
      </c>
      <c r="G49" s="360">
        <f ca="1">IF(ISERROR(OFFSET('HARGA SATUAN'!$I$6,MATCH(RAB!C49,'HARGA SATUAN'!$C$7:$C$1492,0),0)),0,OFFSET('HARGA SATUAN'!$I$6,MATCH(RAB!C49,'HARGA SATUAN'!$C$7:$C$1492,0),0))</f>
        <v>55500</v>
      </c>
      <c r="H49" s="361">
        <f t="shared" ca="1" si="28"/>
        <v>0</v>
      </c>
      <c r="I49" s="361">
        <f t="shared" ca="1" si="29"/>
        <v>0</v>
      </c>
      <c r="J49" s="361">
        <f t="shared" ca="1" si="30"/>
        <v>55500</v>
      </c>
      <c r="K49" s="362">
        <f t="shared" ca="1" si="31"/>
        <v>55500</v>
      </c>
      <c r="L49" s="342"/>
      <c r="M49" s="342"/>
      <c r="N49" s="369"/>
      <c r="O49" s="344"/>
      <c r="P49" s="397"/>
      <c r="Q49" s="344"/>
    </row>
    <row r="50" spans="1:17" s="365" customFormat="1">
      <c r="A50" s="336"/>
      <c r="B50" s="711"/>
      <c r="C50" s="712"/>
      <c r="D50" s="358" t="str">
        <f ca="1">IF(ISERROR(OFFSET('HARGA SATUAN'!$D$6,MATCH(RAB!C50,'HARGA SATUAN'!$C$7:$C$1492,0),0)),"",OFFSET('HARGA SATUAN'!$D$6,MATCH(RAB!C50,'HARGA SATUAN'!$C$7:$C$1492,0),0))</f>
        <v/>
      </c>
      <c r="E50" s="359" t="str">
        <f ca="1">IF(B50="+","Unit",IF(ISERROR(OFFSET('HARGA SATUAN'!$E$6,MATCH(RAB!C50,'HARGA SATUAN'!$C$7:$C$1492,0),0)),"",OFFSET('HARGA SATUAN'!$E$6,MATCH(RAB!C50,'HARGA SATUAN'!$C$7:$C$1492,0),0)))</f>
        <v/>
      </c>
      <c r="F50" s="713"/>
      <c r="G50" s="360">
        <f ca="1">IF(ISERROR(OFFSET('HARGA SATUAN'!$I$6,MATCH(RAB!C50,'HARGA SATUAN'!$C$7:$C$1492,0),0)),0,OFFSET('HARGA SATUAN'!$I$6,MATCH(RAB!C50,'HARGA SATUAN'!$C$7:$C$1492,0),0))</f>
        <v>0</v>
      </c>
      <c r="H50" s="361">
        <f t="shared" ca="1" si="28"/>
        <v>0</v>
      </c>
      <c r="I50" s="361">
        <f t="shared" ca="1" si="29"/>
        <v>0</v>
      </c>
      <c r="J50" s="361">
        <f t="shared" ca="1" si="30"/>
        <v>0</v>
      </c>
      <c r="K50" s="362">
        <f t="shared" ca="1" si="31"/>
        <v>0</v>
      </c>
      <c r="L50" s="342"/>
      <c r="M50" s="342"/>
      <c r="N50" s="369"/>
      <c r="O50" s="344"/>
      <c r="P50" s="397"/>
      <c r="Q50" s="344"/>
    </row>
    <row r="51" spans="1:17" s="365" customFormat="1">
      <c r="A51" s="336"/>
      <c r="B51" s="711" t="s">
        <v>1035</v>
      </c>
      <c r="C51" s="712" t="s">
        <v>1636</v>
      </c>
      <c r="D51" s="358" t="str">
        <f ca="1">IF(ISERROR(OFFSET('HARGA SATUAN'!$D$6,MATCH(RAB!C51,'HARGA SATUAN'!$C$7:$C$1492,0),0)),"",OFFSET('HARGA SATUAN'!$D$6,MATCH(RAB!C51,'HARGA SATUAN'!$C$7:$C$1492,0),0))</f>
        <v/>
      </c>
      <c r="E51" s="359" t="str">
        <f ca="1">IF(B51="+","Unit",IF(ISERROR(OFFSET('HARGA SATUAN'!$E$6,MATCH(RAB!C51,'HARGA SATUAN'!$C$7:$C$1492,0),0)),"",OFFSET('HARGA SATUAN'!$E$6,MATCH(RAB!C51,'HARGA SATUAN'!$C$7:$C$1492,0),0)))</f>
        <v>Unit</v>
      </c>
      <c r="F51" s="501">
        <f>F37</f>
        <v>1</v>
      </c>
      <c r="G51" s="360">
        <f ca="1">IF(ISERROR(OFFSET('HARGA SATUAN'!$I$6,MATCH(RAB!C51,'HARGA SATUAN'!$C$7:$C$1492,0),0)),0,OFFSET('HARGA SATUAN'!$I$6,MATCH(RAB!C51,'HARGA SATUAN'!$C$7:$C$1492,0),0))</f>
        <v>0</v>
      </c>
      <c r="H51" s="361">
        <f t="shared" ca="1" si="28"/>
        <v>0</v>
      </c>
      <c r="I51" s="361">
        <f t="shared" ca="1" si="29"/>
        <v>0</v>
      </c>
      <c r="J51" s="361">
        <f t="shared" ca="1" si="30"/>
        <v>0</v>
      </c>
      <c r="K51" s="362">
        <f t="shared" ca="1" si="31"/>
        <v>0</v>
      </c>
      <c r="L51" s="342"/>
      <c r="M51" s="342"/>
      <c r="N51" s="369"/>
      <c r="O51" s="344"/>
      <c r="P51" s="397"/>
      <c r="Q51" s="344"/>
    </row>
    <row r="52" spans="1:17" s="365" customFormat="1">
      <c r="A52" s="336"/>
      <c r="B52" s="711">
        <v>1</v>
      </c>
      <c r="C52" s="712" t="s">
        <v>30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501">
        <f>F51*1</f>
        <v>1</v>
      </c>
      <c r="G52" s="360">
        <f ca="1">IF(ISERROR(OFFSET('HARGA SATUAN'!$I$6,MATCH(RAB!C52,'HARGA SATUAN'!$C$7:$C$1492,0),0)),0,OFFSET('HARGA SATUAN'!$I$6,MATCH(RAB!C52,'HARGA SATUAN'!$C$7:$C$1492,0),0))</f>
        <v>47459</v>
      </c>
      <c r="H52" s="361">
        <f t="shared" ca="1" si="28"/>
        <v>0</v>
      </c>
      <c r="I52" s="361">
        <f t="shared" ca="1" si="29"/>
        <v>47459</v>
      </c>
      <c r="J52" s="361">
        <f t="shared" ca="1" si="30"/>
        <v>0</v>
      </c>
      <c r="K52" s="362">
        <f t="shared" ca="1" si="31"/>
        <v>47459</v>
      </c>
      <c r="L52" s="342"/>
      <c r="M52" s="342"/>
      <c r="N52" s="369"/>
      <c r="O52" s="344"/>
      <c r="P52" s="397"/>
      <c r="Q52" s="344"/>
    </row>
    <row r="53" spans="1:17" s="365" customFormat="1">
      <c r="A53" s="336"/>
      <c r="B53" s="711">
        <v>2</v>
      </c>
      <c r="C53" s="712" t="s">
        <v>32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Mtr</v>
      </c>
      <c r="F53" s="501">
        <f>F51*0.8</f>
        <v>0.8</v>
      </c>
      <c r="G53" s="360">
        <f ca="1">IF(ISERROR(OFFSET('HARGA SATUAN'!$I$6,MATCH(RAB!C53,'HARGA SATUAN'!$C$7:$C$1492,0),0)),0,OFFSET('HARGA SATUAN'!$I$6,MATCH(RAB!C53,'HARGA SATUAN'!$C$7:$C$1492,0),0))</f>
        <v>30000</v>
      </c>
      <c r="H53" s="361">
        <f t="shared" ca="1" si="28"/>
        <v>0</v>
      </c>
      <c r="I53" s="361">
        <f t="shared" ca="1" si="29"/>
        <v>24000</v>
      </c>
      <c r="J53" s="361">
        <f t="shared" ca="1" si="30"/>
        <v>0</v>
      </c>
      <c r="K53" s="362">
        <f t="shared" ca="1" si="31"/>
        <v>24000</v>
      </c>
      <c r="L53" s="342"/>
      <c r="M53" s="342"/>
      <c r="N53" s="369"/>
      <c r="O53" s="344"/>
      <c r="P53" s="397"/>
      <c r="Q53" s="344"/>
    </row>
    <row r="54" spans="1:17" s="365" customFormat="1">
      <c r="A54" s="336"/>
      <c r="B54" s="711">
        <v>3</v>
      </c>
      <c r="C54" s="712" t="s">
        <v>33</v>
      </c>
      <c r="D54" s="358" t="str">
        <f ca="1">IF(ISERROR(OFFSET('HARGA SATUAN'!$D$6,MATCH(RAB!C54,'HARGA SATUAN'!$C$7:$C$1492,0),0)),"",OFFSET('HARGA SATUAN'!$D$6,MATCH(RAB!C54,'HARGA SATUAN'!$C$7:$C$1492,0),0))</f>
        <v>HDW</v>
      </c>
      <c r="E54" s="359" t="str">
        <f ca="1">IF(B54="+","Unit",IF(ISERROR(OFFSET('HARGA SATUAN'!$E$6,MATCH(RAB!C54,'HARGA SATUAN'!$C$7:$C$1492,0),0)),"",OFFSET('HARGA SATUAN'!$E$6,MATCH(RAB!C54,'HARGA SATUAN'!$C$7:$C$1492,0),0)))</f>
        <v>Bh</v>
      </c>
      <c r="F54" s="501">
        <f>F51*1</f>
        <v>1</v>
      </c>
      <c r="G54" s="360">
        <f ca="1">IF(ISERROR(OFFSET('HARGA SATUAN'!$I$6,MATCH(RAB!C54,'HARGA SATUAN'!$C$7:$C$1492,0),0)),0,OFFSET('HARGA SATUAN'!$I$6,MATCH(RAB!C54,'HARGA SATUAN'!$C$7:$C$1492,0),0))</f>
        <v>9500</v>
      </c>
      <c r="H54" s="361">
        <f t="shared" ca="1" si="28"/>
        <v>0</v>
      </c>
      <c r="I54" s="361">
        <f t="shared" ca="1" si="29"/>
        <v>9500</v>
      </c>
      <c r="J54" s="361">
        <f t="shared" ca="1" si="30"/>
        <v>0</v>
      </c>
      <c r="K54" s="362">
        <f t="shared" ca="1" si="31"/>
        <v>9500</v>
      </c>
      <c r="L54" s="342"/>
      <c r="M54" s="342"/>
      <c r="N54" s="369"/>
      <c r="O54" s="344"/>
      <c r="P54" s="397"/>
      <c r="Q54" s="344"/>
    </row>
    <row r="55" spans="1:17" s="365" customFormat="1">
      <c r="A55" s="336"/>
      <c r="B55" s="711">
        <v>4</v>
      </c>
      <c r="C55" s="712" t="s">
        <v>738</v>
      </c>
      <c r="D55" s="358" t="str">
        <f ca="1">IF(ISERROR(OFFSET('HARGA SATUAN'!$D$6,MATCH(RAB!C55,'HARGA SATUAN'!$C$7:$C$1492,0),0)),"",OFFSET('HARGA SATUAN'!$D$6,MATCH(RAB!C55,'HARGA SATUAN'!$C$7:$C$1492,0),0))</f>
        <v>JASA</v>
      </c>
      <c r="E55" s="359" t="str">
        <f ca="1">IF(B55="+","Unit",IF(ISERROR(OFFSET('HARGA SATUAN'!$E$6,MATCH(RAB!C55,'HARGA SATUAN'!$C$7:$C$1492,0),0)),"",OFFSET('HARGA SATUAN'!$E$6,MATCH(RAB!C55,'HARGA SATUAN'!$C$7:$C$1492,0),0)))</f>
        <v>Unit</v>
      </c>
      <c r="F55" s="501">
        <f>F51*1</f>
        <v>1</v>
      </c>
      <c r="G55" s="360">
        <f ca="1">IF(ISERROR(OFFSET('HARGA SATUAN'!$I$6,MATCH(RAB!C55,'HARGA SATUAN'!$C$7:$C$1492,0),0)),0,OFFSET('HARGA SATUAN'!$I$6,MATCH(RAB!C55,'HARGA SATUAN'!$C$7:$C$1492,0),0))</f>
        <v>21200</v>
      </c>
      <c r="H55" s="361">
        <f t="shared" ca="1" si="28"/>
        <v>0</v>
      </c>
      <c r="I55" s="361">
        <f t="shared" ca="1" si="29"/>
        <v>0</v>
      </c>
      <c r="J55" s="361">
        <f t="shared" ca="1" si="30"/>
        <v>21200</v>
      </c>
      <c r="K55" s="362">
        <f t="shared" ca="1" si="31"/>
        <v>21200</v>
      </c>
      <c r="L55" s="342"/>
      <c r="M55" s="342"/>
      <c r="N55" s="369"/>
      <c r="O55" s="344"/>
      <c r="P55" s="397"/>
      <c r="Q55" s="344"/>
    </row>
    <row r="56" spans="1:17" s="365" customFormat="1">
      <c r="A56" s="336"/>
      <c r="B56" s="511"/>
      <c r="C56" s="512"/>
      <c r="D56" s="358" t="str">
        <f ca="1">IF(ISERROR(OFFSET('HARGA SATUAN'!$D$6,MATCH(RAB!C56,'HARGA SATUAN'!$C$7:$C$1492,0),0)),"",OFFSET('HARGA SATUAN'!$D$6,MATCH(RAB!C56,'HARGA SATUAN'!$C$7:$C$1492,0),0))</f>
        <v/>
      </c>
      <c r="E56" s="359" t="str">
        <f ca="1">IF(B56="+","Unit",IF(ISERROR(OFFSET('HARGA SATUAN'!$E$6,MATCH(RAB!C56,'HARGA SATUAN'!$C$7:$C$1492,0),0)),"",OFFSET('HARGA SATUAN'!$E$6,MATCH(RAB!C56,'HARGA SATUAN'!$C$7:$C$1492,0),0)))</f>
        <v/>
      </c>
      <c r="F56" s="501"/>
      <c r="G56" s="360">
        <f ca="1">IF(ISERROR(OFFSET('HARGA SATUAN'!$I$6,MATCH(RAB!C56,'HARGA SATUAN'!$C$7:$C$1492,0),0)),0,OFFSET('HARGA SATUAN'!$I$6,MATCH(RAB!C56,'HARGA SATUAN'!$C$7:$C$1492,0),0))</f>
        <v>0</v>
      </c>
      <c r="H56" s="361">
        <f t="shared" ca="1" si="28"/>
        <v>0</v>
      </c>
      <c r="I56" s="361">
        <f t="shared" ca="1" si="29"/>
        <v>0</v>
      </c>
      <c r="J56" s="361">
        <f t="shared" ca="1" si="30"/>
        <v>0</v>
      </c>
      <c r="K56" s="362">
        <f t="shared" ca="1" si="31"/>
        <v>0</v>
      </c>
      <c r="L56" s="342"/>
      <c r="M56" s="342"/>
      <c r="N56" s="369"/>
      <c r="O56" s="344"/>
      <c r="P56" s="397"/>
      <c r="Q56" s="344"/>
    </row>
    <row r="57" spans="1:17" s="365" customFormat="1">
      <c r="A57" s="336"/>
      <c r="B57" s="498"/>
      <c r="C57" s="507" t="s">
        <v>1621</v>
      </c>
      <c r="D57" s="358" t="str">
        <f ca="1">IF(ISERROR(OFFSET('HARGA SATUAN'!$D$6,MATCH(RAB!C57,'HARGA SATUAN'!$C$7:$C$1492,0),0)),"",OFFSET('HARGA SATUAN'!$D$6,MATCH(RAB!C57,'HARGA SATUAN'!$C$7:$C$1492,0),0))</f>
        <v/>
      </c>
      <c r="E57" s="359" t="str">
        <f ca="1">IF(B57="+","Unit",IF(ISERROR(OFFSET('HARGA SATUAN'!$E$6,MATCH(RAB!C57,'HARGA SATUAN'!$C$7:$C$1492,0),0)),"",OFFSET('HARGA SATUAN'!$E$6,MATCH(RAB!C57,'HARGA SATUAN'!$C$7:$C$1492,0),0)))</f>
        <v/>
      </c>
      <c r="F57" s="501"/>
      <c r="G57" s="360">
        <f ca="1">IF(ISERROR(OFFSET('HARGA SATUAN'!$I$6,MATCH(RAB!C57,'HARGA SATUAN'!$C$7:$C$1492,0),0)),0,OFFSET('HARGA SATUAN'!$I$6,MATCH(RAB!C57,'HARGA SATUAN'!$C$7:$C$1492,0),0))</f>
        <v>0</v>
      </c>
      <c r="H57" s="361">
        <f t="shared" ca="1" si="28"/>
        <v>0</v>
      </c>
      <c r="I57" s="361">
        <f t="shared" ca="1" si="29"/>
        <v>0</v>
      </c>
      <c r="J57" s="361">
        <f t="shared" ca="1" si="30"/>
        <v>0</v>
      </c>
      <c r="K57" s="362">
        <f t="shared" ca="1" si="31"/>
        <v>0</v>
      </c>
      <c r="L57" s="342"/>
      <c r="M57" s="342"/>
      <c r="N57" s="369"/>
      <c r="O57" s="344"/>
      <c r="P57" s="397"/>
      <c r="Q57" s="344"/>
    </row>
    <row r="58" spans="1:17" s="365" customFormat="1">
      <c r="A58" s="336"/>
      <c r="B58" s="498">
        <v>1</v>
      </c>
      <c r="C58" s="109" t="s">
        <v>1402</v>
      </c>
      <c r="D58" s="358" t="str">
        <f ca="1">IF(ISERROR(OFFSET('HARGA SATUAN'!$D$6,MATCH(RAB!C58,'HARGA SATUAN'!$C$7:$C$1492,0),0)),"",OFFSET('HARGA SATUAN'!$D$6,MATCH(RAB!C58,'HARGA SATUAN'!$C$7:$C$1492,0),0))</f>
        <v>MDU-KD</v>
      </c>
      <c r="E58" s="359" t="str">
        <f ca="1">IF(B58="+","Unit",IF(ISERROR(OFFSET('HARGA SATUAN'!$E$6,MATCH(RAB!C58,'HARGA SATUAN'!$C$7:$C$1492,0),0)),"",OFFSET('HARGA SATUAN'!$E$6,MATCH(RAB!C58,'HARGA SATUAN'!$C$7:$C$1492,0),0)))</f>
        <v>Mtr</v>
      </c>
      <c r="F58" s="501">
        <v>100</v>
      </c>
      <c r="G58" s="360">
        <f ca="1">IF(ISERROR(OFFSET('HARGA SATUAN'!$I$6,MATCH(RAB!C58,'HARGA SATUAN'!$C$7:$C$1492,0),0)),0,OFFSET('HARGA SATUAN'!$I$6,MATCH(RAB!C58,'HARGA SATUAN'!$C$7:$C$1492,0),0))</f>
        <v>53300</v>
      </c>
      <c r="H58" s="361">
        <f t="shared" ref="H58:H59" ca="1" si="32">IF(OR(D58="MDU",D58="MDU-KD"),(IF($O$3="RAB NON MDU","PLN KD",G58*F58)),0)</f>
        <v>5330000</v>
      </c>
      <c r="I58" s="361">
        <f t="shared" ref="I58:I59" ca="1" si="33">IF(D58="HDW",G58*F58,0)</f>
        <v>0</v>
      </c>
      <c r="J58" s="361">
        <f t="shared" ref="J58:J59" ca="1" si="34">IF(D58="JASA",G58*F58,0)</f>
        <v>0</v>
      </c>
      <c r="K58" s="362">
        <f t="shared" ref="K58:K59" ca="1" si="35">SUM(H58:J58)</f>
        <v>5330000</v>
      </c>
      <c r="L58" s="342"/>
      <c r="M58" s="342"/>
      <c r="N58" s="369"/>
      <c r="O58" s="344"/>
      <c r="P58" s="397"/>
      <c r="Q58" s="344"/>
    </row>
    <row r="59" spans="1:17" s="365" customFormat="1">
      <c r="A59" s="336"/>
      <c r="B59" s="498">
        <v>2</v>
      </c>
      <c r="C59" s="109" t="s">
        <v>347</v>
      </c>
      <c r="D59" s="504" t="s">
        <v>47</v>
      </c>
      <c r="E59" s="505" t="s">
        <v>297</v>
      </c>
      <c r="F59" s="505">
        <f>F58/50</f>
        <v>2</v>
      </c>
      <c r="G59" s="506">
        <v>85000</v>
      </c>
      <c r="H59" s="361">
        <f t="shared" si="32"/>
        <v>0</v>
      </c>
      <c r="I59" s="361">
        <f t="shared" si="33"/>
        <v>0</v>
      </c>
      <c r="J59" s="361">
        <f t="shared" si="34"/>
        <v>170000</v>
      </c>
      <c r="K59" s="362">
        <f t="shared" si="35"/>
        <v>170000</v>
      </c>
      <c r="L59" s="342"/>
      <c r="M59" s="342"/>
      <c r="N59" s="369"/>
      <c r="O59" s="344"/>
      <c r="P59" s="397"/>
      <c r="Q59" s="344"/>
    </row>
    <row r="60" spans="1:17" s="365" customFormat="1">
      <c r="A60" s="336"/>
      <c r="B60" s="498"/>
      <c r="C60" s="499"/>
      <c r="D60" s="358" t="str">
        <f ca="1">IF(ISERROR(OFFSET('HARGA SATUAN'!$D$6,MATCH(RAB!C60,'HARGA SATUAN'!$C$7:$C$1492,0),0)),"",OFFSET('HARGA SATUAN'!$D$6,MATCH(RAB!C60,'HARGA SATUAN'!$C$7:$C$1492,0),0))</f>
        <v/>
      </c>
      <c r="E60" s="359" t="str">
        <f ca="1">IF(B60="+","Unit",IF(ISERROR(OFFSET('HARGA SATUAN'!$E$6,MATCH(RAB!C60,'HARGA SATUAN'!$C$7:$C$1492,0),0)),"",OFFSET('HARGA SATUAN'!$E$6,MATCH(RAB!C60,'HARGA SATUAN'!$C$7:$C$1492,0),0)))</f>
        <v/>
      </c>
      <c r="F60" s="501"/>
      <c r="G60" s="360">
        <f ca="1">IF(ISERROR(OFFSET('HARGA SATUAN'!$I$6,MATCH(RAB!C60,'HARGA SATUAN'!$C$7:$C$1492,0),0)),0,OFFSET('HARGA SATUAN'!$I$6,MATCH(RAB!C60,'HARGA SATUAN'!$C$7:$C$1492,0),0))</f>
        <v>0</v>
      </c>
      <c r="H60" s="361">
        <f t="shared" ref="H60:H62" ca="1" si="36">IF(OR(D60="MDU",D60="MDU-KD"),(IF($O$3="RAB NON MDU","PLN KD",G60*F60)),0)</f>
        <v>0</v>
      </c>
      <c r="I60" s="361">
        <f t="shared" ref="I60:I62" ca="1" si="37">IF(D60="HDW",G60*F60,0)</f>
        <v>0</v>
      </c>
      <c r="J60" s="361">
        <f t="shared" ref="J60:J62" ca="1" si="38">IF(D60="JASA",G60*F60,0)</f>
        <v>0</v>
      </c>
      <c r="K60" s="362">
        <f t="shared" ref="K60:K62" ca="1" si="39">SUM(H60:J60)</f>
        <v>0</v>
      </c>
      <c r="L60" s="342"/>
      <c r="M60" s="342"/>
      <c r="N60" s="369"/>
      <c r="O60" s="344"/>
      <c r="P60" s="397"/>
      <c r="Q60" s="344"/>
    </row>
    <row r="61" spans="1:17">
      <c r="B61" s="366" t="s">
        <v>1614</v>
      </c>
      <c r="C61" s="367" t="s">
        <v>1616</v>
      </c>
      <c r="D61" s="358" t="str">
        <f ca="1">IF(ISERROR(OFFSET('HARGA SATUAN'!$D$6,MATCH(RAB!C61,'HARGA SATUAN'!$C$7:$C$1492,0),0)),"",OFFSET('HARGA SATUAN'!$D$6,MATCH(RAB!C61,'HARGA SATUAN'!$C$7:$C$1492,0),0))</f>
        <v/>
      </c>
      <c r="E61" s="359" t="str">
        <f ca="1">IF(B61="+","Unit",IF(ISERROR(OFFSET('HARGA SATUAN'!$E$6,MATCH(RAB!C61,'HARGA SATUAN'!$C$7:$C$1492,0),0)),"",OFFSET('HARGA SATUAN'!$E$6,MATCH(RAB!C61,'HARGA SATUAN'!$C$7:$C$1492,0),0)))</f>
        <v/>
      </c>
      <c r="F61" s="501"/>
      <c r="G61" s="360">
        <f ca="1">IF(ISERROR(OFFSET('HARGA SATUAN'!$I$6,MATCH(RAB!C61,'HARGA SATUAN'!$C$7:$C$1492,0),0)),0,OFFSET('HARGA SATUAN'!$I$6,MATCH(RAB!C61,'HARGA SATUAN'!$C$7:$C$1492,0),0))</f>
        <v>0</v>
      </c>
      <c r="H61" s="361">
        <f t="shared" ca="1" si="36"/>
        <v>0</v>
      </c>
      <c r="I61" s="361">
        <f t="shared" ca="1" si="37"/>
        <v>0</v>
      </c>
      <c r="J61" s="361">
        <f t="shared" ca="1" si="38"/>
        <v>0</v>
      </c>
      <c r="K61" s="362">
        <f t="shared" ca="1" si="39"/>
        <v>0</v>
      </c>
    </row>
    <row r="62" spans="1:17">
      <c r="B62" s="494"/>
      <c r="C62" s="497"/>
      <c r="D62" s="358" t="str">
        <f ca="1">IF(ISERROR(OFFSET('HARGA SATUAN'!$D$6,MATCH(RAB!C62,'HARGA SATUAN'!$C$7:$C$1492,0),0)),"",OFFSET('HARGA SATUAN'!$D$6,MATCH(RAB!C62,'HARGA SATUAN'!$C$7:$C$1492,0),0))</f>
        <v/>
      </c>
      <c r="E62" s="359" t="str">
        <f ca="1">IF(B62="+","Unit",IF(ISERROR(OFFSET('HARGA SATUAN'!$E$6,MATCH(RAB!C62,'HARGA SATUAN'!$C$7:$C$1492,0),0)),"",OFFSET('HARGA SATUAN'!$E$6,MATCH(RAB!C62,'HARGA SATUAN'!$C$7:$C$1492,0),0)))</f>
        <v/>
      </c>
      <c r="F62" s="501"/>
      <c r="G62" s="360">
        <f ca="1">IF(ISERROR(OFFSET('HARGA SATUAN'!$I$6,MATCH(RAB!C62,'HARGA SATUAN'!$C$7:$C$1492,0),0)),0,OFFSET('HARGA SATUAN'!$I$6,MATCH(RAB!C62,'HARGA SATUAN'!$C$7:$C$1492,0),0))</f>
        <v>0</v>
      </c>
      <c r="H62" s="361">
        <f t="shared" ca="1" si="36"/>
        <v>0</v>
      </c>
      <c r="I62" s="361">
        <f t="shared" ca="1" si="37"/>
        <v>0</v>
      </c>
      <c r="J62" s="361">
        <f t="shared" ca="1" si="38"/>
        <v>0</v>
      </c>
      <c r="K62" s="362">
        <f t="shared" ca="1" si="39"/>
        <v>0</v>
      </c>
    </row>
    <row r="63" spans="1:17">
      <c r="B63" s="495" t="s">
        <v>1615</v>
      </c>
      <c r="C63" s="500" t="s">
        <v>1619</v>
      </c>
      <c r="D63" s="358" t="str">
        <f ca="1">IF(ISERROR(OFFSET('HARGA SATUAN'!$D$6,MATCH(RAB!C63,'HARGA SATUAN'!$C$7:$C$1492,0),0)),"",OFFSET('HARGA SATUAN'!$D$6,MATCH(RAB!C63,'HARGA SATUAN'!$C$7:$C$1492,0),0))</f>
        <v/>
      </c>
      <c r="E63" s="359" t="str">
        <f ca="1">IF(B63="+","Unit",IF(ISERROR(OFFSET('HARGA SATUAN'!$E$6,MATCH(RAB!C63,'HARGA SATUAN'!$C$7:$C$1492,0),0)),"",OFFSET('HARGA SATUAN'!$E$6,MATCH(RAB!C63,'HARGA SATUAN'!$C$7:$C$1492,0),0)))</f>
        <v/>
      </c>
      <c r="F63" s="368"/>
      <c r="G63" s="360">
        <f ca="1">IF(ISERROR(OFFSET('HARGA SATUAN'!$I$6,MATCH(RAB!C63,'HARGA SATUAN'!$C$7:$C$1492,0),0)),0,OFFSET('HARGA SATUAN'!$I$6,MATCH(RAB!C63,'HARGA SATUAN'!$C$7:$C$1492,0),0))</f>
        <v>0</v>
      </c>
      <c r="H63" s="361">
        <f t="shared" ref="H63:H69" ca="1" si="40">IF(OR(D63="MDU",D63="MDU-KD"),(IF($O$3="RAB NON MDU","PLN KD",G63*F63)),0)</f>
        <v>0</v>
      </c>
      <c r="I63" s="361">
        <f t="shared" ref="I63:I69" ca="1" si="41">IF(D63="HDW",G63*F63,0)</f>
        <v>0</v>
      </c>
      <c r="J63" s="361">
        <f t="shared" ref="J63:J69" ca="1" si="42">IF(D63="JASA",G63*F63,0)</f>
        <v>0</v>
      </c>
      <c r="K63" s="362">
        <f t="shared" ref="K63:K69" ca="1" si="43">SUM(H63:J63)</f>
        <v>0</v>
      </c>
    </row>
    <row r="64" spans="1:17">
      <c r="B64" s="495"/>
      <c r="C64" s="496"/>
      <c r="D64" s="358" t="str">
        <f ca="1">IF(ISERROR(OFFSET('HARGA SATUAN'!$D$6,MATCH(RAB!C64,'HARGA SATUAN'!$C$7:$C$1492,0),0)),"",OFFSET('HARGA SATUAN'!$D$6,MATCH(RAB!C64,'HARGA SATUAN'!$C$7:$C$1492,0),0))</f>
        <v/>
      </c>
      <c r="E64" s="359" t="str">
        <f ca="1">IF(B64="+","Unit",IF(ISERROR(OFFSET('HARGA SATUAN'!$E$6,MATCH(RAB!C64,'HARGA SATUAN'!$C$7:$C$1492,0),0)),"",OFFSET('HARGA SATUAN'!$E$6,MATCH(RAB!C64,'HARGA SATUAN'!$C$7:$C$1492,0),0)))</f>
        <v/>
      </c>
      <c r="F64" s="503"/>
      <c r="G64" s="360">
        <f ca="1">IF(ISERROR(OFFSET('HARGA SATUAN'!$I$6,MATCH(RAB!C64,'HARGA SATUAN'!$C$7:$C$1492,0),0)),0,OFFSET('HARGA SATUAN'!$I$6,MATCH(RAB!C64,'HARGA SATUAN'!$C$7:$C$1492,0),0))</f>
        <v>0</v>
      </c>
      <c r="H64" s="361">
        <f t="shared" ca="1" si="40"/>
        <v>0</v>
      </c>
      <c r="I64" s="361">
        <f t="shared" ca="1" si="41"/>
        <v>0</v>
      </c>
      <c r="J64" s="361">
        <f t="shared" ca="1" si="42"/>
        <v>0</v>
      </c>
      <c r="K64" s="362">
        <f t="shared" ca="1" si="43"/>
        <v>0</v>
      </c>
    </row>
    <row r="65" spans="2:11">
      <c r="B65" s="495" t="s">
        <v>1035</v>
      </c>
      <c r="C65" s="496" t="s">
        <v>1623</v>
      </c>
      <c r="D65" s="358" t="str">
        <f ca="1">IF(ISERROR(OFFSET('HARGA SATUAN'!$D$6,MATCH(RAB!C65,'HARGA SATUAN'!$C$7:$C$1492,0),0)),"",OFFSET('HARGA SATUAN'!$D$6,MATCH(RAB!C65,'HARGA SATUAN'!$C$7:$C$1492,0),0))</f>
        <v/>
      </c>
      <c r="E65" s="359" t="str">
        <f ca="1">IF(B65="+","Unit",IF(ISERROR(OFFSET('HARGA SATUAN'!$E$6,MATCH(RAB!C65,'HARGA SATUAN'!$C$7:$C$1492,0),0)),"",OFFSET('HARGA SATUAN'!$E$6,MATCH(RAB!C65,'HARGA SATUAN'!$C$7:$C$1492,0),0)))</f>
        <v>Unit</v>
      </c>
      <c r="F65" s="510">
        <v>1</v>
      </c>
      <c r="G65" s="360">
        <f ca="1">IF(ISERROR(OFFSET('HARGA SATUAN'!$I$6,MATCH(RAB!C65,'HARGA SATUAN'!$C$7:$C$1492,0),0)),0,OFFSET('HARGA SATUAN'!$I$6,MATCH(RAB!C65,'HARGA SATUAN'!$C$7:$C$1492,0),0))</f>
        <v>0</v>
      </c>
      <c r="H65" s="361">
        <f t="shared" ca="1" si="40"/>
        <v>0</v>
      </c>
      <c r="I65" s="361">
        <f t="shared" ca="1" si="41"/>
        <v>0</v>
      </c>
      <c r="J65" s="361">
        <f t="shared" ca="1" si="42"/>
        <v>0</v>
      </c>
      <c r="K65" s="362">
        <f t="shared" ca="1" si="43"/>
        <v>0</v>
      </c>
    </row>
    <row r="66" spans="2:11" ht="30">
      <c r="B66" s="508">
        <v>1</v>
      </c>
      <c r="C66" s="109" t="s">
        <v>1141</v>
      </c>
      <c r="D66" s="358" t="str">
        <f ca="1">IF(ISERROR(OFFSET('HARGA SATUAN'!$D$6,MATCH(RAB!C66,'HARGA SATUAN'!$C$7:$C$1492,0),0)),"",OFFSET('HARGA SATUAN'!$D$6,MATCH(RAB!C66,'HARGA SATUAN'!$C$7:$C$1492,0),0))</f>
        <v>MDU-KD</v>
      </c>
      <c r="E66" s="359" t="str">
        <f ca="1">IF(B66="+","Unit",IF(ISERROR(OFFSET('HARGA SATUAN'!$E$6,MATCH(RAB!C66,'HARGA SATUAN'!$C$7:$C$1492,0),0)),"",OFFSET('HARGA SATUAN'!$E$6,MATCH(RAB!C66,'HARGA SATUAN'!$C$7:$C$1492,0),0)))</f>
        <v>Bh</v>
      </c>
      <c r="F66" s="510">
        <f>F65*1</f>
        <v>1</v>
      </c>
      <c r="G66" s="360">
        <f ca="1">IF(ISERROR(OFFSET('HARGA SATUAN'!$I$6,MATCH(RAB!C66,'HARGA SATUAN'!$C$7:$C$1492,0),0)),0,OFFSET('HARGA SATUAN'!$I$6,MATCH(RAB!C66,'HARGA SATUAN'!$C$7:$C$1492,0),0))</f>
        <v>1740750</v>
      </c>
      <c r="H66" s="361">
        <f t="shared" ca="1" si="40"/>
        <v>1740750</v>
      </c>
      <c r="I66" s="361">
        <f t="shared" ca="1" si="41"/>
        <v>0</v>
      </c>
      <c r="J66" s="361">
        <f t="shared" ca="1" si="42"/>
        <v>0</v>
      </c>
      <c r="K66" s="362">
        <f t="shared" ca="1" si="43"/>
        <v>1740750</v>
      </c>
    </row>
    <row r="67" spans="2:11">
      <c r="B67" s="508">
        <v>2</v>
      </c>
      <c r="C67" s="509" t="s">
        <v>493</v>
      </c>
      <c r="D67" s="358" t="str">
        <f ca="1">IF(ISERROR(OFFSET('HARGA SATUAN'!$D$6,MATCH(RAB!C67,'HARGA SATUAN'!$C$7:$C$1492,0),0)),"",OFFSET('HARGA SATUAN'!$D$6,MATCH(RAB!C67,'HARGA SATUAN'!$C$7:$C$1492,0),0))</f>
        <v>MDU-KD</v>
      </c>
      <c r="E67" s="359" t="str">
        <f ca="1">IF(B67="+","Unit",IF(ISERROR(OFFSET('HARGA SATUAN'!$E$6,MATCH(RAB!C67,'HARGA SATUAN'!$C$7:$C$1492,0),0)),"",OFFSET('HARGA SATUAN'!$E$6,MATCH(RAB!C67,'HARGA SATUAN'!$C$7:$C$1492,0),0)))</f>
        <v>Bh</v>
      </c>
      <c r="F67" s="510">
        <f>F65*1</f>
        <v>1</v>
      </c>
      <c r="G67" s="360">
        <f ca="1">IF(ISERROR(OFFSET('HARGA SATUAN'!$I$6,MATCH(RAB!C67,'HARGA SATUAN'!$C$7:$C$1492,0),0)),0,OFFSET('HARGA SATUAN'!$I$6,MATCH(RAB!C67,'HARGA SATUAN'!$C$7:$C$1492,0),0))</f>
        <v>39000</v>
      </c>
      <c r="H67" s="361">
        <f t="shared" ca="1" si="40"/>
        <v>39000</v>
      </c>
      <c r="I67" s="361">
        <f t="shared" ca="1" si="41"/>
        <v>0</v>
      </c>
      <c r="J67" s="361">
        <f t="shared" ca="1" si="42"/>
        <v>0</v>
      </c>
      <c r="K67" s="362">
        <f t="shared" ca="1" si="43"/>
        <v>39000</v>
      </c>
    </row>
    <row r="68" spans="2:11">
      <c r="B68" s="508">
        <v>3</v>
      </c>
      <c r="C68" s="509" t="s">
        <v>74</v>
      </c>
      <c r="D68" s="358" t="str">
        <f ca="1">IF(ISERROR(OFFSET('HARGA SATUAN'!$D$6,MATCH(RAB!C68,'HARGA SATUAN'!$C$7:$C$1492,0),0)),"",OFFSET('HARGA SATUAN'!$D$6,MATCH(RAB!C68,'HARGA SATUAN'!$C$7:$C$1492,0),0))</f>
        <v>MDU-KD</v>
      </c>
      <c r="E68" s="359" t="str">
        <f ca="1">IF(B68="+","Unit",IF(ISERROR(OFFSET('HARGA SATUAN'!$E$6,MATCH(RAB!C68,'HARGA SATUAN'!$C$7:$C$1492,0),0)),"",OFFSET('HARGA SATUAN'!$E$6,MATCH(RAB!C68,'HARGA SATUAN'!$C$7:$C$1492,0),0)))</f>
        <v>Mtr</v>
      </c>
      <c r="F68" s="510">
        <f>F65*35</f>
        <v>35</v>
      </c>
      <c r="G68" s="360">
        <f ca="1">IF(ISERROR(OFFSET('HARGA SATUAN'!$I$6,MATCH(RAB!C68,'HARGA SATUAN'!$C$7:$C$1492,0),0)),0,OFFSET('HARGA SATUAN'!$I$6,MATCH(RAB!C68,'HARGA SATUAN'!$C$7:$C$1492,0),0))</f>
        <v>6600</v>
      </c>
      <c r="H68" s="361">
        <f t="shared" ca="1" si="40"/>
        <v>231000</v>
      </c>
      <c r="I68" s="361">
        <f t="shared" ca="1" si="41"/>
        <v>0</v>
      </c>
      <c r="J68" s="361">
        <f t="shared" ca="1" si="42"/>
        <v>0</v>
      </c>
      <c r="K68" s="362">
        <f t="shared" ca="1" si="43"/>
        <v>231000</v>
      </c>
    </row>
    <row r="69" spans="2:11">
      <c r="B69" s="508">
        <v>4</v>
      </c>
      <c r="C69" s="509" t="s">
        <v>798</v>
      </c>
      <c r="D69" s="358" t="str">
        <f ca="1">IF(ISERROR(OFFSET('HARGA SATUAN'!$D$6,MATCH(RAB!C69,'HARGA SATUAN'!$C$7:$C$1492,0),0)),"",OFFSET('HARGA SATUAN'!$D$6,MATCH(RAB!C69,'HARGA SATUAN'!$C$7:$C$1492,0),0))</f>
        <v>JASA</v>
      </c>
      <c r="E69" s="359" t="str">
        <f ca="1">IF(B69="+","Unit",IF(ISERROR(OFFSET('HARGA SATUAN'!$E$6,MATCH(RAB!C69,'HARGA SATUAN'!$C$7:$C$1492,0),0)),"",OFFSET('HARGA SATUAN'!$E$6,MATCH(RAB!C69,'HARGA SATUAN'!$C$7:$C$1492,0),0)))</f>
        <v>Unit</v>
      </c>
      <c r="F69" s="510">
        <f>F65*1</f>
        <v>1</v>
      </c>
      <c r="G69" s="360">
        <f ca="1">IF(ISERROR(OFFSET('HARGA SATUAN'!$I$6,MATCH(RAB!C69,'HARGA SATUAN'!$C$7:$C$1492,0),0)),0,OFFSET('HARGA SATUAN'!$I$6,MATCH(RAB!C69,'HARGA SATUAN'!$C$7:$C$1492,0),0))</f>
        <v>54400</v>
      </c>
      <c r="H69" s="361">
        <f t="shared" ca="1" si="40"/>
        <v>0</v>
      </c>
      <c r="I69" s="361">
        <f t="shared" ca="1" si="41"/>
        <v>0</v>
      </c>
      <c r="J69" s="361">
        <f t="shared" ca="1" si="42"/>
        <v>54400</v>
      </c>
      <c r="K69" s="362">
        <f t="shared" ca="1" si="43"/>
        <v>54400</v>
      </c>
    </row>
    <row r="70" spans="2:11">
      <c r="B70" s="374"/>
      <c r="C70" s="502"/>
      <c r="D70" s="358" t="str">
        <f ca="1">IF(ISERROR(OFFSET('HARGA SATUAN'!$D$6,MATCH(RAB!C70,'HARGA SATUAN'!$C$7:$C$1492,0),0)),"",OFFSET('HARGA SATUAN'!$D$6,MATCH(RAB!C70,'HARGA SATUAN'!$C$7:$C$1492,0),0))</f>
        <v/>
      </c>
      <c r="E70" s="359" t="str">
        <f ca="1">IF(B70="+","Unit",IF(ISERROR(OFFSET('HARGA SATUAN'!$E$6,MATCH(RAB!C70,'HARGA SATUAN'!$C$7:$C$1492,0),0)),"",OFFSET('HARGA SATUAN'!$E$6,MATCH(RAB!C70,'HARGA SATUAN'!$C$7:$C$1492,0),0)))</f>
        <v/>
      </c>
      <c r="F70" s="368"/>
      <c r="G70" s="360">
        <f ca="1">IF(ISERROR(OFFSET('HARGA SATUAN'!$I$6,MATCH(RAB!C70,'HARGA SATUAN'!$C$7:$C$1492,0),0)),0,OFFSET('HARGA SATUAN'!$I$6,MATCH(RAB!C70,'HARGA SATUAN'!$C$7:$C$1492,0),0))</f>
        <v>0</v>
      </c>
      <c r="H70" s="361">
        <f t="shared" ref="H70:H82" ca="1" si="44">IF(OR(D70="MDU",D70="MDU-KD"),(IF($O$3="RAB NON MDU","PLN KD",G70*F70)),0)</f>
        <v>0</v>
      </c>
      <c r="I70" s="361">
        <f t="shared" ref="I70:I82" ca="1" si="45">IF(D70="HDW",G70*F70,0)</f>
        <v>0</v>
      </c>
      <c r="J70" s="361">
        <f t="shared" ref="J70:J82" ca="1" si="46">IF(D70="JASA",G70*F70,0)</f>
        <v>0</v>
      </c>
      <c r="K70" s="362">
        <f t="shared" ref="K70:K82" ca="1" si="47">SUM(H70:J70)</f>
        <v>0</v>
      </c>
    </row>
    <row r="71" spans="2:11">
      <c r="B71" s="508" t="s">
        <v>1035</v>
      </c>
      <c r="C71" s="509" t="s">
        <v>1622</v>
      </c>
      <c r="D71" s="358" t="str">
        <f ca="1">IF(ISERROR(OFFSET('HARGA SATUAN'!$D$6,MATCH(RAB!C71,'HARGA SATUAN'!$C$7:$C$1492,0),0)),"",OFFSET('HARGA SATUAN'!$D$6,MATCH(RAB!C71,'HARGA SATUAN'!$C$7:$C$1492,0),0))</f>
        <v/>
      </c>
      <c r="E71" s="359" t="str">
        <f ca="1">IF(B71="+","Unit",IF(ISERROR(OFFSET('HARGA SATUAN'!$E$6,MATCH(RAB!C71,'HARGA SATUAN'!$C$7:$C$1492,0),0)),"",OFFSET('HARGA SATUAN'!$E$6,MATCH(RAB!C71,'HARGA SATUAN'!$C$7:$C$1492,0),0)))</f>
        <v>Unit</v>
      </c>
      <c r="F71" s="510">
        <v>1</v>
      </c>
      <c r="G71" s="360">
        <f ca="1">IF(ISERROR(OFFSET('HARGA SATUAN'!$I$6,MATCH(RAB!C71,'HARGA SATUAN'!$C$7:$C$1492,0),0)),0,OFFSET('HARGA SATUAN'!$I$6,MATCH(RAB!C71,'HARGA SATUAN'!$C$7:$C$1492,0),0))</f>
        <v>0</v>
      </c>
      <c r="H71" s="361">
        <f t="shared" ca="1" si="44"/>
        <v>0</v>
      </c>
      <c r="I71" s="361">
        <f t="shared" ca="1" si="45"/>
        <v>0</v>
      </c>
      <c r="J71" s="361">
        <f t="shared" ca="1" si="46"/>
        <v>0</v>
      </c>
      <c r="K71" s="362">
        <f t="shared" ca="1" si="47"/>
        <v>0</v>
      </c>
    </row>
    <row r="72" spans="2:11">
      <c r="B72" s="508">
        <v>1</v>
      </c>
      <c r="C72" s="509" t="s">
        <v>115</v>
      </c>
      <c r="D72" s="358" t="str">
        <f ca="1">IF(ISERROR(OFFSET('HARGA SATUAN'!$D$6,MATCH(RAB!C72,'HARGA SATUAN'!$C$7:$C$1492,0),0)),"",OFFSET('HARGA SATUAN'!$D$6,MATCH(RAB!C72,'HARGA SATUAN'!$C$7:$C$1492,0),0))</f>
        <v>HDW</v>
      </c>
      <c r="E72" s="359" t="str">
        <f ca="1">IF(B72="+","Unit",IF(ISERROR(OFFSET('HARGA SATUAN'!$E$6,MATCH(RAB!C72,'HARGA SATUAN'!$C$7:$C$1492,0),0)),"",OFFSET('HARGA SATUAN'!$E$6,MATCH(RAB!C72,'HARGA SATUAN'!$C$7:$C$1492,0),0)))</f>
        <v>Set</v>
      </c>
      <c r="F72" s="510">
        <f>F71*1</f>
        <v>1</v>
      </c>
      <c r="G72" s="360">
        <f ca="1">IF(ISERROR(OFFSET('HARGA SATUAN'!$I$6,MATCH(RAB!C72,'HARGA SATUAN'!$C$7:$C$1492,0),0)),0,OFFSET('HARGA SATUAN'!$I$6,MATCH(RAB!C72,'HARGA SATUAN'!$C$7:$C$1492,0),0))</f>
        <v>11500</v>
      </c>
      <c r="H72" s="361">
        <f t="shared" ca="1" si="44"/>
        <v>0</v>
      </c>
      <c r="I72" s="361">
        <f t="shared" ca="1" si="45"/>
        <v>11500</v>
      </c>
      <c r="J72" s="361">
        <f t="shared" ca="1" si="46"/>
        <v>0</v>
      </c>
      <c r="K72" s="362">
        <f t="shared" ca="1" si="47"/>
        <v>11500</v>
      </c>
    </row>
    <row r="73" spans="2:11">
      <c r="B73" s="508">
        <v>2</v>
      </c>
      <c r="C73" s="509" t="s">
        <v>145</v>
      </c>
      <c r="D73" s="358" t="str">
        <f ca="1">IF(ISERROR(OFFSET('HARGA SATUAN'!$D$6,MATCH(RAB!C73,'HARGA SATUAN'!$C$7:$C$1492,0),0)),"",OFFSET('HARGA SATUAN'!$D$6,MATCH(RAB!C73,'HARGA SATUAN'!$C$7:$C$1492,0),0))</f>
        <v>HDW</v>
      </c>
      <c r="E73" s="359" t="str">
        <f ca="1">IF(B73="+","Unit",IF(ISERROR(OFFSET('HARGA SATUAN'!$E$6,MATCH(RAB!C73,'HARGA SATUAN'!$C$7:$C$1492,0),0)),"",OFFSET('HARGA SATUAN'!$E$6,MATCH(RAB!C73,'HARGA SATUAN'!$C$7:$C$1492,0),0)))</f>
        <v>Set</v>
      </c>
      <c r="F73" s="510">
        <f>F71*1</f>
        <v>1</v>
      </c>
      <c r="G73" s="360">
        <f ca="1">IF(ISERROR(OFFSET('HARGA SATUAN'!$I$6,MATCH(RAB!C73,'HARGA SATUAN'!$C$7:$C$1492,0),0)),0,OFFSET('HARGA SATUAN'!$I$6,MATCH(RAB!C73,'HARGA SATUAN'!$C$7:$C$1492,0),0))</f>
        <v>6200</v>
      </c>
      <c r="H73" s="361">
        <f t="shared" ca="1" si="44"/>
        <v>0</v>
      </c>
      <c r="I73" s="361">
        <f t="shared" ca="1" si="45"/>
        <v>6200</v>
      </c>
      <c r="J73" s="361">
        <f t="shared" ca="1" si="46"/>
        <v>0</v>
      </c>
      <c r="K73" s="362">
        <f t="shared" ca="1" si="47"/>
        <v>6200</v>
      </c>
    </row>
    <row r="74" spans="2:11">
      <c r="B74" s="508">
        <v>3</v>
      </c>
      <c r="C74" s="509" t="s">
        <v>587</v>
      </c>
      <c r="D74" s="358" t="str">
        <f ca="1">IF(ISERROR(OFFSET('HARGA SATUAN'!$D$6,MATCH(RAB!C74,'HARGA SATUAN'!$C$7:$C$1492,0),0)),"",OFFSET('HARGA SATUAN'!$D$6,MATCH(RAB!C74,'HARGA SATUAN'!$C$7:$C$1492,0),0))</f>
        <v>HDW</v>
      </c>
      <c r="E74" s="359" t="str">
        <f ca="1">IF(B74="+","Unit",IF(ISERROR(OFFSET('HARGA SATUAN'!$E$6,MATCH(RAB!C74,'HARGA SATUAN'!$C$7:$C$1492,0),0)),"",OFFSET('HARGA SATUAN'!$E$6,MATCH(RAB!C74,'HARGA SATUAN'!$C$7:$C$1492,0),0)))</f>
        <v>Btg</v>
      </c>
      <c r="F74" s="510">
        <f>F71*1</f>
        <v>1</v>
      </c>
      <c r="G74" s="360">
        <f ca="1">IF(ISERROR(OFFSET('HARGA SATUAN'!$I$6,MATCH(RAB!C74,'HARGA SATUAN'!$C$7:$C$1492,0),0)),0,OFFSET('HARGA SATUAN'!$I$6,MATCH(RAB!C74,'HARGA SATUAN'!$C$7:$C$1492,0),0))</f>
        <v>45796</v>
      </c>
      <c r="H74" s="361">
        <f t="shared" ca="1" si="44"/>
        <v>0</v>
      </c>
      <c r="I74" s="361">
        <f t="shared" ca="1" si="45"/>
        <v>45796</v>
      </c>
      <c r="J74" s="361">
        <f t="shared" ca="1" si="46"/>
        <v>0</v>
      </c>
      <c r="K74" s="362">
        <f t="shared" ca="1" si="47"/>
        <v>45796</v>
      </c>
    </row>
    <row r="75" spans="2:11">
      <c r="B75" s="508">
        <v>4</v>
      </c>
      <c r="C75" s="509" t="s">
        <v>118</v>
      </c>
      <c r="D75" s="358" t="str">
        <f ca="1">IF(ISERROR(OFFSET('HARGA SATUAN'!$D$6,MATCH(RAB!C75,'HARGA SATUAN'!$C$7:$C$1492,0),0)),"",OFFSET('HARGA SATUAN'!$D$6,MATCH(RAB!C75,'HARGA SATUAN'!$C$7:$C$1492,0),0))</f>
        <v>HDW</v>
      </c>
      <c r="E75" s="359" t="str">
        <f ca="1">IF(B75="+","Unit",IF(ISERROR(OFFSET('HARGA SATUAN'!$E$6,MATCH(RAB!C75,'HARGA SATUAN'!$C$7:$C$1492,0),0)),"",OFFSET('HARGA SATUAN'!$E$6,MATCH(RAB!C75,'HARGA SATUAN'!$C$7:$C$1492,0),0)))</f>
        <v>Set</v>
      </c>
      <c r="F75" s="510">
        <f>F71*1</f>
        <v>1</v>
      </c>
      <c r="G75" s="360">
        <f ca="1">IF(ISERROR(OFFSET('HARGA SATUAN'!$I$6,MATCH(RAB!C75,'HARGA SATUAN'!$C$7:$C$1492,0),0)),0,OFFSET('HARGA SATUAN'!$I$6,MATCH(RAB!C75,'HARGA SATUAN'!$C$7:$C$1492,0),0))</f>
        <v>5300</v>
      </c>
      <c r="H75" s="361">
        <f t="shared" ca="1" si="44"/>
        <v>0</v>
      </c>
      <c r="I75" s="361">
        <f t="shared" ca="1" si="45"/>
        <v>5300</v>
      </c>
      <c r="J75" s="361">
        <f t="shared" ca="1" si="46"/>
        <v>0</v>
      </c>
      <c r="K75" s="362">
        <f t="shared" ca="1" si="47"/>
        <v>5300</v>
      </c>
    </row>
    <row r="76" spans="2:11">
      <c r="B76" s="508">
        <v>5</v>
      </c>
      <c r="C76" s="509" t="s">
        <v>117</v>
      </c>
      <c r="D76" s="358" t="str">
        <f ca="1">IF(ISERROR(OFFSET('HARGA SATUAN'!$D$6,MATCH(RAB!C76,'HARGA SATUAN'!$C$7:$C$1492,0),0)),"",OFFSET('HARGA SATUAN'!$D$6,MATCH(RAB!C76,'HARGA SATUAN'!$C$7:$C$1492,0),0))</f>
        <v>HDW</v>
      </c>
      <c r="E76" s="359" t="str">
        <f ca="1">IF(B76="+","Unit",IF(ISERROR(OFFSET('HARGA SATUAN'!$E$6,MATCH(RAB!C76,'HARGA SATUAN'!$C$7:$C$1492,0),0)),"",OFFSET('HARGA SATUAN'!$E$6,MATCH(RAB!C76,'HARGA SATUAN'!$C$7:$C$1492,0),0)))</f>
        <v>Bh</v>
      </c>
      <c r="F76" s="510">
        <f>F71*1</f>
        <v>1</v>
      </c>
      <c r="G76" s="360">
        <f ca="1">IF(ISERROR(OFFSET('HARGA SATUAN'!$I$6,MATCH(RAB!C76,'HARGA SATUAN'!$C$7:$C$1492,0),0)),0,OFFSET('HARGA SATUAN'!$I$6,MATCH(RAB!C76,'HARGA SATUAN'!$C$7:$C$1492,0),0))</f>
        <v>58600</v>
      </c>
      <c r="H76" s="361">
        <f t="shared" ca="1" si="44"/>
        <v>0</v>
      </c>
      <c r="I76" s="361">
        <f t="shared" ca="1" si="45"/>
        <v>58600</v>
      </c>
      <c r="J76" s="361">
        <f t="shared" ca="1" si="46"/>
        <v>0</v>
      </c>
      <c r="K76" s="362">
        <f t="shared" ca="1" si="47"/>
        <v>58600</v>
      </c>
    </row>
    <row r="77" spans="2:11">
      <c r="B77" s="508">
        <v>6</v>
      </c>
      <c r="C77" s="109" t="s">
        <v>1154</v>
      </c>
      <c r="D77" s="358" t="str">
        <f ca="1">IF(ISERROR(OFFSET('HARGA SATUAN'!$D$6,MATCH(RAB!C77,'HARGA SATUAN'!$C$7:$C$1492,0),0)),"",OFFSET('HARGA SATUAN'!$D$6,MATCH(RAB!C77,'HARGA SATUAN'!$C$7:$C$1492,0),0))</f>
        <v>HDW</v>
      </c>
      <c r="E77" s="359" t="str">
        <f ca="1">IF(B77="+","Unit",IF(ISERROR(OFFSET('HARGA SATUAN'!$E$6,MATCH(RAB!C77,'HARGA SATUAN'!$C$7:$C$1492,0),0)),"",OFFSET('HARGA SATUAN'!$E$6,MATCH(RAB!C77,'HARGA SATUAN'!$C$7:$C$1492,0),0)))</f>
        <v>Set</v>
      </c>
      <c r="F77" s="510">
        <f>F71*1</f>
        <v>1</v>
      </c>
      <c r="G77" s="360">
        <f ca="1">IF(ISERROR(OFFSET('HARGA SATUAN'!$I$6,MATCH(RAB!C77,'HARGA SATUAN'!$C$7:$C$1492,0),0)),0,OFFSET('HARGA SATUAN'!$I$6,MATCH(RAB!C77,'HARGA SATUAN'!$C$7:$C$1492,0),0))</f>
        <v>3888</v>
      </c>
      <c r="H77" s="361">
        <f t="shared" ca="1" si="44"/>
        <v>0</v>
      </c>
      <c r="I77" s="361">
        <f t="shared" ca="1" si="45"/>
        <v>3888</v>
      </c>
      <c r="J77" s="361">
        <f t="shared" ca="1" si="46"/>
        <v>0</v>
      </c>
      <c r="K77" s="362">
        <f t="shared" ca="1" si="47"/>
        <v>3888</v>
      </c>
    </row>
    <row r="78" spans="2:11">
      <c r="B78" s="508">
        <v>7</v>
      </c>
      <c r="C78" s="509" t="s">
        <v>119</v>
      </c>
      <c r="D78" s="358" t="str">
        <f ca="1">IF(ISERROR(OFFSET('HARGA SATUAN'!$D$6,MATCH(RAB!C78,'HARGA SATUAN'!$C$7:$C$1492,0),0)),"",OFFSET('HARGA SATUAN'!$D$6,MATCH(RAB!C78,'HARGA SATUAN'!$C$7:$C$1492,0),0))</f>
        <v>HDW</v>
      </c>
      <c r="E78" s="359" t="str">
        <f ca="1">IF(B78="+","Unit",IF(ISERROR(OFFSET('HARGA SATUAN'!$E$6,MATCH(RAB!C78,'HARGA SATUAN'!$C$7:$C$1492,0),0)),"",OFFSET('HARGA SATUAN'!$E$6,MATCH(RAB!C78,'HARGA SATUAN'!$C$7:$C$1492,0),0)))</f>
        <v>Set</v>
      </c>
      <c r="F78" s="510">
        <f>F71*2</f>
        <v>2</v>
      </c>
      <c r="G78" s="360">
        <f ca="1">IF(ISERROR(OFFSET('HARGA SATUAN'!$I$6,MATCH(RAB!C78,'HARGA SATUAN'!$C$7:$C$1492,0),0)),0,OFFSET('HARGA SATUAN'!$I$6,MATCH(RAB!C78,'HARGA SATUAN'!$C$7:$C$1492,0),0))</f>
        <v>8900</v>
      </c>
      <c r="H78" s="361">
        <f t="shared" ca="1" si="44"/>
        <v>0</v>
      </c>
      <c r="I78" s="361">
        <f t="shared" ca="1" si="45"/>
        <v>17800</v>
      </c>
      <c r="J78" s="361">
        <f t="shared" ca="1" si="46"/>
        <v>0</v>
      </c>
      <c r="K78" s="362">
        <f t="shared" ca="1" si="47"/>
        <v>17800</v>
      </c>
    </row>
    <row r="79" spans="2:11">
      <c r="B79" s="374"/>
      <c r="C79" s="502"/>
      <c r="D79" s="358" t="str">
        <f ca="1">IF(ISERROR(OFFSET('HARGA SATUAN'!$D$6,MATCH(RAB!C79,'HARGA SATUAN'!$C$7:$C$1492,0),0)),"",OFFSET('HARGA SATUAN'!$D$6,MATCH(RAB!C79,'HARGA SATUAN'!$C$7:$C$1492,0),0))</f>
        <v/>
      </c>
      <c r="E79" s="359" t="str">
        <f ca="1">IF(B79="+","Unit",IF(ISERROR(OFFSET('HARGA SATUAN'!$E$6,MATCH(RAB!C79,'HARGA SATUAN'!$C$7:$C$1492,0),0)),"",OFFSET('HARGA SATUAN'!$E$6,MATCH(RAB!C79,'HARGA SATUAN'!$C$7:$C$1492,0),0)))</f>
        <v/>
      </c>
      <c r="F79" s="368"/>
      <c r="G79" s="360">
        <f ca="1">IF(ISERROR(OFFSET('HARGA SATUAN'!$I$6,MATCH(RAB!C79,'HARGA SATUAN'!$C$7:$C$1492,0),0)),0,OFFSET('HARGA SATUAN'!$I$6,MATCH(RAB!C79,'HARGA SATUAN'!$C$7:$C$1492,0),0))</f>
        <v>0</v>
      </c>
      <c r="H79" s="361">
        <f t="shared" ca="1" si="44"/>
        <v>0</v>
      </c>
      <c r="I79" s="361">
        <f t="shared" ca="1" si="45"/>
        <v>0</v>
      </c>
      <c r="J79" s="361">
        <f t="shared" ca="1" si="46"/>
        <v>0</v>
      </c>
      <c r="K79" s="362">
        <f t="shared" ca="1" si="47"/>
        <v>0</v>
      </c>
    </row>
    <row r="80" spans="2:11">
      <c r="B80" s="366" t="s">
        <v>22</v>
      </c>
      <c r="C80" s="367" t="s">
        <v>1617</v>
      </c>
      <c r="D80" s="358" t="str">
        <f ca="1">IF(ISERROR(OFFSET('HARGA SATUAN'!$D$6,MATCH(RAB!C80,'HARGA SATUAN'!$C$7:$C$1492,0),0)),"",OFFSET('HARGA SATUAN'!$D$6,MATCH(RAB!C80,'HARGA SATUAN'!$C$7:$C$1492,0),0))</f>
        <v/>
      </c>
      <c r="E80" s="359" t="str">
        <f ca="1">IF(B80="+","Unit",IF(ISERROR(OFFSET('HARGA SATUAN'!$E$6,MATCH(RAB!C80,'HARGA SATUAN'!$C$7:$C$1492,0),0)),"",OFFSET('HARGA SATUAN'!$E$6,MATCH(RAB!C80,'HARGA SATUAN'!$C$7:$C$1492,0),0)))</f>
        <v/>
      </c>
      <c r="F80" s="368"/>
      <c r="G80" s="360">
        <f ca="1">IF(ISERROR(OFFSET('HARGA SATUAN'!$I$6,MATCH(RAB!C80,'HARGA SATUAN'!$C$7:$C$1492,0),0)),0,OFFSET('HARGA SATUAN'!$I$6,MATCH(RAB!C80,'HARGA SATUAN'!$C$7:$C$1492,0),0))</f>
        <v>0</v>
      </c>
      <c r="H80" s="361">
        <f t="shared" ca="1" si="44"/>
        <v>0</v>
      </c>
      <c r="I80" s="361">
        <f t="shared" ca="1" si="45"/>
        <v>0</v>
      </c>
      <c r="J80" s="361">
        <f t="shared" ca="1" si="46"/>
        <v>0</v>
      </c>
      <c r="K80" s="362">
        <f t="shared" ca="1" si="47"/>
        <v>0</v>
      </c>
    </row>
    <row r="81" spans="2:13">
      <c r="B81" s="374"/>
      <c r="C81" s="373"/>
      <c r="D81" s="358" t="str">
        <f ca="1">IF(ISERROR(OFFSET('HARGA SATUAN'!$D$6,MATCH(RAB!C81,'HARGA SATUAN'!$C$7:$C$1492,0),0)),"",OFFSET('HARGA SATUAN'!$D$6,MATCH(RAB!C81,'HARGA SATUAN'!$C$7:$C$1492,0),0))</f>
        <v/>
      </c>
      <c r="E81" s="359" t="str">
        <f ca="1">IF(B81="+","Unit",IF(ISERROR(OFFSET('HARGA SATUAN'!$E$6,MATCH(RAB!C81,'HARGA SATUAN'!$C$7:$C$1492,0),0)),"",OFFSET('HARGA SATUAN'!$E$6,MATCH(RAB!C81,'HARGA SATUAN'!$C$7:$C$1492,0),0)))</f>
        <v/>
      </c>
      <c r="F81" s="368"/>
      <c r="G81" s="360">
        <f ca="1">IF(ISERROR(OFFSET('HARGA SATUAN'!$I$6,MATCH(RAB!C81,'HARGA SATUAN'!$C$7:$C$1492,0),0)),0,OFFSET('HARGA SATUAN'!$I$6,MATCH(RAB!C81,'HARGA SATUAN'!$C$7:$C$1492,0),0))</f>
        <v>0</v>
      </c>
      <c r="H81" s="361">
        <f t="shared" ca="1" si="44"/>
        <v>0</v>
      </c>
      <c r="I81" s="361">
        <f t="shared" ca="1" si="45"/>
        <v>0</v>
      </c>
      <c r="J81" s="361">
        <f t="shared" ca="1" si="46"/>
        <v>0</v>
      </c>
      <c r="K81" s="362">
        <f t="shared" ca="1" si="47"/>
        <v>0</v>
      </c>
    </row>
    <row r="82" spans="2:13">
      <c r="B82" s="375"/>
      <c r="C82" s="376" t="s">
        <v>475</v>
      </c>
      <c r="D82" s="358" t="str">
        <f ca="1">IF(ISERROR(OFFSET('HARGA SATUAN'!$D$6,MATCH(RAB!C82,'HARGA SATUAN'!$C$7:$C$1492,0),0)),"",OFFSET('HARGA SATUAN'!$D$6,MATCH(RAB!C82,'HARGA SATUAN'!$C$7:$C$1492,0),0))</f>
        <v/>
      </c>
      <c r="E82" s="359" t="str">
        <f ca="1">IF(B82="+","Unit",IF(ISERROR(OFFSET('HARGA SATUAN'!$E$6,MATCH(RAB!C82,'HARGA SATUAN'!$C$7:$C$1492,0),0)),"",OFFSET('HARGA SATUAN'!$E$6,MATCH(RAB!C82,'HARGA SATUAN'!$C$7:$C$1492,0),0)))</f>
        <v/>
      </c>
      <c r="F82" s="368"/>
      <c r="G82" s="360">
        <f ca="1">IF(ISERROR(OFFSET('HARGA SATUAN'!$I$6,MATCH(RAB!C82,'HARGA SATUAN'!$C$7:$C$1492,0),0)),0,OFFSET('HARGA SATUAN'!$I$6,MATCH(RAB!C82,'HARGA SATUAN'!$C$7:$C$1492,0),0))</f>
        <v>0</v>
      </c>
      <c r="H82" s="361">
        <f t="shared" ca="1" si="44"/>
        <v>0</v>
      </c>
      <c r="I82" s="361">
        <f t="shared" ca="1" si="45"/>
        <v>0</v>
      </c>
      <c r="J82" s="361">
        <f t="shared" ca="1" si="46"/>
        <v>0</v>
      </c>
      <c r="K82" s="362">
        <f t="shared" ca="1" si="47"/>
        <v>0</v>
      </c>
    </row>
    <row r="83" spans="2:13">
      <c r="B83" s="378">
        <v>1</v>
      </c>
      <c r="C83" s="379" t="s">
        <v>1091</v>
      </c>
      <c r="D83" s="380" t="str">
        <f ca="1">IF(ISERROR(OFFSET('HARGA SATUAN'!$D$6,MATCH(RAB!C83,'HARGA SATUAN'!$C$7:$C$1492,0),0)),"",OFFSET('HARGA SATUAN'!$D$6,MATCH(RAB!C83,'HARGA SATUAN'!$C$7:$C$1492,0),0))</f>
        <v>JASA</v>
      </c>
      <c r="E83" s="381" t="str">
        <f ca="1">IF(ISERROR(OFFSET('HARGA SATUAN'!$E$6,MATCH(RAB!C83,'HARGA SATUAN'!$C$7:$C$1492,0),0)),"",OFFSET('HARGA SATUAN'!$E$6,MATCH(RAB!C83,'HARGA SATUAN'!$C$7:$C$1492,0),0))</f>
        <v>Lot</v>
      </c>
      <c r="F83" s="382">
        <v>1</v>
      </c>
      <c r="G83" s="383">
        <f ca="1">IF(ISERROR(OFFSET('HARGA SATUAN'!$I$6,MATCH(RAB!C83,'HARGA SATUAN'!$C$7:$C$1492,0),0)),0,OFFSET('HARGA SATUAN'!$I$6,MATCH(RAB!C83,'HARGA SATUAN'!$C$7:$C$1492,0),0))</f>
        <v>2.5000000000000001E-2</v>
      </c>
      <c r="H83" s="384"/>
      <c r="I83" s="384"/>
      <c r="J83" s="384">
        <f ca="1">SUM(K15:K20)*G83</f>
        <v>314130</v>
      </c>
      <c r="K83" s="385">
        <f ca="1">SUM(H83:J83)</f>
        <v>314130</v>
      </c>
    </row>
    <row r="84" spans="2:13">
      <c r="B84" s="386"/>
      <c r="C84" s="387"/>
      <c r="D84" s="358" t="str">
        <f ca="1">IF(ISERROR(OFFSET('HARGA SATUAN'!$D$6,MATCH(RAB!C84,'HARGA SATUAN'!$C$7:$C$1492,0),0)),"",OFFSET('HARGA SATUAN'!$D$6,MATCH(RAB!C84,'HARGA SATUAN'!$C$7:$C$1492,0),0))</f>
        <v/>
      </c>
      <c r="E84" s="359" t="str">
        <f ca="1">IF(ISERROR(OFFSET('HARGA SATUAN'!$E$6,MATCH(RAB!C84,'HARGA SATUAN'!$C$7:$C$1492,0),0)),"",OFFSET('HARGA SATUAN'!$E$6,MATCH(RAB!C84,'HARGA SATUAN'!$C$7:$C$1492,0),0))</f>
        <v/>
      </c>
      <c r="F84" s="377"/>
      <c r="G84" s="360" t="str">
        <f ca="1">IF(ISERROR(OFFSET('HARGA SATUAN'!$I$6,MATCH(RAB!C84,'HARGA SATUAN'!$C$7:$C$1492,0),0)),"",OFFSET('HARGA SATUAN'!$I$6,MATCH(RAB!C84,'HARGA SATUAN'!$C$7:$C$1492,0),0))</f>
        <v/>
      </c>
      <c r="H84" s="361">
        <f ca="1">IF(OR(D84="MDU",D84="MDU-KD"),IF(G84="PLN",0,G84*F84),0)</f>
        <v>0</v>
      </c>
      <c r="I84" s="361">
        <f ca="1">IF(D84="HDW",IF(G84="PLN",0,G84*F84),0)</f>
        <v>0</v>
      </c>
      <c r="J84" s="361">
        <f ca="1">IF(D84="JASA",IF(G84="PLN",0,G84*F84),0)</f>
        <v>0</v>
      </c>
      <c r="K84" s="362">
        <f ca="1">SUM(H84:J84)</f>
        <v>0</v>
      </c>
    </row>
    <row r="85" spans="2:13" ht="15.75" thickBot="1">
      <c r="B85" s="388"/>
      <c r="C85" s="389"/>
      <c r="D85" s="390"/>
      <c r="E85" s="391"/>
      <c r="F85" s="391"/>
      <c r="G85" s="391"/>
      <c r="H85" s="392"/>
      <c r="I85" s="392"/>
      <c r="J85" s="392"/>
      <c r="K85" s="393"/>
    </row>
    <row r="86" spans="2:13">
      <c r="B86" s="394"/>
      <c r="C86" s="614" t="s">
        <v>1008</v>
      </c>
      <c r="D86" s="614"/>
      <c r="E86" s="614"/>
      <c r="F86" s="614"/>
      <c r="G86" s="395" t="s">
        <v>9</v>
      </c>
      <c r="H86" s="396">
        <f ca="1">SUM(H14:H84)</f>
        <v>7340750</v>
      </c>
      <c r="I86" s="396">
        <f ca="1">SUM(I14:I84)</f>
        <v>14182501</v>
      </c>
      <c r="J86" s="396">
        <f ca="1">SUM(J14:J84)</f>
        <v>824030</v>
      </c>
      <c r="K86" s="396">
        <f ca="1">SUM(K14:K84)</f>
        <v>22347281</v>
      </c>
    </row>
    <row r="87" spans="2:13">
      <c r="B87" s="398"/>
      <c r="C87" s="630" t="s">
        <v>1457</v>
      </c>
      <c r="D87" s="630"/>
      <c r="E87" s="630"/>
      <c r="F87" s="630"/>
      <c r="G87" s="399" t="s">
        <v>9</v>
      </c>
      <c r="H87" s="400">
        <f ca="1">H86*0.11</f>
        <v>807482.5</v>
      </c>
      <c r="I87" s="400">
        <f ca="1">I86*0.11</f>
        <v>1560075.11</v>
      </c>
      <c r="J87" s="400">
        <f ca="1">J86*0.11</f>
        <v>90643.3</v>
      </c>
      <c r="K87" s="400">
        <f ca="1">K86*0.11</f>
        <v>2458200.91</v>
      </c>
    </row>
    <row r="88" spans="2:13" ht="15.75" thickBot="1">
      <c r="B88" s="398"/>
      <c r="C88" s="628" t="s">
        <v>463</v>
      </c>
      <c r="D88" s="628"/>
      <c r="E88" s="628"/>
      <c r="F88" s="628"/>
      <c r="G88" s="401" t="s">
        <v>9</v>
      </c>
      <c r="H88" s="402">
        <f ca="1">SUM(H86:H87)</f>
        <v>8148232.5</v>
      </c>
      <c r="I88" s="402">
        <f ca="1">SUM(I86:I87)</f>
        <v>15742576.109999999</v>
      </c>
      <c r="J88" s="401">
        <f ca="1">SUM(J86:J87)</f>
        <v>914673.3</v>
      </c>
      <c r="K88" s="401">
        <f ca="1">SUM(K86:K87)</f>
        <v>24805481.91</v>
      </c>
      <c r="M88" s="484"/>
    </row>
    <row r="89" spans="2:13">
      <c r="B89" s="631" t="str">
        <f ca="1">"Terbilang : "&amp;PROPER(IF(K88=0,"nol",IF(K88&lt;0,"minus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IF(--MID(TEXT(ABS(K88),"000000000000000"),1,3)=0,"",MID(TEXT(ABS(K88),"000000000000000"),1,1)&amp;" ratus "&amp;MID(TEXT(ABS(K88),"000000000000000"),2,1)&amp;" puluh "&amp;MID(TEXT(ABS(K88),"000000000000000"),3,1)&amp;" trilyun ")&amp; IF(--MID(TEXT(ABS(K88),"000000000000000"),4,3)=0,"",MID(TEXT(ABS(K88),"000000000000000"),4,1)&amp;" ratus "&amp;MID(TEXT(ABS(K88),"000000000000000"),5,1)&amp;" puluh "&amp;MID(TEXT(ABS(K88),"000000000000000"),6,1)&amp;" milyar ")&amp; IF(--MID(TEXT(ABS(K88),"000000000000000"),7,3)=0,"",MID(TEXT(ABS(K88),"000000000000000"),7,1)&amp;" ratus "&amp;MID(TEXT(ABS(K88),"000000000000000"),8,1)&amp;" puluh "&amp;MID(TEXT(ABS(K88),"000000000000000"),9,1)&amp;" juta ")&amp; IF(--MID(TEXT(ABS(K88),"000000000000000"),10,3)=0,"",IF(--MID(TEXT(ABS(K88),"000000000000000"),10,3)=1,"*",MID(TEXT(ABS(K88),"000000000000000"),10,1)&amp;" ratus "&amp;MID(TEXT(ABS(K88),"000000000000000"),11,1)&amp;" puluh ")&amp;MID(TEXT(ABS(K88),"000000000000000"),12,1)&amp;" ribu ")&amp; IF(--MID(TEXT(ABS(K88),"000000000000000"),13,3)=0,"",MID(TEXT(ABS(K88),"000000000000000"),13,1)&amp;" ratus "&amp;MID(TEXT(ABS(K88),"000000000000000"),14,1)&amp;" puluh "&amp;MID(TEXT(ABS(K88),"000000000000000"),15,1)),1,"satu"),2,"dua"),3,"tiga"),4,"empat"),5,"lima"),6,"enam"),7,"tujuh"),8,"delapan"),9,"sembilan"),"0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Puluh Empat Juta Delapan Ratus Lima Ribu Empat Ratus Delapan Puluh Dua Rupiah</v>
      </c>
      <c r="C89" s="632"/>
      <c r="D89" s="632"/>
      <c r="E89" s="632"/>
      <c r="F89" s="632"/>
      <c r="G89" s="632"/>
      <c r="H89" s="632"/>
      <c r="I89" s="632"/>
      <c r="J89" s="632"/>
      <c r="K89" s="633"/>
    </row>
    <row r="90" spans="2:13">
      <c r="B90" s="634"/>
      <c r="C90" s="635"/>
      <c r="D90" s="635"/>
      <c r="E90" s="635"/>
      <c r="F90" s="635"/>
      <c r="G90" s="635"/>
      <c r="H90" s="635"/>
      <c r="I90" s="635"/>
      <c r="J90" s="635"/>
      <c r="K90" s="636"/>
    </row>
    <row r="91" spans="2:13" ht="15.75" thickBot="1">
      <c r="B91" s="403" t="str">
        <f>"Harga yang dipakai adalah "&amp;'HARGA SATUAN'!I5&amp;""</f>
        <v>Harga yang dipakai adalah RAB HSS 2023</v>
      </c>
      <c r="C91" s="404"/>
      <c r="D91" s="405"/>
      <c r="E91" s="405"/>
      <c r="F91" s="405"/>
      <c r="G91" s="406"/>
      <c r="H91" s="406"/>
      <c r="I91" s="406"/>
      <c r="J91" s="406"/>
      <c r="K91" s="407"/>
    </row>
    <row r="92" spans="2:13">
      <c r="C92" s="408"/>
      <c r="E92" s="410"/>
      <c r="F92" s="410"/>
      <c r="G92" s="410"/>
    </row>
    <row r="93" spans="2:13">
      <c r="C93" s="337"/>
      <c r="E93" s="410"/>
      <c r="F93" s="410"/>
      <c r="G93" s="410"/>
      <c r="H93" s="637"/>
      <c r="I93" s="637"/>
      <c r="J93" s="638"/>
      <c r="K93" s="638"/>
    </row>
    <row r="94" spans="2:13">
      <c r="C94" s="337"/>
      <c r="E94" s="410"/>
      <c r="F94" s="410"/>
      <c r="G94" s="410"/>
      <c r="H94" s="411"/>
      <c r="I94" s="627" t="s">
        <v>1610</v>
      </c>
      <c r="J94" s="627"/>
      <c r="K94" s="627"/>
    </row>
    <row r="95" spans="2:13">
      <c r="C95" s="337"/>
      <c r="E95" s="410"/>
      <c r="F95" s="410"/>
      <c r="G95" s="410"/>
      <c r="H95" s="411"/>
      <c r="I95" s="627" t="s">
        <v>1546</v>
      </c>
      <c r="J95" s="627"/>
      <c r="K95" s="627"/>
    </row>
    <row r="96" spans="2:13">
      <c r="C96" s="337"/>
      <c r="E96" s="410"/>
      <c r="F96" s="410"/>
      <c r="G96" s="410"/>
      <c r="H96" s="412"/>
      <c r="I96" s="413"/>
      <c r="J96" s="413"/>
      <c r="K96" s="413"/>
    </row>
    <row r="97" spans="3:11">
      <c r="C97" s="337"/>
      <c r="E97" s="410"/>
      <c r="F97" s="410"/>
      <c r="G97" s="410"/>
      <c r="H97" s="412"/>
      <c r="I97" s="412"/>
      <c r="J97" s="412"/>
      <c r="K97" s="412"/>
    </row>
    <row r="98" spans="3:11">
      <c r="C98" s="337"/>
      <c r="E98" s="410"/>
      <c r="F98" s="410"/>
      <c r="G98" s="410"/>
      <c r="H98" s="412"/>
      <c r="I98" s="412"/>
      <c r="J98" s="412"/>
      <c r="K98" s="412"/>
    </row>
    <row r="99" spans="3:11">
      <c r="C99" s="337"/>
      <c r="E99" s="410"/>
      <c r="F99" s="410"/>
      <c r="G99" s="410"/>
      <c r="H99" s="412"/>
      <c r="I99" s="412"/>
      <c r="J99" s="412"/>
      <c r="K99" s="412"/>
    </row>
    <row r="100" spans="3:11">
      <c r="C100" s="337"/>
      <c r="E100" s="410"/>
      <c r="F100" s="410"/>
      <c r="G100" s="410"/>
      <c r="H100" s="414"/>
      <c r="I100" s="627" t="s">
        <v>1547</v>
      </c>
      <c r="J100" s="627"/>
      <c r="K100" s="627"/>
    </row>
    <row r="101" spans="3:11">
      <c r="C101" s="408"/>
      <c r="E101" s="410"/>
      <c r="F101" s="410"/>
      <c r="G101" s="410"/>
      <c r="H101" s="412"/>
      <c r="I101" s="412"/>
      <c r="J101" s="412"/>
      <c r="K101" s="412"/>
    </row>
    <row r="102" spans="3:11">
      <c r="C102" s="408"/>
      <c r="E102" s="410"/>
      <c r="F102" s="410"/>
      <c r="G102" s="410"/>
      <c r="H102" s="412"/>
      <c r="I102" s="412"/>
      <c r="J102" s="412"/>
      <c r="K102" s="412"/>
    </row>
    <row r="103" spans="3:11">
      <c r="C103" s="408"/>
      <c r="E103" s="410"/>
      <c r="F103" s="410"/>
      <c r="G103" s="410"/>
      <c r="H103" s="412"/>
      <c r="I103" s="412"/>
      <c r="J103" s="412"/>
      <c r="K103" s="412"/>
    </row>
  </sheetData>
  <sheetProtection sort="0" autoFilter="0"/>
  <protectedRanges>
    <protectedRange sqref="B81 B64:B79" name="Range1_1"/>
    <protectedRange sqref="F60:F82 F14:F36 F56:F58" name="Range1_1_2_2"/>
    <protectedRange sqref="C81 C64:C65 C69:C79 C67" name="Range1_1_1"/>
    <protectedRange sqref="B62:C63" name="Range1_6_2"/>
    <protectedRange sqref="C68" name="Range1_1_3_13"/>
    <protectedRange sqref="C19" name="Range1_1_3"/>
    <protectedRange sqref="G59" name="Range1_3_7"/>
    <protectedRange sqref="C59" name="Range1_1_3_5"/>
    <protectedRange sqref="C58" name="Range1_1_3_6"/>
    <protectedRange sqref="C66" name="Range1_1_3_4"/>
    <protectedRange sqref="C17" name="Range1_1_3_9"/>
    <protectedRange sqref="C18" name="Range1_1_3_11"/>
    <protectedRange sqref="F37:F50" name="Range1_1_2_2_1"/>
    <protectedRange sqref="F51:F55" name="Range1_1_2_2_1_1"/>
  </protectedRanges>
  <mergeCells count="22">
    <mergeCell ref="I95:K95"/>
    <mergeCell ref="I100:K100"/>
    <mergeCell ref="C88:F88"/>
    <mergeCell ref="G6:K6"/>
    <mergeCell ref="I94:K94"/>
    <mergeCell ref="C87:F87"/>
    <mergeCell ref="B89:K90"/>
    <mergeCell ref="H93:K93"/>
    <mergeCell ref="H11:K11"/>
    <mergeCell ref="H12:H13"/>
    <mergeCell ref="J12:J13"/>
    <mergeCell ref="K12:K13"/>
    <mergeCell ref="O3:P4"/>
    <mergeCell ref="B4:K4"/>
    <mergeCell ref="C86:F86"/>
    <mergeCell ref="B11:B13"/>
    <mergeCell ref="C11:C13"/>
    <mergeCell ref="D11:D13"/>
    <mergeCell ref="E11:E13"/>
    <mergeCell ref="F11:F13"/>
    <mergeCell ref="G11:G13"/>
    <mergeCell ref="I12:I13"/>
  </mergeCells>
  <phoneticPr fontId="139" type="noConversion"/>
  <conditionalFormatting sqref="C15 C19:C20">
    <cfRule type="cellIs" dxfId="12" priority="504" operator="equal">
      <formula>0</formula>
    </cfRule>
  </conditionalFormatting>
  <conditionalFormatting sqref="C58:C59">
    <cfRule type="cellIs" dxfId="11" priority="22" operator="equal">
      <formula>0</formula>
    </cfRule>
  </conditionalFormatting>
  <conditionalFormatting sqref="C61">
    <cfRule type="cellIs" dxfId="10" priority="129" operator="equal">
      <formula>0</formula>
    </cfRule>
  </conditionalFormatting>
  <conditionalFormatting sqref="C66">
    <cfRule type="cellIs" dxfId="9" priority="9" operator="equal">
      <formula>0</formula>
    </cfRule>
  </conditionalFormatting>
  <conditionalFormatting sqref="C77">
    <cfRule type="cellIs" dxfId="8" priority="20" operator="equal">
      <formula>0</formula>
    </cfRule>
  </conditionalFormatting>
  <conditionalFormatting sqref="C80">
    <cfRule type="cellIs" dxfId="7" priority="127" operator="equal">
      <formula>0</formula>
    </cfRule>
  </conditionalFormatting>
  <conditionalFormatting sqref="D59:G59">
    <cfRule type="cellIs" dxfId="6" priority="30" operator="equal">
      <formula>0</formula>
    </cfRule>
  </conditionalFormatting>
  <conditionalFormatting sqref="E1:E3 G1:G13 E5:E13 H12:I12 O13 H59:K59 E83:G83 H83:K85 E84:H84 E85:F85 S14:V20 E14:K28 E29:E34 G29:K34 E60:K82 E35:K36 E37:E55 G37:K55 E56:K58">
    <cfRule type="cellIs" dxfId="5" priority="1084" stopIfTrue="1" operator="equal">
      <formula>0</formula>
    </cfRule>
  </conditionalFormatting>
  <conditionalFormatting sqref="G84:G65550 E89:E65550">
    <cfRule type="cellIs" dxfId="4" priority="218" stopIfTrue="1" operator="equal">
      <formula>0</formula>
    </cfRule>
  </conditionalFormatting>
  <conditionalFormatting sqref="C17">
    <cfRule type="cellIs" dxfId="3" priority="4" operator="equal">
      <formula>0</formula>
    </cfRule>
  </conditionalFormatting>
  <conditionalFormatting sqref="C18">
    <cfRule type="cellIs" dxfId="2" priority="3" operator="equal">
      <formula>0</formula>
    </cfRule>
  </conditionalFormatting>
  <conditionalFormatting sqref="F29:F34">
    <cfRule type="cellIs" dxfId="1" priority="2" stopIfTrue="1" operator="equal">
      <formula>0</formula>
    </cfRule>
  </conditionalFormatting>
  <conditionalFormatting sqref="F37:F55">
    <cfRule type="cellIs" dxfId="0" priority="1" stopIfTrue="1" operator="equal">
      <formula>0</formula>
    </cfRule>
  </conditionalFormatting>
  <dataValidations count="4">
    <dataValidation allowBlank="1" showInputMessage="1" showErrorMessage="1" errorTitle="PERINGATAN !!!" error="MDU / UPAH SALAH BOZ...." sqref="O11:Q11 F60:F62 F22:F43 F49 F45:F47 F51:F58 H14:K85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  <dataValidation type="list" allowBlank="1" showInputMessage="1" showErrorMessage="1" errorTitle="PERINGATAN !!!" error="GOLONGAN MATERIAL/JASA SALAH...." sqref="D59" xr:uid="{32A4B08E-AF47-4156-A47F-8DFEC9F7CBB7}">
      <formula1>#REF!</formula1>
    </dataValidation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zoomScaleNormal="115" zoomScaleSheetLayoutView="100" workbookViewId="0">
      <selection activeCell="S14" sqref="S14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41" t="s">
        <v>1439</v>
      </c>
      <c r="X2" s="642"/>
      <c r="Y2" s="642"/>
      <c r="Z2" s="642"/>
      <c r="AA2" s="642"/>
      <c r="AB2" s="642"/>
      <c r="AC2" s="642"/>
      <c r="AD2" s="643"/>
    </row>
    <row r="3" spans="3:30">
      <c r="C3" s="238"/>
      <c r="W3" s="644"/>
      <c r="X3" s="645"/>
      <c r="Y3" s="645"/>
      <c r="Z3" s="645"/>
      <c r="AA3" s="645"/>
      <c r="AB3" s="645"/>
      <c r="AC3" s="645"/>
      <c r="AD3" s="646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47" t="s">
        <v>990</v>
      </c>
      <c r="Y5" s="647"/>
      <c r="Z5" s="647"/>
      <c r="AA5" s="647" t="s">
        <v>988</v>
      </c>
      <c r="AB5" s="647"/>
      <c r="AC5" s="647" t="s">
        <v>989</v>
      </c>
      <c r="AD5" s="648"/>
    </row>
    <row r="6" spans="3:30">
      <c r="C6" s="238"/>
      <c r="W6" s="241">
        <v>1</v>
      </c>
      <c r="X6" s="647" t="s">
        <v>993</v>
      </c>
      <c r="Y6" s="647"/>
      <c r="Z6" s="647"/>
      <c r="AA6" s="647"/>
      <c r="AB6" s="647"/>
      <c r="AC6" s="647"/>
      <c r="AD6" s="648"/>
    </row>
    <row r="7" spans="3:30">
      <c r="C7" s="238"/>
      <c r="E7" s="490" t="s">
        <v>1631</v>
      </c>
      <c r="W7" s="241">
        <v>2</v>
      </c>
      <c r="X7" s="647" t="s">
        <v>994</v>
      </c>
      <c r="Y7" s="647"/>
      <c r="Z7" s="647"/>
      <c r="AA7" s="647"/>
      <c r="AB7" s="647"/>
      <c r="AC7" s="647"/>
      <c r="AD7" s="648"/>
    </row>
    <row r="8" spans="3:30">
      <c r="C8" s="238"/>
      <c r="W8" s="241">
        <v>3</v>
      </c>
      <c r="X8" s="647" t="s">
        <v>995</v>
      </c>
      <c r="Y8" s="647"/>
      <c r="Z8" s="647"/>
      <c r="AA8" s="647"/>
      <c r="AB8" s="647"/>
      <c r="AC8" s="647"/>
      <c r="AD8" s="648"/>
    </row>
    <row r="9" spans="3:30">
      <c r="C9" s="238"/>
      <c r="W9" s="241">
        <v>4</v>
      </c>
      <c r="X9" s="647" t="s">
        <v>996</v>
      </c>
      <c r="Y9" s="647"/>
      <c r="Z9" s="647"/>
      <c r="AA9" s="647"/>
      <c r="AB9" s="647"/>
      <c r="AC9" s="647"/>
      <c r="AD9" s="648"/>
    </row>
    <row r="10" spans="3:30">
      <c r="C10" s="238"/>
      <c r="W10" s="241">
        <v>5</v>
      </c>
      <c r="X10" s="647" t="s">
        <v>997</v>
      </c>
      <c r="Y10" s="647"/>
      <c r="Z10" s="647"/>
      <c r="AA10" s="647"/>
      <c r="AB10" s="647"/>
      <c r="AC10" s="647"/>
      <c r="AD10" s="648"/>
    </row>
    <row r="11" spans="3:30">
      <c r="C11" s="238"/>
      <c r="W11" s="241">
        <v>6</v>
      </c>
      <c r="X11" s="647" t="s">
        <v>998</v>
      </c>
      <c r="Y11" s="647"/>
      <c r="Z11" s="647"/>
      <c r="AA11" s="647"/>
      <c r="AB11" s="647"/>
      <c r="AC11" s="647"/>
      <c r="AD11" s="648"/>
    </row>
    <row r="12" spans="3:30">
      <c r="C12" s="238"/>
      <c r="W12" s="241">
        <v>7</v>
      </c>
      <c r="X12" s="647" t="s">
        <v>999</v>
      </c>
      <c r="Y12" s="647"/>
      <c r="Z12" s="647"/>
      <c r="AA12" s="647"/>
      <c r="AB12" s="647"/>
      <c r="AC12" s="647"/>
      <c r="AD12" s="648"/>
    </row>
    <row r="13" spans="3:30" ht="12.75" customHeight="1">
      <c r="C13" s="238"/>
      <c r="W13" s="241">
        <v>8</v>
      </c>
      <c r="X13" s="647" t="s">
        <v>1000</v>
      </c>
      <c r="Y13" s="647"/>
      <c r="Z13" s="647"/>
      <c r="AA13" s="647"/>
      <c r="AB13" s="647"/>
      <c r="AC13" s="647"/>
      <c r="AD13" s="648"/>
    </row>
    <row r="14" spans="3:30">
      <c r="C14" s="238"/>
      <c r="W14" s="241">
        <v>9</v>
      </c>
      <c r="X14" s="647" t="s">
        <v>1001</v>
      </c>
      <c r="Y14" s="647"/>
      <c r="Z14" s="647"/>
      <c r="AA14" s="647"/>
      <c r="AB14" s="647"/>
      <c r="AC14" s="647"/>
      <c r="AD14" s="648"/>
    </row>
    <row r="15" spans="3:30">
      <c r="C15" s="238"/>
      <c r="W15" s="241">
        <v>10</v>
      </c>
      <c r="X15" s="647" t="s">
        <v>1010</v>
      </c>
      <c r="Y15" s="647"/>
      <c r="Z15" s="647"/>
      <c r="AA15" s="647"/>
      <c r="AB15" s="647"/>
      <c r="AC15" s="647"/>
      <c r="AD15" s="648"/>
    </row>
    <row r="16" spans="3:30">
      <c r="C16" s="238"/>
      <c r="W16" s="241">
        <v>11</v>
      </c>
      <c r="X16" s="647" t="s">
        <v>1455</v>
      </c>
      <c r="Y16" s="647"/>
      <c r="Z16" s="647"/>
      <c r="AA16" s="647"/>
      <c r="AB16" s="647"/>
      <c r="AC16" s="647"/>
      <c r="AD16" s="648"/>
    </row>
    <row r="17" spans="3:30">
      <c r="C17" s="238"/>
      <c r="S17" s="242"/>
      <c r="W17" s="241">
        <v>12</v>
      </c>
      <c r="X17" s="647" t="s">
        <v>1011</v>
      </c>
      <c r="Y17" s="647"/>
      <c r="Z17" s="647"/>
      <c r="AA17" s="647"/>
      <c r="AB17" s="647"/>
      <c r="AC17" s="647"/>
      <c r="AD17" s="648"/>
    </row>
    <row r="18" spans="3:30">
      <c r="C18" s="243"/>
      <c r="D18" s="244"/>
      <c r="E18" s="244"/>
      <c r="W18" s="241">
        <v>13</v>
      </c>
      <c r="X18" s="647"/>
      <c r="Y18" s="647"/>
      <c r="Z18" s="647"/>
      <c r="AA18" s="647"/>
      <c r="AB18" s="647"/>
      <c r="AC18" s="647"/>
      <c r="AD18" s="648"/>
    </row>
    <row r="19" spans="3:30">
      <c r="C19" s="238"/>
      <c r="W19" s="245"/>
      <c r="X19" s="664"/>
      <c r="Y19" s="664"/>
      <c r="Z19" s="664"/>
      <c r="AA19" s="664"/>
      <c r="AB19" s="664"/>
      <c r="AC19" s="664"/>
      <c r="AD19" s="665"/>
    </row>
    <row r="20" spans="3:30">
      <c r="C20" s="238"/>
      <c r="W20" s="649" t="s">
        <v>992</v>
      </c>
      <c r="X20" s="650"/>
      <c r="Y20" s="650"/>
      <c r="Z20" s="650"/>
      <c r="AA20" s="650"/>
      <c r="AB20" s="650"/>
      <c r="AC20" s="650"/>
      <c r="AD20" s="651"/>
    </row>
    <row r="21" spans="3:30">
      <c r="C21" s="238"/>
      <c r="W21" s="652" t="s">
        <v>985</v>
      </c>
      <c r="X21" s="653"/>
      <c r="Y21" s="653"/>
      <c r="Z21" s="654"/>
      <c r="AA21" s="655" t="s">
        <v>986</v>
      </c>
      <c r="AB21" s="656"/>
      <c r="AC21" s="656"/>
      <c r="AD21" s="657"/>
    </row>
    <row r="22" spans="3:30">
      <c r="C22" s="238"/>
      <c r="W22" s="658"/>
      <c r="X22" s="659"/>
      <c r="Y22" s="492"/>
      <c r="Z22" s="493"/>
      <c r="AA22" s="660"/>
      <c r="AB22" s="661"/>
      <c r="AC22" s="248"/>
      <c r="AD22" s="249"/>
    </row>
    <row r="23" spans="3:30">
      <c r="C23" s="238"/>
      <c r="W23" s="658" t="s">
        <v>1627</v>
      </c>
      <c r="X23" s="659"/>
      <c r="Y23" s="492">
        <v>1</v>
      </c>
      <c r="Z23" s="493"/>
      <c r="AA23" s="662" t="s">
        <v>1624</v>
      </c>
      <c r="AB23" s="663"/>
      <c r="AC23" s="248"/>
      <c r="AD23" s="249">
        <v>2</v>
      </c>
    </row>
    <row r="24" spans="3:30">
      <c r="C24" s="238"/>
      <c r="W24" s="668" t="s">
        <v>1625</v>
      </c>
      <c r="X24" s="669"/>
      <c r="Y24" s="246">
        <v>1</v>
      </c>
      <c r="Z24" s="247"/>
      <c r="AA24" s="670"/>
      <c r="AB24" s="671"/>
      <c r="AC24" s="248"/>
      <c r="AD24" s="249"/>
    </row>
    <row r="25" spans="3:30">
      <c r="C25" s="238"/>
      <c r="W25" s="668" t="s">
        <v>1618</v>
      </c>
      <c r="X25" s="669"/>
      <c r="Y25" s="246">
        <v>2</v>
      </c>
      <c r="Z25" s="247"/>
      <c r="AA25" s="662"/>
      <c r="AB25" s="663"/>
      <c r="AC25" s="248"/>
      <c r="AD25" s="249"/>
    </row>
    <row r="26" spans="3:30">
      <c r="C26" s="238"/>
      <c r="W26" s="480" t="s">
        <v>1628</v>
      </c>
      <c r="X26" s="481"/>
      <c r="Y26" s="246">
        <v>1</v>
      </c>
      <c r="Z26" s="247"/>
      <c r="AA26" s="662"/>
      <c r="AB26" s="663"/>
      <c r="AC26" s="248"/>
      <c r="AD26" s="249"/>
    </row>
    <row r="27" spans="3:30">
      <c r="C27" s="238"/>
      <c r="W27" s="480" t="s">
        <v>1620</v>
      </c>
      <c r="X27" s="481"/>
      <c r="Y27" s="246">
        <v>2</v>
      </c>
      <c r="Z27" s="247"/>
      <c r="AA27" s="666"/>
      <c r="AB27" s="667"/>
      <c r="AC27" s="248"/>
      <c r="AD27" s="249"/>
    </row>
    <row r="28" spans="3:30">
      <c r="C28" s="238"/>
      <c r="W28" s="480" t="s">
        <v>1629</v>
      </c>
      <c r="X28" s="481"/>
      <c r="Y28" s="246">
        <v>1</v>
      </c>
      <c r="Z28" s="247"/>
      <c r="AA28" s="666"/>
      <c r="AB28" s="667"/>
      <c r="AC28" s="248"/>
      <c r="AD28" s="249"/>
    </row>
    <row r="29" spans="3:30">
      <c r="C29" s="238"/>
      <c r="W29" s="480" t="s">
        <v>1630</v>
      </c>
      <c r="X29" s="481"/>
      <c r="Y29" s="246">
        <v>2</v>
      </c>
      <c r="Z29" s="247"/>
      <c r="AA29" s="666"/>
      <c r="AB29" s="667"/>
      <c r="AC29" s="248"/>
      <c r="AD29" s="249"/>
    </row>
    <row r="30" spans="3:30" ht="11.25" customHeight="1">
      <c r="C30" s="238"/>
      <c r="W30" s="482"/>
      <c r="X30" s="483"/>
      <c r="Y30" s="246"/>
      <c r="Z30" s="247"/>
      <c r="AA30" s="666"/>
      <c r="AB30" s="667"/>
      <c r="AC30" s="248"/>
      <c r="AD30" s="249"/>
    </row>
    <row r="31" spans="3:30">
      <c r="C31" s="238"/>
      <c r="U31" s="250"/>
      <c r="W31" s="480"/>
      <c r="X31" s="481"/>
      <c r="Y31" s="246"/>
      <c r="Z31" s="247"/>
      <c r="AA31" s="666"/>
      <c r="AB31" s="667"/>
      <c r="AC31" s="248"/>
      <c r="AD31" s="249"/>
    </row>
    <row r="32" spans="3:30">
      <c r="C32" s="238"/>
      <c r="U32" s="250"/>
      <c r="W32" s="480"/>
      <c r="X32" s="481"/>
      <c r="Y32" s="246"/>
      <c r="Z32" s="247"/>
      <c r="AA32" s="666"/>
      <c r="AB32" s="667"/>
      <c r="AC32" s="248"/>
      <c r="AD32" s="249"/>
    </row>
    <row r="33" spans="3:30">
      <c r="C33" s="238"/>
      <c r="W33" s="480"/>
      <c r="X33" s="481"/>
      <c r="Y33" s="246"/>
      <c r="Z33" s="247"/>
      <c r="AA33" s="666"/>
      <c r="AB33" s="667"/>
      <c r="AC33" s="248"/>
      <c r="AD33" s="249"/>
    </row>
    <row r="34" spans="3:30">
      <c r="C34" s="238"/>
      <c r="W34" s="480"/>
      <c r="X34" s="481"/>
      <c r="Y34" s="246"/>
      <c r="Z34" s="247"/>
      <c r="AA34" s="666"/>
      <c r="AB34" s="667"/>
      <c r="AC34" s="248"/>
      <c r="AD34" s="249"/>
    </row>
    <row r="35" spans="3:30">
      <c r="C35" s="238"/>
      <c r="W35" s="668"/>
      <c r="X35" s="681"/>
      <c r="Y35" s="246"/>
      <c r="Z35" s="247"/>
      <c r="AA35" s="666"/>
      <c r="AB35" s="667"/>
      <c r="AC35" s="248"/>
      <c r="AD35" s="249"/>
    </row>
    <row r="36" spans="3:30">
      <c r="C36" s="238"/>
      <c r="W36" s="672"/>
      <c r="X36" s="673"/>
      <c r="Y36" s="246"/>
      <c r="Z36" s="251"/>
      <c r="AA36" s="674"/>
      <c r="AB36" s="667"/>
      <c r="AC36" s="248"/>
      <c r="AD36" s="249"/>
    </row>
    <row r="37" spans="3:30" ht="12.75" customHeight="1">
      <c r="C37" s="238"/>
      <c r="W37" s="675"/>
      <c r="X37" s="676"/>
      <c r="Y37" s="246"/>
      <c r="Z37" s="251"/>
      <c r="AA37" s="677"/>
      <c r="AB37" s="678"/>
      <c r="AC37" s="252"/>
      <c r="AD37" s="253"/>
    </row>
    <row r="38" spans="3:30" ht="12.75" customHeight="1">
      <c r="C38" s="238"/>
      <c r="W38" s="675"/>
      <c r="X38" s="676"/>
      <c r="Y38" s="254"/>
      <c r="Z38" s="251"/>
      <c r="AA38" s="255"/>
      <c r="AB38" s="256"/>
      <c r="AC38" s="252"/>
      <c r="AD38" s="253"/>
    </row>
    <row r="39" spans="3:30" ht="12" customHeight="1">
      <c r="C39" s="238"/>
      <c r="D39" s="513"/>
      <c r="W39" s="675"/>
      <c r="X39" s="676"/>
      <c r="Y39" s="254"/>
      <c r="Z39" s="257"/>
      <c r="AA39" s="679"/>
      <c r="AB39" s="680"/>
      <c r="AC39" s="252"/>
      <c r="AD39" s="253"/>
    </row>
    <row r="40" spans="3:30" ht="12" customHeight="1">
      <c r="C40" s="238"/>
      <c r="D40" s="513"/>
      <c r="W40" s="685"/>
      <c r="X40" s="686"/>
      <c r="Y40" s="254"/>
      <c r="Z40" s="257"/>
      <c r="AA40" s="258"/>
      <c r="AB40" s="259"/>
      <c r="AC40" s="252"/>
      <c r="AD40" s="253"/>
    </row>
    <row r="41" spans="3:30" ht="12" customHeight="1">
      <c r="C41" s="238"/>
      <c r="D41" s="513"/>
      <c r="W41" s="687"/>
      <c r="X41" s="688"/>
      <c r="Y41" s="260"/>
      <c r="Z41" s="261"/>
      <c r="AA41" s="679"/>
      <c r="AB41" s="680"/>
      <c r="AC41" s="252"/>
      <c r="AD41" s="253"/>
    </row>
    <row r="42" spans="3:30" ht="12" customHeight="1">
      <c r="C42" s="238"/>
      <c r="D42" s="513"/>
      <c r="W42" s="689" t="s">
        <v>1456</v>
      </c>
      <c r="X42" s="690"/>
      <c r="Y42" s="690"/>
      <c r="Z42" s="690"/>
      <c r="AA42" s="262"/>
      <c r="AB42" s="262"/>
      <c r="AC42" s="262"/>
      <c r="AD42" s="263"/>
    </row>
    <row r="43" spans="3:30" ht="12" customHeight="1">
      <c r="C43" s="238"/>
      <c r="D43" s="513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513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82" t="s">
        <v>11</v>
      </c>
      <c r="X44" s="683"/>
      <c r="Y44" s="647"/>
      <c r="Z44" s="647"/>
      <c r="AA44" s="647"/>
      <c r="AB44" s="647"/>
      <c r="AC44" s="647"/>
      <c r="AD44" s="648"/>
    </row>
    <row r="45" spans="3:30">
      <c r="C45" s="268"/>
      <c r="D45" s="513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82" t="s">
        <v>984</v>
      </c>
      <c r="X45" s="683"/>
      <c r="Y45" s="647">
        <v>1</v>
      </c>
      <c r="Z45" s="647"/>
      <c r="AA45" s="647"/>
      <c r="AB45" s="647" t="s">
        <v>12</v>
      </c>
      <c r="AC45" s="647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82" t="s">
        <v>15</v>
      </c>
      <c r="X46" s="683"/>
      <c r="Y46" s="684"/>
      <c r="Z46" s="684"/>
      <c r="AA46" s="684"/>
      <c r="AB46" s="647" t="s">
        <v>16</v>
      </c>
      <c r="AC46" s="647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95" t="s">
        <v>17</v>
      </c>
      <c r="X47" s="695"/>
      <c r="Y47" s="695"/>
      <c r="Z47" s="695"/>
      <c r="AA47" s="695"/>
      <c r="AB47" s="695"/>
      <c r="AC47" s="695"/>
      <c r="AD47" s="696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97" t="str">
        <f>RAB!G6</f>
        <v>IOH TLOGODOWO WONOSALAM</v>
      </c>
      <c r="X48" s="697"/>
      <c r="Y48" s="697"/>
      <c r="Z48" s="697"/>
      <c r="AA48" s="697"/>
      <c r="AB48" s="697"/>
      <c r="AC48" s="697"/>
      <c r="AD48" s="698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97"/>
      <c r="X49" s="697"/>
      <c r="Y49" s="697"/>
      <c r="Z49" s="697"/>
      <c r="AA49" s="697"/>
      <c r="AB49" s="697"/>
      <c r="AC49" s="697"/>
      <c r="AD49" s="698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97"/>
      <c r="X50" s="697"/>
      <c r="Y50" s="697"/>
      <c r="Z50" s="697"/>
      <c r="AA50" s="697"/>
      <c r="AB50" s="697"/>
      <c r="AC50" s="697"/>
      <c r="AD50" s="698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99"/>
      <c r="X51" s="699"/>
      <c r="Y51" s="699"/>
      <c r="Z51" s="699"/>
      <c r="AA51" s="699"/>
      <c r="AB51" s="699"/>
      <c r="AC51" s="699"/>
      <c r="AD51" s="700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82" t="s">
        <v>18</v>
      </c>
      <c r="X52" s="683"/>
      <c r="Y52" s="647" t="s">
        <v>1549</v>
      </c>
      <c r="Z52" s="647"/>
      <c r="AA52" s="647"/>
      <c r="AB52" s="647"/>
      <c r="AC52" s="647"/>
      <c r="AD52" s="648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82" t="s">
        <v>19</v>
      </c>
      <c r="X53" s="683"/>
      <c r="Y53" s="647" t="s">
        <v>1549</v>
      </c>
      <c r="Z53" s="647"/>
      <c r="AA53" s="647"/>
      <c r="AB53" s="647"/>
      <c r="AC53" s="647"/>
      <c r="AD53" s="648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82" t="s">
        <v>20</v>
      </c>
      <c r="X54" s="683"/>
      <c r="Y54" s="691" t="s">
        <v>1550</v>
      </c>
      <c r="Z54" s="691"/>
      <c r="AA54" s="691"/>
      <c r="AB54" s="647"/>
      <c r="AC54" s="647"/>
      <c r="AD54" s="648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92" t="s">
        <v>21</v>
      </c>
      <c r="X55" s="693"/>
      <c r="Y55" s="691" t="s">
        <v>1551</v>
      </c>
      <c r="Z55" s="691"/>
      <c r="AA55" s="691"/>
      <c r="AB55" s="691"/>
      <c r="AC55" s="691"/>
      <c r="AD55" s="694"/>
    </row>
  </sheetData>
  <mergeCells count="101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40" zoomScaleNormal="55" zoomScaleSheetLayoutView="40" workbookViewId="0">
      <selection activeCell="V53" sqref="V53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1" t="s">
        <v>1528</v>
      </c>
      <c r="E4" s="702"/>
      <c r="F4" s="702"/>
      <c r="G4" s="702"/>
      <c r="H4" s="702"/>
      <c r="I4" s="702"/>
      <c r="J4" s="702"/>
      <c r="K4" s="702"/>
      <c r="L4" s="702"/>
      <c r="M4" s="702"/>
      <c r="N4" s="702"/>
      <c r="O4" s="702"/>
      <c r="P4" s="702"/>
      <c r="Q4" s="702"/>
      <c r="R4" s="702"/>
      <c r="S4" s="702"/>
      <c r="T4" s="702"/>
      <c r="U4" s="702"/>
      <c r="V4" s="702"/>
      <c r="W4" s="702"/>
      <c r="X4" s="702"/>
      <c r="Y4" s="702"/>
      <c r="Z4" s="702"/>
      <c r="AA4" s="702"/>
      <c r="AB4" s="702"/>
      <c r="AC4" s="703"/>
      <c r="AD4" s="217"/>
      <c r="AE4" s="216"/>
      <c r="AF4" s="216"/>
    </row>
    <row r="5" spans="2:32" ht="13.5" customHeight="1">
      <c r="B5" s="215"/>
      <c r="C5" s="215"/>
      <c r="D5" s="704"/>
      <c r="E5" s="705"/>
      <c r="F5" s="705"/>
      <c r="G5" s="705"/>
      <c r="H5" s="705"/>
      <c r="I5" s="705"/>
      <c r="J5" s="705"/>
      <c r="K5" s="705"/>
      <c r="L5" s="705"/>
      <c r="M5" s="705"/>
      <c r="N5" s="705"/>
      <c r="O5" s="705"/>
      <c r="P5" s="705"/>
      <c r="Q5" s="705"/>
      <c r="R5" s="705"/>
      <c r="S5" s="705"/>
      <c r="T5" s="705"/>
      <c r="U5" s="705"/>
      <c r="V5" s="705"/>
      <c r="W5" s="705"/>
      <c r="X5" s="705"/>
      <c r="Y5" s="705"/>
      <c r="Z5" s="705"/>
      <c r="AA5" s="705"/>
      <c r="AB5" s="705"/>
      <c r="AC5" s="706"/>
      <c r="AD5" s="217"/>
      <c r="AE5" s="216"/>
      <c r="AF5" s="216"/>
    </row>
    <row r="6" spans="2:32" ht="12.75" customHeight="1">
      <c r="B6" s="215"/>
      <c r="C6" s="215"/>
      <c r="D6" s="704"/>
      <c r="E6" s="705"/>
      <c r="F6" s="705"/>
      <c r="G6" s="705"/>
      <c r="H6" s="705"/>
      <c r="I6" s="705"/>
      <c r="J6" s="705"/>
      <c r="K6" s="705"/>
      <c r="L6" s="705"/>
      <c r="M6" s="705"/>
      <c r="N6" s="705"/>
      <c r="O6" s="705"/>
      <c r="P6" s="705"/>
      <c r="Q6" s="705"/>
      <c r="R6" s="705"/>
      <c r="S6" s="705"/>
      <c r="T6" s="705"/>
      <c r="U6" s="705"/>
      <c r="V6" s="705"/>
      <c r="W6" s="705"/>
      <c r="X6" s="705"/>
      <c r="Y6" s="705"/>
      <c r="Z6" s="705"/>
      <c r="AA6" s="705"/>
      <c r="AB6" s="705"/>
      <c r="AC6" s="706"/>
      <c r="AE6" s="216"/>
      <c r="AF6" s="216"/>
    </row>
    <row r="7" spans="2:32" ht="12.75" customHeight="1" thickBot="1">
      <c r="B7" s="215"/>
      <c r="C7" s="215"/>
      <c r="D7" s="707"/>
      <c r="E7" s="708"/>
      <c r="F7" s="708"/>
      <c r="G7" s="708"/>
      <c r="H7" s="708"/>
      <c r="I7" s="708"/>
      <c r="J7" s="708"/>
      <c r="K7" s="708"/>
      <c r="L7" s="708"/>
      <c r="M7" s="708"/>
      <c r="N7" s="708"/>
      <c r="O7" s="708"/>
      <c r="P7" s="708"/>
      <c r="Q7" s="708"/>
      <c r="R7" s="708"/>
      <c r="S7" s="708"/>
      <c r="T7" s="708"/>
      <c r="U7" s="708"/>
      <c r="V7" s="708"/>
      <c r="W7" s="708"/>
      <c r="X7" s="708"/>
      <c r="Y7" s="708"/>
      <c r="Z7" s="708"/>
      <c r="AA7" s="708"/>
      <c r="AB7" s="708"/>
      <c r="AC7" s="709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tabSelected="1" view="pageBreakPreview" topLeftCell="A15" zoomScale="70" zoomScaleNormal="40" zoomScaleSheetLayoutView="70" workbookViewId="0">
      <selection activeCell="C8" sqref="C8"/>
    </sheetView>
  </sheetViews>
  <sheetFormatPr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5" t="s">
        <v>1527</v>
      </c>
      <c r="D3" s="705"/>
      <c r="E3" s="705"/>
      <c r="F3" s="705"/>
      <c r="G3" s="705"/>
      <c r="H3" s="705"/>
      <c r="I3" s="705"/>
      <c r="J3" s="705"/>
      <c r="K3" s="705"/>
      <c r="L3" s="705"/>
      <c r="M3" s="705"/>
      <c r="N3" s="705"/>
      <c r="O3" s="705"/>
      <c r="P3" s="705"/>
      <c r="Q3" s="705"/>
      <c r="R3" s="705"/>
      <c r="S3" s="705"/>
      <c r="T3" s="705"/>
      <c r="U3" s="705"/>
      <c r="V3" s="705"/>
      <c r="W3" s="182"/>
      <c r="X3" s="436"/>
      <c r="Y3" s="436"/>
      <c r="Z3" s="436"/>
      <c r="AA3" s="436"/>
      <c r="AB3" s="436"/>
      <c r="AC3" s="426"/>
    </row>
    <row r="4" spans="1:29" ht="18.75" customHeight="1">
      <c r="A4" s="181"/>
      <c r="C4" s="705"/>
      <c r="D4" s="705"/>
      <c r="E4" s="705"/>
      <c r="F4" s="705"/>
      <c r="G4" s="705"/>
      <c r="H4" s="705"/>
      <c r="I4" s="705"/>
      <c r="J4" s="705"/>
      <c r="K4" s="705"/>
      <c r="L4" s="705"/>
      <c r="M4" s="705"/>
      <c r="N4" s="705"/>
      <c r="O4" s="705"/>
      <c r="P4" s="705"/>
      <c r="Q4" s="705"/>
      <c r="R4" s="705"/>
      <c r="S4" s="705"/>
      <c r="T4" s="705"/>
      <c r="U4" s="705"/>
      <c r="V4" s="705"/>
      <c r="W4" s="182"/>
      <c r="X4" s="436"/>
      <c r="Y4" s="436"/>
      <c r="Z4" s="436"/>
      <c r="AA4" s="436"/>
      <c r="AB4" s="436"/>
      <c r="AC4" s="426"/>
    </row>
    <row r="5" spans="1:29" ht="12.75" customHeight="1">
      <c r="A5" s="181"/>
      <c r="C5" s="427"/>
      <c r="W5" s="182"/>
    </row>
    <row r="6" spans="1:29" ht="12.75" customHeight="1">
      <c r="A6" s="181"/>
      <c r="C6" s="710" t="s">
        <v>1633</v>
      </c>
      <c r="D6" s="710"/>
      <c r="E6" s="710"/>
      <c r="F6" s="710"/>
      <c r="G6" s="710"/>
      <c r="H6" s="710"/>
      <c r="I6" s="710"/>
      <c r="J6" s="710"/>
      <c r="K6" s="710"/>
      <c r="L6" s="710"/>
      <c r="M6" s="710"/>
      <c r="W6" s="182"/>
      <c r="Y6" s="428"/>
      <c r="Z6" s="428"/>
      <c r="AA6" s="428"/>
      <c r="AB6" s="429"/>
      <c r="AC6" s="429"/>
    </row>
    <row r="7" spans="1:29" ht="18" customHeight="1">
      <c r="A7" s="181"/>
      <c r="C7" s="710"/>
      <c r="D7" s="710"/>
      <c r="E7" s="710"/>
      <c r="F7" s="710"/>
      <c r="G7" s="710"/>
      <c r="H7" s="710"/>
      <c r="I7" s="710"/>
      <c r="J7" s="710"/>
      <c r="K7" s="710"/>
      <c r="L7" s="710"/>
      <c r="M7" s="710"/>
      <c r="W7" s="182"/>
      <c r="Y7" s="428"/>
      <c r="Z7" s="428"/>
      <c r="AA7" s="428"/>
      <c r="AB7" s="429"/>
      <c r="AC7" s="429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0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1"/>
      <c r="S54" s="431"/>
      <c r="T54" s="431"/>
      <c r="U54" s="432"/>
      <c r="V54" s="432"/>
      <c r="W54" s="183"/>
      <c r="X54" s="432"/>
      <c r="Y54" s="432"/>
      <c r="Z54" s="432"/>
      <c r="AA54" s="432"/>
      <c r="AB54" s="432"/>
      <c r="AC54" s="432"/>
      <c r="AD54" s="432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7"/>
      <c r="S55" s="438"/>
      <c r="T55" s="438"/>
      <c r="U55" s="186"/>
      <c r="V55" s="187"/>
      <c r="W55" s="188"/>
      <c r="X55" s="432"/>
      <c r="Y55" s="432"/>
      <c r="Z55" s="432"/>
      <c r="AA55" s="433"/>
      <c r="AB55" s="433"/>
      <c r="AC55" s="433"/>
      <c r="AD55" s="433"/>
    </row>
    <row r="56" spans="1:30">
      <c r="U56" s="432"/>
      <c r="V56" s="433"/>
      <c r="W56" s="432"/>
      <c r="X56" s="432"/>
      <c r="Y56" s="432"/>
      <c r="Z56" s="432"/>
      <c r="AA56" s="433"/>
      <c r="AB56" s="432"/>
      <c r="AC56" s="432"/>
      <c r="AD56" s="432"/>
    </row>
    <row r="57" spans="1:30">
      <c r="U57" s="432"/>
      <c r="V57" s="433"/>
      <c r="W57" s="432"/>
      <c r="X57" s="432"/>
      <c r="Y57" s="432"/>
      <c r="Z57" s="432"/>
      <c r="AA57" s="432"/>
      <c r="AB57" s="432"/>
      <c r="AC57" s="432"/>
      <c r="AD57" s="432"/>
    </row>
    <row r="58" spans="1:30">
      <c r="U58" s="432"/>
      <c r="V58" s="433"/>
      <c r="W58" s="432"/>
      <c r="X58" s="432"/>
      <c r="Y58" s="432"/>
      <c r="Z58" s="432"/>
      <c r="AA58" s="432"/>
      <c r="AB58" s="432"/>
      <c r="AC58" s="432"/>
      <c r="AD58" s="432"/>
    </row>
    <row r="59" spans="1:30">
      <c r="U59" s="432"/>
      <c r="V59" s="433"/>
      <c r="W59" s="432"/>
      <c r="X59" s="432"/>
      <c r="Y59" s="432"/>
      <c r="Z59" s="432"/>
      <c r="AA59" s="432"/>
      <c r="AB59" s="432"/>
      <c r="AC59" s="432"/>
      <c r="AD59" s="432"/>
    </row>
    <row r="60" spans="1:30">
      <c r="U60" s="432"/>
      <c r="V60" s="433"/>
      <c r="W60" s="432"/>
      <c r="X60" s="432"/>
      <c r="Y60" s="432"/>
      <c r="Z60" s="432"/>
      <c r="AA60" s="433"/>
      <c r="AB60" s="432"/>
      <c r="AC60" s="432"/>
      <c r="AD60" s="432"/>
    </row>
    <row r="61" spans="1:30">
      <c r="U61" s="432"/>
      <c r="V61" s="433"/>
      <c r="W61" s="432"/>
      <c r="X61" s="432"/>
      <c r="Y61" s="432"/>
      <c r="Z61" s="432"/>
      <c r="AA61" s="432"/>
      <c r="AB61" s="432"/>
      <c r="AC61" s="432"/>
      <c r="AD61" s="432"/>
    </row>
    <row r="62" spans="1:30">
      <c r="U62" s="432"/>
      <c r="V62" s="433"/>
      <c r="W62" s="432"/>
      <c r="X62" s="432"/>
      <c r="Y62" s="432"/>
      <c r="Z62" s="432"/>
      <c r="AA62" s="432"/>
      <c r="AB62" s="432"/>
      <c r="AC62" s="432"/>
      <c r="AD62" s="432"/>
    </row>
    <row r="63" spans="1:30">
      <c r="U63" s="432"/>
      <c r="V63" s="433"/>
      <c r="W63" s="432"/>
      <c r="X63" s="432"/>
      <c r="Y63" s="432"/>
      <c r="Z63" s="432"/>
      <c r="AA63" s="432"/>
      <c r="AB63" s="432"/>
      <c r="AC63" s="432"/>
      <c r="AD63" s="432"/>
    </row>
    <row r="64" spans="1:30">
      <c r="U64" s="432"/>
      <c r="V64" s="433"/>
      <c r="W64" s="432"/>
      <c r="X64" s="432"/>
      <c r="Y64" s="432"/>
      <c r="Z64" s="432"/>
      <c r="AA64" s="432"/>
      <c r="AB64" s="432"/>
      <c r="AC64" s="432"/>
      <c r="AD64" s="432"/>
    </row>
    <row r="65" spans="5:30">
      <c r="U65" s="432"/>
      <c r="V65" s="433"/>
      <c r="W65" s="432"/>
      <c r="X65" s="432"/>
      <c r="Y65" s="432"/>
      <c r="Z65" s="432"/>
      <c r="AA65" s="432"/>
      <c r="AB65" s="432"/>
      <c r="AC65" s="432"/>
      <c r="AD65" s="432"/>
    </row>
    <row r="66" spans="5:30" ht="6" customHeight="1"/>
    <row r="73" spans="5:30">
      <c r="M73" s="434"/>
    </row>
    <row r="74" spans="5:30" ht="15" customHeight="1">
      <c r="E74" s="435"/>
      <c r="M74" s="434"/>
    </row>
    <row r="75" spans="5:30" ht="15" customHeight="1">
      <c r="E75" s="435"/>
      <c r="M75" s="434"/>
    </row>
    <row r="76" spans="5:30" ht="15" customHeight="1">
      <c r="E76" s="435"/>
      <c r="M76" s="434"/>
    </row>
    <row r="77" spans="5:30" ht="15" customHeight="1">
      <c r="E77" s="435"/>
      <c r="M77" s="434"/>
    </row>
    <row r="78" spans="5:30" ht="15" customHeight="1">
      <c r="E78" s="435"/>
      <c r="M78" s="434"/>
    </row>
    <row r="79" spans="5:30" ht="15" customHeight="1">
      <c r="E79" s="435"/>
      <c r="M79" s="434"/>
    </row>
    <row r="80" spans="5:30" ht="15" customHeight="1">
      <c r="E80" s="435"/>
      <c r="M80" s="434"/>
    </row>
    <row r="81" spans="5:13" ht="15" customHeight="1">
      <c r="E81" s="435"/>
      <c r="M81" s="434"/>
    </row>
    <row r="82" spans="5:13" ht="15" customHeight="1">
      <c r="E82" s="435"/>
      <c r="M82" s="434"/>
    </row>
    <row r="83" spans="5:13" ht="15" customHeight="1">
      <c r="E83" s="435"/>
      <c r="M83" s="434"/>
    </row>
    <row r="84" spans="5:13" ht="15" customHeight="1">
      <c r="E84" s="435"/>
      <c r="M84" s="434"/>
    </row>
    <row r="85" spans="5:13" ht="15" customHeight="1">
      <c r="E85" s="435"/>
      <c r="M85" s="434"/>
    </row>
    <row r="86" spans="5:13" ht="15" customHeight="1">
      <c r="E86" s="435"/>
      <c r="M86" s="434"/>
    </row>
    <row r="87" spans="5:13" ht="15" customHeight="1">
      <c r="E87" s="435"/>
      <c r="M87" s="434"/>
    </row>
    <row r="88" spans="5:13" ht="15" customHeight="1">
      <c r="E88" s="435"/>
      <c r="M88" s="434"/>
    </row>
    <row r="89" spans="5:13" ht="15" customHeight="1">
      <c r="E89" s="435"/>
      <c r="M89" s="434"/>
    </row>
    <row r="90" spans="5:13" ht="15" customHeight="1">
      <c r="E90" s="435"/>
      <c r="M90" s="434"/>
    </row>
    <row r="91" spans="5:13" ht="15" customHeight="1">
      <c r="E91" s="435"/>
      <c r="M91" s="434"/>
    </row>
    <row r="92" spans="5:13" ht="15" customHeight="1">
      <c r="E92" s="435"/>
      <c r="M92" s="434"/>
    </row>
    <row r="93" spans="5:13" ht="15" customHeight="1">
      <c r="E93" s="435"/>
      <c r="M93" s="434"/>
    </row>
    <row r="94" spans="5:13" ht="15" customHeight="1">
      <c r="E94" s="435"/>
      <c r="M94" s="434"/>
    </row>
    <row r="95" spans="5:13" ht="15" customHeight="1">
      <c r="E95" s="435"/>
      <c r="M95" s="434"/>
    </row>
    <row r="96" spans="5:13" ht="15" customHeight="1">
      <c r="E96" s="435"/>
    </row>
    <row r="97" spans="5:5" ht="15" customHeight="1">
      <c r="E97" s="435"/>
    </row>
    <row r="98" spans="5:5" ht="15" customHeight="1">
      <c r="E98" s="435"/>
    </row>
    <row r="99" spans="5:5" ht="15" customHeight="1">
      <c r="E99" s="435"/>
    </row>
    <row r="100" spans="5:5" ht="15" customHeight="1">
      <c r="E100" s="435"/>
    </row>
    <row r="101" spans="5:5" ht="15" customHeight="1">
      <c r="E101" s="435"/>
    </row>
    <row r="102" spans="5:5" ht="15" customHeight="1">
      <c r="E102" s="435"/>
    </row>
    <row r="103" spans="5:5" ht="15" customHeight="1">
      <c r="E103" s="435"/>
    </row>
    <row r="104" spans="5:5" ht="15" customHeight="1">
      <c r="E104" s="435"/>
    </row>
    <row r="105" spans="5:5" ht="15" customHeight="1">
      <c r="E105" s="435"/>
    </row>
    <row r="106" spans="5:5" ht="15" customHeight="1">
      <c r="E106" s="435"/>
    </row>
    <row r="107" spans="5:5" ht="15" customHeight="1">
      <c r="E107" s="435"/>
    </row>
    <row r="108" spans="5:5" ht="15" customHeight="1">
      <c r="E108" s="435"/>
    </row>
    <row r="109" spans="5:5" ht="15" customHeight="1">
      <c r="E109" s="435"/>
    </row>
    <row r="110" spans="5:5" ht="15" customHeight="1">
      <c r="E110" s="435"/>
    </row>
    <row r="111" spans="5:5" ht="15" customHeight="1">
      <c r="E111" s="435"/>
    </row>
    <row r="112" spans="5:5" ht="15" customHeight="1">
      <c r="E112" s="435"/>
    </row>
    <row r="113" spans="5:5" ht="15" customHeight="1">
      <c r="E113" s="435"/>
    </row>
    <row r="114" spans="5:5" ht="15" customHeight="1">
      <c r="E114" s="435"/>
    </row>
    <row r="115" spans="5:5" ht="15" customHeight="1">
      <c r="E115" s="435"/>
    </row>
    <row r="116" spans="5:5" ht="15" customHeight="1">
      <c r="E116" s="435"/>
    </row>
    <row r="117" spans="5:5" ht="15" customHeight="1">
      <c r="E117" s="435"/>
    </row>
    <row r="118" spans="5:5" ht="15" customHeight="1">
      <c r="E118" s="435"/>
    </row>
    <row r="119" spans="5:5" ht="15" customHeight="1">
      <c r="E119" s="435"/>
    </row>
    <row r="120" spans="5:5">
      <c r="E120" s="435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7">
        <v>1</v>
      </c>
    </row>
    <row r="2" spans="1:11" ht="48" customHeight="1">
      <c r="A2" s="457">
        <v>3</v>
      </c>
    </row>
    <row r="4" spans="1:11" ht="48" customHeight="1">
      <c r="C4" s="457">
        <v>1</v>
      </c>
    </row>
    <row r="5" spans="1:11" ht="48" customHeight="1">
      <c r="C5" s="457">
        <v>3</v>
      </c>
    </row>
    <row r="7" spans="1:11" ht="48" customHeight="1">
      <c r="E7" s="457">
        <v>1</v>
      </c>
    </row>
    <row r="8" spans="1:11" ht="48" customHeight="1">
      <c r="E8" s="457">
        <v>3</v>
      </c>
    </row>
    <row r="10" spans="1:11" ht="48" customHeight="1">
      <c r="G10" s="457">
        <v>3</v>
      </c>
    </row>
    <row r="11" spans="1:11" ht="48" customHeight="1">
      <c r="G11" s="457">
        <v>1</v>
      </c>
    </row>
    <row r="13" spans="1:11" ht="48" customHeight="1">
      <c r="I13" s="457">
        <v>3</v>
      </c>
    </row>
    <row r="14" spans="1:11" ht="48" customHeight="1">
      <c r="I14" s="457">
        <v>1</v>
      </c>
    </row>
    <row r="16" spans="1:11" ht="48" customHeight="1">
      <c r="K16" s="457">
        <v>3</v>
      </c>
    </row>
    <row r="17" spans="11:21" ht="48" customHeight="1">
      <c r="K17" s="457">
        <v>1</v>
      </c>
    </row>
    <row r="19" spans="11:21" ht="48" customHeight="1">
      <c r="M19" s="457">
        <v>3</v>
      </c>
    </row>
    <row r="20" spans="11:21" ht="48" customHeight="1">
      <c r="M20" s="457">
        <v>1</v>
      </c>
    </row>
    <row r="22" spans="11:21" ht="48" customHeight="1">
      <c r="O22" s="457">
        <v>3</v>
      </c>
    </row>
    <row r="23" spans="11:21" ht="48" customHeight="1">
      <c r="O23" s="457">
        <v>1</v>
      </c>
    </row>
    <row r="25" spans="11:21" ht="57" customHeight="1">
      <c r="Q25" s="457">
        <v>3</v>
      </c>
    </row>
    <row r="26" spans="11:21" ht="57" customHeight="1">
      <c r="Q26" s="457">
        <v>1</v>
      </c>
    </row>
    <row r="28" spans="11:21" ht="57" customHeight="1">
      <c r="S28" s="457">
        <v>3</v>
      </c>
    </row>
    <row r="29" spans="11:21" ht="57" customHeight="1">
      <c r="S29" s="457">
        <v>1</v>
      </c>
    </row>
    <row r="31" spans="11:21" ht="57" customHeight="1">
      <c r="U31" s="457">
        <v>3</v>
      </c>
    </row>
    <row r="32" spans="11:21" ht="57" customHeight="1">
      <c r="U32" s="45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JAROT PRASETYO</cp:lastModifiedBy>
  <cp:lastPrinted>2023-05-10T03:04:01Z</cp:lastPrinted>
  <dcterms:created xsi:type="dcterms:W3CDTF">2011-02-06T11:57:38Z</dcterms:created>
  <dcterms:modified xsi:type="dcterms:W3CDTF">2024-04-20T09:19:11Z</dcterms:modified>
</cp:coreProperties>
</file>