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8ED5DA3D-A4CC-4AAB-A5B7-591DD850F8A3}" xr6:coauthVersionLast="47" xr6:coauthVersionMax="47" xr10:uidLastSave="{00000000-0000-0000-0000-000000000000}"/>
  <bookViews>
    <workbookView xWindow="-120" yWindow="-120" windowWidth="29040" windowHeight="15720" tabRatio="859" firstSheet="1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SLD" sheetId="67" r:id="rId10"/>
    <sheet name="GAMBAR" sheetId="64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9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9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9" hidden="1">[13]graf2!$D$12:$L$12</definedName>
    <definedName name="_6__123Graph_BCHART_2" hidden="1">[14]graf2!$D$12:$L$12</definedName>
    <definedName name="_6__123Graph_CCHART_2" localSheetId="10" hidden="1">[12]graf2!$D$14:$L$14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[15]JAN07!#REF!</definedName>
    <definedName name="a" localSheetId="10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10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10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hidden="1">{#N/A,#N/A,FALSE,"M.42"}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10">[28]MENU1!$D$4:$T$15</definedName>
    <definedName name="BULAN" localSheetId="5">[28]MENU1!$D$4:$T$15</definedName>
    <definedName name="BULAN">[28]MENU1!$D$4:$T$15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10">[29]CashFlow!$I$56:$J$57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hidden="1">{#N/A,#N/A,FALSE,"M.42"}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10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'[19]AHS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hidden="1">{#N/A,#N/A,FALSE,"M.41"}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hidden="1">{#N/A,#N/A,FALSE,"M.02"}</definedName>
    <definedName name="GANGGUAN" localSheetId="10">[40]MENU!$M$11:$M$124</definedName>
    <definedName name="GANGGUAN">#N/A</definedName>
    <definedName name="GARDU" localSheetId="10">[40]PARAMETER!$A$11:$A$1059</definedName>
    <definedName name="GARDU">#N/A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10">[47]Format!$AA$1:$AG$1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9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10">[40]MENU!$O$11:$O$124</definedName>
    <definedName name="INDEX_KODE">#N/A</definedName>
    <definedName name="INDEX1" localSheetId="10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10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10">[40]PARAMETER!$D$11:$D$1059</definedName>
    <definedName name="KODE_OUTGOING">#N/A</definedName>
    <definedName name="KODE1" localSheetId="10">[40]MENU!$B$11:$B$110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>#REF!</definedName>
    <definedName name="komposisi">[39]KoMposisi!$A$6:$BV$22</definedName>
    <definedName name="KomunikasiBulan" localSheetId="10">'[19]AHS - Non Personel'!$D$22</definedName>
    <definedName name="KomunikasiBulan">#N/A</definedName>
    <definedName name="KomunikasiHari" localSheetId="10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10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10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10">[18]JAN09!#REF!</definedName>
    <definedName name="lk" localSheetId="5">[18]JAN09!#REF!</definedName>
    <definedName name="lk">[18]JAN09!#REF!</definedName>
    <definedName name="ll" localSheetId="6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10">'[19]AHS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hidden="1">{#N/A,#N/A,FALSE,"M.33"}</definedName>
    <definedName name="MENU_GARDU" localSheetId="10">[40]MENU!$D$11:$D$110</definedName>
    <definedName name="MENU_GARDU">#N/A</definedName>
    <definedName name="MENU_PENYULANG" localSheetId="10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10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10">'[19]AHS - Personel'!$G$19</definedName>
    <definedName name="Opr_Hari">#N/A</definedName>
    <definedName name="opv">[69]Valuation!$I$53</definedName>
    <definedName name="OUTGOING" localSheetId="10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9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10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9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10">'[19]AHS - Personel'!$F$11</definedName>
    <definedName name="ProgGISBln">#N/A</definedName>
    <definedName name="ProgGISHari" localSheetId="10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10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10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hidden="1">{#N/A,#N/A,FALSE,"M.43"}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10">#REF!</definedName>
    <definedName name="S" localSheetId="7">{#N/A,#N/A,FALSE,"M.31"}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10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10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10">'[19]AHS - Non Personel'!$D$15</definedName>
    <definedName name="SewaKomHari">#N/A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10">'[19]AHS - Non Personel'!$D$10</definedName>
    <definedName name="SewaMotorBln">#N/A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_REMOTE" localSheetId="10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10">'[19]AHS - Personel'!$G$21</definedName>
    <definedName name="Surveyor_hari">#N/A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10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10">[85]bantu!$M$5:$X$5</definedName>
    <definedName name="Tahun" localSheetId="9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0">'[19]AHS - Personel'!$F$15</definedName>
    <definedName name="TechBulan">#N/A</definedName>
    <definedName name="TechHari" localSheetId="10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10">[18]JAN09!#REF!</definedName>
    <definedName name="TIARA" localSheetId="7">[18]JAN09!#REF!</definedName>
    <definedName name="TIARA">[18]JAN09!#REF!</definedName>
    <definedName name="Tiket" localSheetId="10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10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hidden="1">{#N/A,#N/A,FALSE,"M.43"}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hidden="1">{#N/A,#N/A,FALSE,"M.43"}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3" i="11" l="1"/>
  <c r="F102" i="11"/>
  <c r="F101" i="11"/>
  <c r="F100" i="11"/>
  <c r="F99" i="11"/>
  <c r="F98" i="11"/>
  <c r="F97" i="11"/>
  <c r="F28" i="11"/>
  <c r="F27" i="11"/>
  <c r="F26" i="11"/>
  <c r="F25" i="11"/>
  <c r="F24" i="11"/>
  <c r="D22" i="11"/>
  <c r="H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E28" i="11"/>
  <c r="G28" i="11"/>
  <c r="D29" i="11"/>
  <c r="J29" i="11" s="1"/>
  <c r="E29" i="11"/>
  <c r="G29" i="11"/>
  <c r="J22" i="11" l="1"/>
  <c r="I22" i="11"/>
  <c r="J24" i="11"/>
  <c r="J28" i="11"/>
  <c r="I26" i="11"/>
  <c r="I28" i="11"/>
  <c r="I24" i="11"/>
  <c r="K24" i="11" s="1"/>
  <c r="H29" i="11"/>
  <c r="H28" i="11"/>
  <c r="I27" i="11"/>
  <c r="H25" i="11"/>
  <c r="H26" i="11"/>
  <c r="I29" i="11"/>
  <c r="I25" i="11"/>
  <c r="H27" i="11"/>
  <c r="H23" i="11"/>
  <c r="I23" i="11"/>
  <c r="K22" i="11" l="1"/>
  <c r="K28" i="11"/>
  <c r="K25" i="11"/>
  <c r="K26" i="11"/>
  <c r="K29" i="11"/>
  <c r="K27" i="11"/>
  <c r="K23" i="11"/>
  <c r="F52" i="11" l="1"/>
  <c r="D51" i="11"/>
  <c r="E51" i="11"/>
  <c r="G51" i="11"/>
  <c r="D52" i="11"/>
  <c r="E52" i="11"/>
  <c r="G52" i="11"/>
  <c r="D53" i="11"/>
  <c r="H53" i="11" s="1"/>
  <c r="E53" i="11"/>
  <c r="G53" i="11"/>
  <c r="D54" i="11"/>
  <c r="J54" i="11" s="1"/>
  <c r="E54" i="11"/>
  <c r="G54" i="11"/>
  <c r="F42" i="11"/>
  <c r="F41" i="11"/>
  <c r="F40" i="11"/>
  <c r="F39" i="11"/>
  <c r="F38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H41" i="11" s="1"/>
  <c r="E41" i="11"/>
  <c r="G41" i="11"/>
  <c r="D42" i="11"/>
  <c r="E42" i="11"/>
  <c r="G42" i="11"/>
  <c r="D43" i="11"/>
  <c r="H43" i="11" s="1"/>
  <c r="E43" i="11"/>
  <c r="G43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7" i="11"/>
  <c r="D106" i="11"/>
  <c r="E106" i="11"/>
  <c r="G106" i="11"/>
  <c r="D107" i="11"/>
  <c r="E107" i="11"/>
  <c r="G107" i="11"/>
  <c r="D108" i="11"/>
  <c r="H108" i="11" s="1"/>
  <c r="E108" i="11"/>
  <c r="G108" i="11"/>
  <c r="D109" i="11"/>
  <c r="H109" i="11" s="1"/>
  <c r="E109" i="11"/>
  <c r="G109" i="11"/>
  <c r="G95" i="11"/>
  <c r="G96" i="11"/>
  <c r="D95" i="11"/>
  <c r="I95" i="11" s="1"/>
  <c r="E95" i="11"/>
  <c r="D96" i="11"/>
  <c r="H96" i="11" s="1"/>
  <c r="E96" i="11"/>
  <c r="F49" i="11"/>
  <c r="F48" i="11"/>
  <c r="F47" i="11"/>
  <c r="F46" i="11"/>
  <c r="F45" i="11"/>
  <c r="G36" i="11"/>
  <c r="G44" i="11"/>
  <c r="G45" i="11"/>
  <c r="G46" i="11"/>
  <c r="G47" i="11"/>
  <c r="G48" i="11"/>
  <c r="G49" i="11"/>
  <c r="G50" i="11"/>
  <c r="D36" i="11"/>
  <c r="H36" i="11" s="1"/>
  <c r="E36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I49" i="11" s="1"/>
  <c r="E49" i="11"/>
  <c r="G18" i="11"/>
  <c r="D18" i="11"/>
  <c r="I18" i="11" s="1"/>
  <c r="E18" i="11"/>
  <c r="F35" i="11"/>
  <c r="F34" i="11"/>
  <c r="F33" i="11"/>
  <c r="F32" i="11"/>
  <c r="F31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G17" i="11"/>
  <c r="D17" i="11"/>
  <c r="H17" i="11" s="1"/>
  <c r="E17" i="11"/>
  <c r="H51" i="11" l="1"/>
  <c r="J51" i="11"/>
  <c r="I51" i="11"/>
  <c r="I54" i="11"/>
  <c r="J52" i="11"/>
  <c r="H54" i="11"/>
  <c r="J53" i="11"/>
  <c r="I53" i="11"/>
  <c r="J41" i="11"/>
  <c r="I52" i="11"/>
  <c r="H52" i="11"/>
  <c r="H37" i="11"/>
  <c r="J42" i="11"/>
  <c r="I37" i="11"/>
  <c r="I41" i="11"/>
  <c r="J40" i="11"/>
  <c r="J43" i="11"/>
  <c r="I40" i="11"/>
  <c r="J39" i="11"/>
  <c r="I43" i="11"/>
  <c r="I39" i="11"/>
  <c r="H42" i="11"/>
  <c r="H38" i="11"/>
  <c r="I42" i="11"/>
  <c r="I38" i="11"/>
  <c r="J106" i="11"/>
  <c r="J107" i="11"/>
  <c r="I106" i="11"/>
  <c r="J108" i="11"/>
  <c r="H106" i="11"/>
  <c r="I109" i="11"/>
  <c r="I108" i="11"/>
  <c r="I107" i="11"/>
  <c r="J109" i="11"/>
  <c r="H107" i="11"/>
  <c r="H95" i="11"/>
  <c r="J96" i="11"/>
  <c r="I96" i="11"/>
  <c r="J95" i="11"/>
  <c r="I45" i="11"/>
  <c r="I44" i="11"/>
  <c r="I48" i="11"/>
  <c r="H45" i="11"/>
  <c r="J36" i="11"/>
  <c r="H49" i="11"/>
  <c r="J47" i="11"/>
  <c r="H48" i="11"/>
  <c r="I47" i="11"/>
  <c r="J46" i="11"/>
  <c r="H44" i="11"/>
  <c r="I36" i="11"/>
  <c r="J49" i="11"/>
  <c r="I46" i="11"/>
  <c r="J45" i="11"/>
  <c r="J18" i="11"/>
  <c r="H18" i="11"/>
  <c r="I30" i="11"/>
  <c r="I34" i="11"/>
  <c r="H34" i="11"/>
  <c r="I33" i="11"/>
  <c r="J32" i="11"/>
  <c r="H30" i="11"/>
  <c r="I32" i="11"/>
  <c r="J35" i="11"/>
  <c r="I35" i="11"/>
  <c r="I31" i="11"/>
  <c r="H35" i="11"/>
  <c r="J33" i="11"/>
  <c r="H31" i="11"/>
  <c r="J17" i="11"/>
  <c r="I17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E59" i="11"/>
  <c r="G59" i="11"/>
  <c r="D60" i="11"/>
  <c r="J60" i="11" s="1"/>
  <c r="E60" i="11"/>
  <c r="G60" i="11"/>
  <c r="D61" i="11"/>
  <c r="E61" i="11"/>
  <c r="G61" i="11"/>
  <c r="D62" i="11"/>
  <c r="E62" i="11"/>
  <c r="G62" i="11"/>
  <c r="F94" i="11"/>
  <c r="F93" i="11"/>
  <c r="F92" i="11"/>
  <c r="F91" i="11"/>
  <c r="K41" i="11" l="1"/>
  <c r="K95" i="11"/>
  <c r="K51" i="11"/>
  <c r="K54" i="11"/>
  <c r="K52" i="11"/>
  <c r="K53" i="11"/>
  <c r="K40" i="11"/>
  <c r="K37" i="11"/>
  <c r="K43" i="11"/>
  <c r="K39" i="11"/>
  <c r="K38" i="11"/>
  <c r="K42" i="11"/>
  <c r="H62" i="11"/>
  <c r="H59" i="11"/>
  <c r="K106" i="11"/>
  <c r="K107" i="11"/>
  <c r="K108" i="11"/>
  <c r="K109" i="11"/>
  <c r="K96" i="11"/>
  <c r="K36" i="11"/>
  <c r="K44" i="11"/>
  <c r="K46" i="11"/>
  <c r="K49" i="11"/>
  <c r="K48" i="11"/>
  <c r="K45" i="11"/>
  <c r="K47" i="11"/>
  <c r="K18" i="11"/>
  <c r="K30" i="11"/>
  <c r="K33" i="11"/>
  <c r="K34" i="11"/>
  <c r="K32" i="11"/>
  <c r="K35" i="11"/>
  <c r="K31" i="11"/>
  <c r="K17" i="11"/>
  <c r="H60" i="11"/>
  <c r="I59" i="11"/>
  <c r="J58" i="11"/>
  <c r="J61" i="11"/>
  <c r="I56" i="11"/>
  <c r="I62" i="11"/>
  <c r="I60" i="11"/>
  <c r="I58" i="11"/>
  <c r="H56" i="11"/>
  <c r="I61" i="11"/>
  <c r="I57" i="11"/>
  <c r="J62" i="11"/>
  <c r="H61" i="11"/>
  <c r="J59" i="11"/>
  <c r="H57" i="11"/>
  <c r="K57" i="11" s="1"/>
  <c r="K58" i="11" l="1"/>
  <c r="K56" i="11"/>
  <c r="K60" i="11"/>
  <c r="K59" i="11"/>
  <c r="K61" i="11"/>
  <c r="K62" i="11"/>
  <c r="G97" i="11" l="1"/>
  <c r="G98" i="11"/>
  <c r="G99" i="11"/>
  <c r="G100" i="11"/>
  <c r="G101" i="11"/>
  <c r="G102" i="11"/>
  <c r="G103" i="11"/>
  <c r="G104" i="11"/>
  <c r="G105" i="11"/>
  <c r="D97" i="1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J104" i="11" s="1"/>
  <c r="E104" i="11"/>
  <c r="D105" i="11"/>
  <c r="J105" i="11" s="1"/>
  <c r="E105" i="11"/>
  <c r="D50" i="11"/>
  <c r="E50" i="11"/>
  <c r="D55" i="11"/>
  <c r="J55" i="11" s="1"/>
  <c r="E55" i="11"/>
  <c r="G55" i="11"/>
  <c r="I50" i="11" l="1"/>
  <c r="J50" i="11"/>
  <c r="H50" i="11"/>
  <c r="I101" i="11"/>
  <c r="I97" i="11"/>
  <c r="I103" i="11"/>
  <c r="J99" i="11"/>
  <c r="H97" i="11"/>
  <c r="J103" i="11"/>
  <c r="H101" i="11"/>
  <c r="I99" i="11"/>
  <c r="I105" i="11"/>
  <c r="I104" i="11"/>
  <c r="I100" i="11"/>
  <c r="H105" i="11"/>
  <c r="H104" i="11"/>
  <c r="J102" i="11"/>
  <c r="H100" i="11"/>
  <c r="J98" i="11"/>
  <c r="I102" i="11"/>
  <c r="J101" i="11"/>
  <c r="I98" i="11"/>
  <c r="J97" i="11"/>
  <c r="I55" i="11"/>
  <c r="H55" i="11"/>
  <c r="K50" i="11" l="1"/>
  <c r="K104" i="11"/>
  <c r="K99" i="11"/>
  <c r="K101" i="11"/>
  <c r="K98" i="11"/>
  <c r="K105" i="11"/>
  <c r="K103" i="11"/>
  <c r="K102" i="11"/>
  <c r="K97" i="11"/>
  <c r="K100" i="11"/>
  <c r="K55" i="11"/>
  <c r="D89" i="11" l="1"/>
  <c r="D90" i="11"/>
  <c r="D91" i="11"/>
  <c r="D92" i="11"/>
  <c r="D93" i="11"/>
  <c r="D94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76" i="11"/>
  <c r="D76" i="11"/>
  <c r="J76" i="11" s="1"/>
  <c r="E76" i="11"/>
  <c r="J21" i="11" l="1"/>
  <c r="I21" i="11"/>
  <c r="I19" i="11"/>
  <c r="H19" i="11"/>
  <c r="I15" i="11"/>
  <c r="H15" i="11"/>
  <c r="I16" i="11"/>
  <c r="H16" i="11"/>
  <c r="I76" i="11"/>
  <c r="H76" i="11"/>
  <c r="K21" i="11" l="1"/>
  <c r="K19" i="11"/>
  <c r="K15" i="11"/>
  <c r="K76" i="11"/>
  <c r="K16" i="11"/>
  <c r="F86" i="11" l="1"/>
  <c r="F85" i="11"/>
  <c r="F84" i="11"/>
  <c r="F83" i="11"/>
  <c r="F82" i="11"/>
  <c r="F81" i="11"/>
  <c r="F80" i="11"/>
  <c r="F79" i="11"/>
  <c r="F78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H84" i="11" s="1"/>
  <c r="E84" i="11"/>
  <c r="G84" i="11"/>
  <c r="D85" i="11"/>
  <c r="H85" i="11" s="1"/>
  <c r="E85" i="11"/>
  <c r="G85" i="11"/>
  <c r="D86" i="11"/>
  <c r="E86" i="11"/>
  <c r="G86" i="11"/>
  <c r="D87" i="11"/>
  <c r="J87" i="11" s="1"/>
  <c r="E87" i="11"/>
  <c r="G87" i="11"/>
  <c r="D63" i="11"/>
  <c r="J63" i="11" s="1"/>
  <c r="E63" i="11"/>
  <c r="G63" i="11"/>
  <c r="D64" i="11"/>
  <c r="I64" i="11" s="1"/>
  <c r="E64" i="11"/>
  <c r="G64" i="11"/>
  <c r="D65" i="11"/>
  <c r="J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E68" i="11"/>
  <c r="G68" i="11"/>
  <c r="D69" i="11"/>
  <c r="J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E75" i="11"/>
  <c r="G75" i="11"/>
  <c r="G6" i="11"/>
  <c r="D88" i="11"/>
  <c r="J88" i="11" s="1"/>
  <c r="E88" i="11"/>
  <c r="G88" i="11"/>
  <c r="H89" i="11"/>
  <c r="E89" i="11"/>
  <c r="G89" i="11"/>
  <c r="E90" i="11"/>
  <c r="G90" i="11"/>
  <c r="J91" i="11"/>
  <c r="E91" i="11"/>
  <c r="G91" i="11"/>
  <c r="J92" i="11"/>
  <c r="E92" i="11"/>
  <c r="G92" i="11"/>
  <c r="E93" i="11"/>
  <c r="G93" i="11"/>
  <c r="H94" i="11"/>
  <c r="E94" i="11"/>
  <c r="G94" i="11"/>
  <c r="D20" i="60"/>
  <c r="I68" i="11" l="1"/>
  <c r="J75" i="11"/>
  <c r="J86" i="11"/>
  <c r="J85" i="11"/>
  <c r="J77" i="11"/>
  <c r="I81" i="11"/>
  <c r="I77" i="11"/>
  <c r="I83" i="11"/>
  <c r="H83" i="11"/>
  <c r="H79" i="11"/>
  <c r="I79" i="11"/>
  <c r="I87" i="11"/>
  <c r="I85" i="11"/>
  <c r="I84" i="11"/>
  <c r="J64" i="11"/>
  <c r="H87" i="11"/>
  <c r="H81" i="11"/>
  <c r="I80" i="11"/>
  <c r="I86" i="11"/>
  <c r="H86" i="11"/>
  <c r="J84" i="11"/>
  <c r="H82" i="11"/>
  <c r="J80" i="11"/>
  <c r="H78" i="11"/>
  <c r="I82" i="11"/>
  <c r="I78" i="11"/>
  <c r="I72" i="11"/>
  <c r="J68" i="11"/>
  <c r="H68" i="11"/>
  <c r="H72" i="11"/>
  <c r="J73" i="11"/>
  <c r="H69" i="11"/>
  <c r="I66" i="11"/>
  <c r="I65" i="11"/>
  <c r="I73" i="11"/>
  <c r="I69" i="11"/>
  <c r="H64" i="11"/>
  <c r="H74" i="11"/>
  <c r="H70" i="11"/>
  <c r="H65" i="11"/>
  <c r="I70" i="11"/>
  <c r="H66" i="11"/>
  <c r="I74" i="11"/>
  <c r="I71" i="11"/>
  <c r="I63" i="11"/>
  <c r="H75" i="11"/>
  <c r="H71" i="11"/>
  <c r="H67" i="11"/>
  <c r="H63" i="11"/>
  <c r="I75" i="11"/>
  <c r="I67" i="11"/>
  <c r="H90" i="11"/>
  <c r="H93" i="11"/>
  <c r="J94" i="11"/>
  <c r="J93" i="11"/>
  <c r="I91" i="11"/>
  <c r="H91" i="11"/>
  <c r="J90" i="11"/>
  <c r="J89" i="11"/>
  <c r="I89" i="11"/>
  <c r="I93" i="11"/>
  <c r="H92" i="11"/>
  <c r="H88" i="11"/>
  <c r="I92" i="11"/>
  <c r="I88" i="11"/>
  <c r="I94" i="11"/>
  <c r="I90" i="11"/>
  <c r="D14" i="11"/>
  <c r="J14" i="11" s="1"/>
  <c r="E14" i="11"/>
  <c r="G14" i="11"/>
  <c r="K19" i="60"/>
  <c r="D19" i="60"/>
  <c r="K66" i="11" l="1"/>
  <c r="K83" i="11"/>
  <c r="K71" i="11"/>
  <c r="K77" i="11"/>
  <c r="K81" i="11"/>
  <c r="K68" i="11"/>
  <c r="K85" i="11"/>
  <c r="K73" i="11"/>
  <c r="K84" i="11"/>
  <c r="K72" i="11"/>
  <c r="K79" i="11"/>
  <c r="K69" i="11"/>
  <c r="K65" i="11"/>
  <c r="K64" i="11"/>
  <c r="K87" i="11"/>
  <c r="K80" i="11"/>
  <c r="K78" i="11"/>
  <c r="K86" i="11"/>
  <c r="K82" i="11"/>
  <c r="K70" i="11"/>
  <c r="K74" i="11"/>
  <c r="K75" i="11"/>
  <c r="K63" i="11"/>
  <c r="K67" i="11"/>
  <c r="K89" i="11"/>
  <c r="K91" i="11"/>
  <c r="K93" i="11"/>
  <c r="K94" i="11"/>
  <c r="K90" i="11"/>
  <c r="K88" i="11"/>
  <c r="K92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1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0" i="11"/>
  <c r="D111" i="11"/>
  <c r="H111" i="11" s="1"/>
  <c r="E11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0" i="11"/>
  <c r="J110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1" i="11"/>
  <c r="I111" i="11"/>
  <c r="H110" i="11" l="1"/>
  <c r="I110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11" i="11"/>
  <c r="K110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3" i="11"/>
  <c r="H114" i="11" s="1"/>
  <c r="I113" i="11"/>
  <c r="I11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9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5" i="11"/>
  <c r="I11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3" i="11" l="1"/>
  <c r="K114" i="11" s="1"/>
  <c r="K115" i="11" s="1"/>
  <c r="B11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3" i="11"/>
  <c r="J11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<sst xmlns="http://schemas.openxmlformats.org/spreadsheetml/2006/main" count="4777" uniqueCount="1638">
  <si>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</si>
  <si>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</si>
  <si>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</si>
  <si>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</si>
  <si>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</si>
  <si>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</si>
  <si>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</si>
  <si>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</si>
  <si>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</si>
  <si>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</si>
  <si>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</si>
  <si>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</si>
  <si>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</si>
  <si>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</si>
  <si>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</si>
  <si>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</si>
  <si>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</si>
  <si>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</si>
  <si>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</si>
  <si>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</si>
  <si>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</si>
  <si>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</si>
  <si>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</si>
  <si>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</si>
  <si>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</si>
  <si>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</si>
  <si>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</si>
  <si>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</si>
  <si>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</si>
  <si>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</si>
  <si>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</si>
  <si>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</si>
  <si>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</si>
  <si>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</si>
  <si>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</si>
  <si>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</si>
  <si>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</si>
  <si>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</si>
  <si>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</si>
  <si>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</si>
  <si>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</si>
  <si>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</si>
  <si>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</si>
  <si>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</si>
  <si>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</si>
  <si>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</si>
  <si>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</si>
  <si>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</si>
  <si>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</si>
  <si>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</si>
  <si>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</si>
  <si>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</si>
  <si>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</si>
  <si>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</si>
  <si>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</si>
  <si>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</si>
  <si>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</si>
  <si>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</si>
  <si>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</si>
  <si>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</si>
  <si>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</si>
  <si>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</si>
  <si>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</si>
  <si>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</si>
  <si>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</si>
  <si>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</si>
  <si>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</si>
  <si>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</si>
  <si>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</si>
  <si>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</si>
  <si>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</si>
  <si>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</si>
  <si>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</si>
  <si>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</si>
  <si>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</si>
  <si>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</si>
  <si>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</si>
  <si>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</si>
  <si>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</si>
  <si>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</si>
  <si>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</si>
  <si>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</si>
  <si>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</si>
  <si>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</si>
  <si>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</si>
  <si>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</si>
  <si>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</si>
  <si>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</si>
  <si>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</si>
  <si>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</si>
  <si>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</si>
  <si>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</si>
  <si>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</si>
  <si>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</si>
  <si>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</si>
  <si>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</si>
  <si>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</si>
  <si>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</si>
  <si>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</si>
  <si>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</si>
  <si>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</si>
  <si>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</si>
  <si>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</si>
  <si>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</si>
  <si>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</si>
  <si>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</si>
  <si>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</si>
  <si>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</si>
  <si>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</si>
  <si>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</si>
  <si>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</si>
  <si>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</si>
  <si>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</si>
  <si>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</si>
  <si>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</si>
  <si>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</si>
  <si>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</si>
  <si>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</si>
  <si>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</si>
  <si>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</si>
  <si>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</si>
  <si>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</si>
  <si>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</si>
  <si>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</si>
  <si>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</si>
  <si>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</si>
  <si>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</si>
  <si>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</si>
  <si>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</si>
  <si>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</si>
  <si>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</si>
  <si>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</si>
  <si>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</si>
  <si>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</si>
  <si>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</si>
  <si>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</si>
  <si>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</si>
  <si>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</si>
  <si>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</si>
  <si>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</si>
  <si>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</si>
  <si>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</si>
  <si>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</si>
  <si>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</si>
  <si>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</si>
  <si>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</si>
  <si>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</si>
  <si>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</si>
  <si>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</si>
  <si>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</si>
  <si>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</si>
  <si>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</si>
  <si>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</si>
  <si>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</si>
  <si>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</si>
  <si>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</si>
  <si>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</si>
  <si>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</si>
  <si>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</si>
  <si>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</si>
  <si>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</si>
  <si>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</si>
  <si>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</si>
  <si>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</si>
  <si>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</si>
  <si>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</si>
  <si>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</si>
  <si>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</si>
  <si>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</si>
  <si>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</si>
  <si>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</si>
  <si>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</si>
  <si>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</si>
  <si>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</si>
  <si>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</si>
  <si>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</si>
  <si>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</si>
  <si>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</si>
  <si>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</si>
  <si>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</si>
  <si>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</si>
  <si>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</si>
  <si>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</si>
  <si>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</si>
  <si>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</si>
  <si>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</si>
  <si>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</si>
  <si>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</si>
  <si>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</si>
  <si>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</si>
  <si>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</si>
  <si>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</si>
  <si>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</si>
  <si>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</si>
  <si>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</si>
  <si>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</si>
  <si>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</si>
  <si>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</si>
  <si>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</si>
  <si>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</si>
  <si>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</si>
  <si>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</si>
  <si>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</si>
  <si>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</si>
  <si>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</si>
  <si>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</si>
  <si>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</si>
  <si>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</si>
  <si>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</si>
  <si>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</si>
  <si>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</si>
  <si>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</si>
  <si>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</si>
  <si>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</si>
  <si>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</si>
  <si>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</si>
  <si>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</si>
  <si>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</si>
  <si>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</si>
  <si>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</si>
  <si>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</si>
  <si>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</si>
  <si>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</si>
  <si>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</si>
  <si>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</si>
  <si>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</si>
  <si>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</si>
  <si>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</si>
  <si>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</si>
  <si>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</si>
  <si>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</si>
  <si>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</si>
  <si>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</si>
  <si>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</si>
  <si>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</si>
  <si>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</si>
  <si>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</si>
  <si>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</si>
  <si>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</si>
  <si>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</si>
  <si>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</si>
  <si>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</si>
  <si>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</si>
  <si>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</si>
  <si>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</si>
  <si>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</si>
  <si>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</si>
  <si>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</si>
  <si>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</si>
  <si>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</si>
  <si>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</si>
  <si>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</si>
  <si>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</si>
  <si>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</si>
  <si>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</si>
  <si>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</si>
  <si>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</si>
  <si>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</si>
  <si>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</si>
  <si>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</si>
  <si>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</si>
  <si>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</si>
  <si>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</si>
  <si>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</si>
  <si>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</si>
  <si>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</si>
  <si>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</si>
  <si>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</si>
  <si>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</si>
  <si>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</si>
  <si>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</si>
  <si>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</si>
  <si>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</si>
  <si>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</si>
  <si>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</si>
  <si>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</si>
  <si>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</si>
  <si>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</si>
  <si>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</si>
  <si>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</si>
  <si>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</si>
  <si>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</si>
  <si>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</si>
  <si>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</si>
  <si>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</si>
  <si>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</si>
  <si>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</si>
  <si>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</si>
  <si>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</si>
  <si>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</si>
  <si>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</si>
  <si>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</si>
  <si>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</si>
  <si>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</si>
  <si>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</si>
  <si>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</si>
  <si>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</si>
  <si>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</si>
  <si>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</si>
  <si>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</si>
  <si>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</si>
  <si>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</si>
  <si>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</si>
  <si>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</si>
  <si>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</si>
  <si>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</si>
  <si>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</si>
  <si>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</si>
  <si>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</si>
  <si>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</si>
  <si>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</si>
  <si>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</si>
  <si>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</si>
  <si>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</si>
  <si>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</si>
  <si>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</si>
  <si>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</si>
  <si>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</si>
  <si>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</si>
  <si>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</si>
  <si>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</si>
  <si>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</si>
  <si>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</si>
  <si>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</si>
  <si>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</si>
  <si>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</si>
  <si>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</si>
  <si>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</si>
  <si>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</si>
  <si>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</si>
  <si>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</si>
  <si>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</si>
  <si>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</si>
  <si>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</si>
  <si>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</si>
  <si>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</si>
  <si>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</si>
  <si>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</si>
  <si>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</si>
  <si>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</si>
  <si>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</si>
  <si>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</si>
  <si>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</si>
  <si>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</si>
  <si>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</si>
  <si>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</si>
  <si>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</si>
  <si>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</si>
  <si>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</si>
  <si>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</si>
  <si>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</si>
  <si>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</si>
  <si>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</si>
  <si>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</si>
  <si>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</si>
  <si>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</si>
  <si>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</si>
  <si>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</si>
  <si>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</si>
  <si>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</si>
  <si>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</si>
  <si>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</si>
  <si>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</si>
  <si>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</si>
  <si>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</si>
  <si>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</si>
  <si>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</si>
  <si>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</si>
  <si>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</si>
  <si>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</si>
  <si>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</si>
  <si>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</si>
  <si>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</si>
  <si>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</si>
  <si>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</si>
  <si>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</si>
  <si>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</si>
  <si>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</si>
  <si>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</si>
  <si>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</si>
  <si>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</si>
  <si>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</si>
  <si>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</si>
  <si>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</si>
  <si>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</si>
  <si>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</si>
  <si>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</si>
  <si>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</si>
  <si>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</si>
  <si>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</si>
  <si>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</si>
  <si>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</si>
  <si>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</si>
  <si>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</si>
  <si>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</si>
  <si>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</si>
  <si>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</si>
  <si>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</si>
  <si>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</si>
  <si>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</si>
  <si>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</si>
  <si>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</si>
  <si>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</si>
  <si>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</si>
  <si>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</si>
  <si>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</si>
  <si>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</si>
  <si>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</si>
  <si>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</si>
  <si>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</si>
  <si>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</si>
  <si>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</si>
  <si>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</si>
  <si>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</si>
  <si>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</si>
  <si>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</si>
  <si>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</si>
  <si>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</si>
  <si>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</si>
  <si>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</si>
  <si>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</si>
  <si>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</si>
  <si>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</si>
  <si>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</si>
  <si>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</si>
  <si>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</si>
  <si>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</si>
  <si>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</si>
  <si>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</si>
  <si>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</si>
  <si>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</si>
  <si>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</si>
  <si>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</si>
  <si>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</si>
  <si>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</si>
  <si>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</si>
  <si>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</si>
  <si>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</si>
  <si>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</si>
  <si>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</si>
  <si>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</si>
  <si>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</si>
  <si>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</si>
  <si>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</si>
  <si>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</si>
  <si>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</si>
  <si>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</si>
  <si>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</si>
  <si>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</si>
  <si>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</si>
  <si>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</si>
  <si>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</si>
  <si>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</si>
  <si>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</si>
  <si>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</si>
  <si>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</si>
  <si>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</si>
  <si>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</si>
  <si>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</si>
  <si>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</si>
  <si>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</si>
  <si>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</si>
  <si>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</si>
  <si>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</si>
  <si>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</si>
  <si>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</si>
  <si>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</si>
  <si>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</si>
  <si>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</si>
  <si>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</si>
  <si>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</si>
  <si>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</si>
  <si>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</si>
  <si>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</si>
  <si>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</si>
  <si>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</si>
  <si>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</si>
  <si>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</si>
  <si>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</si>
  <si>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</si>
  <si>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</si>
  <si>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</si>
  <si>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</si>
  <si>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</si>
  <si>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</si>
  <si>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</si>
  <si>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</si>
  <si>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</si>
  <si>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</si>
  <si>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</si>
  <si>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</si>
  <si>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</si>
  <si>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</si>
  <si>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</si>
  <si>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</si>
  <si>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</si>
  <si>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</si>
  <si>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</si>
  <si>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</si>
  <si>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</si>
  <si>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</si>
  <si>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</si>
  <si>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</si>
  <si>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</si>
  <si>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</si>
  <si>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</si>
  <si>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</si>
  <si>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</si>
  <si>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</si>
  <si>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</si>
  <si>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</si>
  <si>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</si>
  <si>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</si>
  <si>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</si>
  <si>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</si>
  <si>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</si>
  <si>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</si>
  <si>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</si>
  <si>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</si>
  <si>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</si>
  <si>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</si>
  <si>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</si>
  <si>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</si>
  <si>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</si>
  <si>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</si>
  <si>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</si>
  <si>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</si>
  <si>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</si>
  <si>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</si>
  <si>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</si>
  <si>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</si>
  <si>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</si>
  <si>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</si>
  <si>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</si>
  <si>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</si>
  <si>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</si>
  <si>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</si>
  <si>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</si>
  <si>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</si>
  <si>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</si>
  <si>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</si>
  <si>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</si>
  <si>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</si>
  <si>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</si>
  <si>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</si>
  <si>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</si>
  <si>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</si>
  <si>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</si>
  <si>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</si>
  <si>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</si>
  <si>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</si>
  <si>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</si>
  <si>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</si>
  <si>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</si>
  <si>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</si>
  <si>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</si>
  <si>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</si>
  <si>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</si>
  <si>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</si>
  <si>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</si>
  <si>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</si>
  <si>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</si>
  <si>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</si>
  <si>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</si>
  <si>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</si>
  <si>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</si>
  <si>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</si>
  <si>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</si>
  <si>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</si>
  <si>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</si>
  <si>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</si>
  <si>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</si>
  <si>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</si>
  <si>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</si>
  <si>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</si>
  <si>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</si>
  <si>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</si>
  <si>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</si>
  <si>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</si>
  <si>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</si>
  <si>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</si>
  <si>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</si>
  <si>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</si>
  <si>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</si>
  <si>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</si>
  <si>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</si>
  <si>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</si>
  <si>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</si>
  <si>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</si>
  <si>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</si>
  <si>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</si>
  <si>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</si>
  <si>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</si>
  <si>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</si>
  <si>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</si>
  <si>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</si>
  <si>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</si>
  <si>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</si>
  <si>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</si>
  <si>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</si>
  <si>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</si>
  <si>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</si>
  <si>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</si>
  <si>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</si>
  <si>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</si>
  <si>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</si>
  <si>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</si>
  <si>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</si>
  <si>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</si>
  <si>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</si>
  <si>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</si>
  <si>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</si>
  <si>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</si>
  <si>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</si>
  <si>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</si>
  <si>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</si>
  <si>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</si>
  <si>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</si>
  <si>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</si>
  <si>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</si>
  <si>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</si>
  <si>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</si>
  <si>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</si>
  <si>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</si>
  <si>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</si>
  <si>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</si>
  <si>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</si>
  <si>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</si>
  <si>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</si>
  <si>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</si>
  <si>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</si>
  <si>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</si>
  <si>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</si>
  <si>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</si>
  <si>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</si>
  <si>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</si>
  <si>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</si>
  <si>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</si>
  <si>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</si>
  <si>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</si>
  <si>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</si>
  <si>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</si>
  <si>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</si>
  <si>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</si>
  <si>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</si>
  <si>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</si>
  <si>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</si>
  <si>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</si>
  <si>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</si>
  <si>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</si>
  <si>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</si>
  <si>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</si>
  <si>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</si>
  <si>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</si>
  <si>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</si>
  <si>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</si>
  <si>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</si>
  <si>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</si>
  <si>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</si>
  <si>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</si>
  <si>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</si>
  <si>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</si>
  <si>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</si>
  <si>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</si>
  <si>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</si>
  <si>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</si>
  <si>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</si>
  <si>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</si>
  <si>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</si>
  <si>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</si>
  <si>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</si>
  <si>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</si>
  <si>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</si>
  <si>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</si>
  <si>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</si>
  <si>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</si>
  <si>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</si>
  <si>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</si>
  <si>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</si>
  <si>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</si>
  <si>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</si>
  <si>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</si>
  <si>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</si>
  <si>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</si>
  <si>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</si>
  <si>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</si>
  <si>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</si>
  <si>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</si>
  <si>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</si>
  <si>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</si>
  <si>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</si>
  <si>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</si>
  <si>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</si>
  <si>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</si>
  <si>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</si>
  <si>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</si>
  <si>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</si>
  <si>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</si>
  <si>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</si>
  <si>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</si>
  <si>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</si>
  <si>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</si>
  <si>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</si>
  <si>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</si>
  <si>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</si>
  <si>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</si>
  <si>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</si>
  <si>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</si>
  <si>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</si>
  <si>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</si>
  <si>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</si>
  <si>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</si>
  <si>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</si>
  <si>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</si>
  <si>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</si>
  <si>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</si>
  <si>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</si>
  <si>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</si>
  <si>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</si>
  <si>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</si>
  <si>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</si>
  <si>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</si>
  <si>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</si>
  <si>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</si>
  <si>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</si>
  <si>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</si>
  <si>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</si>
  <si>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</si>
  <si>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</si>
  <si>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</si>
  <si>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</si>
  <si>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</si>
  <si>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</si>
  <si>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</si>
  <si>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</si>
  <si>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</si>
  <si>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</si>
  <si>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</si>
  <si>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</si>
  <si>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</si>
  <si>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</si>
  <si>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</si>
  <si>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</si>
  <si>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</si>
  <si>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</si>
  <si>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</si>
  <si>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</si>
  <si>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</si>
  <si>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</si>
  <si>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</si>
  <si>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</si>
  <si>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</si>
  <si>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</si>
  <si>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</si>
  <si>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</si>
  <si>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</si>
  <si>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</si>
  <si>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</si>
  <si>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</si>
  <si>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</si>
  <si>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</si>
  <si>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</si>
  <si>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</si>
  <si>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</si>
  <si>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</si>
  <si>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</si>
  <si>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</si>
  <si>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</si>
  <si>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</si>
  <si>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</si>
  <si>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</si>
  <si>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</si>
  <si>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</si>
  <si>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</si>
  <si>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</si>
  <si>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</si>
  <si>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</si>
  <si>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</si>
  <si>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</si>
  <si>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</si>
  <si>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</si>
  <si>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</si>
  <si>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</si>
  <si>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</si>
  <si>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</si>
  <si>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</si>
  <si>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</si>
  <si>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</si>
  <si>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</si>
  <si>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</si>
  <si>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</si>
  <si>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</si>
  <si>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</si>
  <si>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</si>
  <si>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</si>
  <si>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</si>
  <si>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</si>
  <si>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</si>
  <si>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</si>
  <si>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</si>
  <si>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</si>
  <si>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</si>
  <si>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</si>
  <si>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</si>
  <si>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</si>
  <si>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</si>
  <si>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</si>
  <si>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</si>
  <si>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</si>
  <si>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</si>
  <si>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</si>
  <si>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</si>
  <si>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</si>
  <si>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</si>
  <si>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</si>
  <si>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</si>
  <si>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</si>
  <si>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</si>
  <si>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</si>
  <si>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</si>
  <si>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</si>
  <si>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</si>
  <si>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</si>
  <si>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</si>
  <si>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</si>
  <si>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</si>
  <si>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</si>
  <si>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</si>
  <si>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</si>
  <si>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</si>
  <si>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</si>
  <si>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</si>
  <si>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</si>
  <si>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</si>
  <si>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</si>
  <si>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</si>
  <si>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</si>
  <si>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</si>
  <si>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</si>
  <si>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</si>
  <si>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</si>
  <si>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</si>
  <si>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</si>
  <si>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</si>
  <si>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</si>
  <si>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</si>
  <si>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</si>
  <si>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</si>
  <si>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</si>
  <si>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</si>
  <si>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</si>
  <si>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</si>
  <si>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</si>
  <si>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</si>
  <si>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</si>
  <si>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</si>
  <si>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</si>
  <si>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</si>
  <si>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</si>
  <si>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</si>
  <si>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</si>
  <si>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</si>
  <si>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</si>
  <si>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</si>
  <si>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</si>
  <si>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</si>
  <si>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</si>
  <si>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</si>
  <si>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</si>
  <si>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</si>
  <si>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</si>
  <si>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</si>
  <si>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</si>
  <si>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</si>
  <si>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</si>
  <si>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</si>
  <si>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</si>
  <si>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</si>
  <si>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</si>
  <si>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</si>
  <si>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</si>
  <si>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</si>
  <si>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</si>
  <si>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</si>
  <si>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</si>
  <si>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</si>
  <si>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</si>
  <si>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</si>
  <si>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</si>
  <si>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</si>
  <si>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</si>
  <si>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</si>
  <si>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</si>
  <si>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</si>
  <si>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</si>
  <si>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</si>
  <si>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</si>
  <si>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</si>
  <si>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</si>
  <si>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</si>
  <si>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</si>
  <si>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</si>
  <si>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</si>
  <si>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</si>
  <si>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</si>
  <si>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</si>
  <si>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</si>
  <si>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</si>
  <si>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</si>
  <si>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</si>
  <si>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</si>
  <si>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</si>
  <si>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</si>
  <si>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</si>
  <si>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</si>
  <si>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</si>
  <si>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</si>
  <si>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</si>
  <si>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</si>
  <si>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</si>
  <si>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</si>
  <si>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</si>
  <si>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</si>
  <si>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</si>
  <si>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</si>
  <si>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</si>
  <si>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</si>
  <si>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</si>
  <si>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</si>
  <si>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</si>
  <si>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</si>
  <si>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</si>
  <si>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</si>
  <si>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</si>
  <si>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</si>
  <si>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</si>
  <si>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</si>
  <si>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</si>
  <si>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</si>
  <si>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</si>
  <si>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</si>
  <si>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</si>
  <si>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</si>
  <si>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</si>
  <si>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</si>
  <si>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</si>
  <si>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</si>
  <si>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</si>
  <si>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</si>
  <si>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</si>
  <si>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</si>
  <si>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</si>
  <si>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</si>
  <si>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</si>
  <si>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</si>
  <si>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</si>
  <si>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</si>
  <si>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</si>
  <si>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</si>
  <si>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</si>
  <si>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</si>
  <si>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</si>
  <si>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</si>
  <si>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</si>
  <si>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</si>
  <si>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</si>
  <si>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</si>
  <si>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</si>
  <si>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</si>
  <si>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</si>
  <si>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</si>
  <si>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</si>
  <si>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</si>
  <si>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</si>
  <si>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</si>
  <si>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</si>
  <si>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</si>
  <si>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</si>
  <si>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</si>
  <si>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</si>
  <si>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</si>
  <si>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</si>
  <si>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</si>
  <si>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</si>
  <si>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</si>
  <si>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</si>
  <si>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</si>
  <si>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</si>
  <si>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</si>
  <si>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</si>
  <si>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</si>
  <si>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</si>
  <si>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</si>
  <si>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</si>
  <si>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</si>
  <si>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</si>
  <si>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</si>
  <si>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</si>
  <si>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</si>
  <si>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</si>
  <si>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</si>
  <si>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</si>
  <si>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</si>
  <si>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</si>
  <si>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</si>
  <si>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</si>
  <si>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</si>
  <si>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</si>
  <si>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</si>
  <si>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</si>
  <si>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</si>
  <si>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</si>
  <si>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</si>
  <si>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</si>
  <si>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</si>
  <si>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</si>
  <si>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</si>
  <si>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</si>
  <si>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</si>
  <si>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</si>
  <si>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</si>
  <si>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</si>
  <si>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</si>
  <si>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</si>
  <si>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</si>
  <si>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</si>
  <si>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</si>
  <si>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</si>
  <si>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</si>
  <si>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</si>
  <si>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</si>
  <si>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</si>
  <si>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</si>
  <si>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</si>
  <si>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</si>
  <si>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</si>
  <si>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</si>
  <si>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</si>
  <si>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</si>
  <si>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</si>
  <si>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</si>
  <si>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</si>
  <si>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</si>
  <si>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</si>
  <si>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</si>
  <si>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</si>
  <si>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</si>
  <si>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</si>
  <si>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</si>
  <si>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</si>
  <si>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</si>
  <si>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</si>
  <si>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</si>
  <si>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</si>
  <si>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</si>
  <si>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</si>
  <si>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</si>
  <si>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</si>
  <si>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</si>
  <si>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</si>
  <si>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</si>
  <si>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</si>
  <si>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</si>
  <si>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</si>
  <si>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</si>
  <si>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</si>
  <si>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</si>
  <si>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</si>
  <si>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</si>
  <si>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</si>
  <si>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</si>
  <si>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</si>
  <si>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</si>
  <si>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</si>
  <si>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</si>
  <si>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</si>
  <si>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</si>
  <si>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</si>
  <si>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</si>
  <si>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</si>
  <si>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</si>
  <si>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</si>
  <si>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</si>
  <si>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</si>
  <si>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</si>
  <si>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</si>
  <si>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</si>
  <si>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</si>
  <si>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</si>
  <si>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</si>
  <si>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</si>
  <si>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</si>
  <si>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</si>
  <si>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</si>
  <si>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</si>
  <si>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</si>
  <si>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</si>
  <si>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</si>
  <si>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</si>
  <si>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</si>
  <si>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</si>
  <si>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</si>
  <si>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</si>
  <si>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</si>
  <si>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</si>
  <si>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</si>
  <si>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</si>
  <si>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</si>
  <si>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</si>
  <si>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</si>
  <si>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</si>
  <si>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</si>
  <si>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</si>
  <si>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</si>
  <si>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</si>
  <si>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</si>
  <si>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</si>
  <si>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</si>
  <si>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</si>
  <si>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</si>
  <si>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</si>
  <si>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</si>
  <si>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</si>
  <si>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</si>
  <si>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</si>
  <si>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</si>
  <si>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</si>
  <si>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</si>
  <si>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</si>
  <si>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</si>
  <si>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</si>
  <si>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</si>
  <si>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</si>
  <si>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</si>
  <si>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</si>
  <si>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</si>
  <si>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</si>
  <si>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</si>
  <si>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</si>
  <si>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</si>
  <si>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</si>
  <si>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</si>
  <si>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</si>
  <si>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</si>
  <si>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</si>
  <si>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</si>
  <si>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</si>
  <si>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</si>
  <si>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</si>
  <si>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</si>
  <si>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</si>
  <si>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</si>
  <si>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</si>
  <si>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</si>
  <si>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</si>
  <si>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</si>
  <si>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</si>
  <si>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</si>
  <si>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</si>
  <si>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</si>
  <si>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</si>
  <si>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</si>
  <si>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</si>
  <si>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</si>
  <si>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</si>
  <si>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</si>
  <si>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</si>
  <si>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</si>
  <si>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</si>
  <si>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</si>
  <si>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</si>
  <si>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</si>
  <si>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</si>
  <si>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</si>
  <si>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</si>
  <si>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</si>
  <si>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</si>
  <si>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</si>
  <si>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</si>
  <si>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</si>
  <si>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</si>
  <si>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</si>
  <si>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</si>
  <si>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</si>
  <si>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</si>
  <si>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</si>
  <si>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</si>
  <si>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</si>
  <si>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</si>
  <si>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</si>
  <si>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</si>
  <si>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</si>
  <si>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</si>
  <si>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</si>
  <si>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</si>
  <si>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</si>
  <si>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</si>
  <si>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</si>
  <si>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</si>
  <si>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</si>
  <si>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</si>
  <si>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</si>
  <si>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</si>
  <si>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</si>
  <si>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</si>
  <si>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</si>
  <si>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</si>
  <si>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</si>
  <si>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</si>
  <si>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</si>
  <si>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</si>
  <si>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</si>
  <si>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</si>
  <si>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</si>
  <si>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</si>
  <si>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</si>
  <si>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</si>
  <si>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</si>
  <si>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</si>
  <si>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</si>
  <si>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</si>
  <si>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</si>
  <si>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</si>
  <si>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</si>
  <si>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</si>
  <si>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</si>
  <si>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</si>
  <si>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</si>
  <si>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</si>
  <si>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</si>
  <si>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</si>
  <si>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</si>
  <si>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</si>
  <si>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</si>
  <si>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</si>
  <si>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</si>
  <si>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</si>
  <si>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</si>
  <si>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</si>
  <si>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</si>
  <si>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</si>
  <si>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</si>
  <si>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</si>
  <si>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</si>
  <si>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</si>
  <si>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</si>
  <si>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</si>
  <si>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</si>
  <si>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</si>
  <si>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</si>
  <si>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</si>
  <si>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</si>
  <si>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</si>
  <si>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</si>
  <si>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</si>
  <si>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</si>
  <si>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</si>
  <si>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</si>
  <si>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</si>
  <si>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</si>
  <si>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</si>
  <si>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</si>
  <si>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</si>
  <si>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</si>
  <si>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</si>
  <si>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</si>
  <si>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</si>
  <si>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</si>
  <si>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</si>
  <si>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</si>
  <si>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</si>
  <si>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</si>
  <si>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</si>
  <si>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</si>
  <si>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</si>
  <si>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</si>
  <si>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</si>
  <si>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</si>
  <si>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</si>
  <si>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</si>
  <si>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</si>
  <si>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</si>
  <si>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</si>
  <si>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</si>
  <si>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</si>
  <si>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</si>
  <si>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</si>
  <si>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</si>
  <si>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</si>
  <si>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</si>
  <si>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</si>
  <si>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</si>
  <si>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</si>
  <si>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</si>
  <si>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</si>
  <si>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</si>
  <si>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</si>
  <si>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</si>
  <si>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</si>
  <si>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</si>
  <si>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</si>
  <si>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</si>
  <si>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</si>
  <si>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</si>
  <si>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</si>
  <si>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</si>
  <si>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</si>
  <si>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</si>
  <si>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</si>
  <si>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</si>
  <si>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</si>
  <si>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</si>
  <si>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</si>
  <si>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</si>
  <si>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</si>
  <si>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</si>
  <si>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</si>
  <si>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</si>
  <si>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</si>
  <si>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</si>
  <si>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</si>
  <si>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</si>
  <si>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</si>
  <si>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</si>
  <si>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</si>
  <si>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</si>
  <si>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</si>
  <si>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</si>
  <si>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</si>
  <si>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</si>
  <si>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</si>
  <si>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</si>
  <si>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</si>
  <si>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</si>
  <si>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</si>
  <si>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</si>
  <si>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</si>
  <si>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</si>
  <si>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</si>
  <si>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</si>
  <si>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</si>
  <si>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</si>
  <si>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</si>
  <si>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</si>
  <si>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</si>
  <si>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</si>
  <si>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</si>
  <si>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</si>
  <si>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</si>
  <si>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</si>
  <si>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</si>
  <si>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</si>
  <si>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</si>
  <si>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</si>
  <si>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</si>
  <si>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</si>
  <si>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</si>
  <si>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</si>
  <si>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</si>
  <si>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</si>
  <si>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</si>
  <si>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</si>
  <si>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</si>
  <si>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</si>
  <si>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</si>
  <si>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</si>
  <si>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</si>
  <si>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</si>
  <si>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</si>
  <si>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</si>
  <si>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</si>
  <si>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</si>
  <si>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</si>
  <si>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</si>
  <si>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</si>
  <si>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</si>
  <si>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</si>
  <si>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</si>
  <si>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</si>
  <si>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</si>
  <si>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</si>
  <si>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</si>
  <si>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</si>
  <si>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</si>
  <si>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</si>
  <si>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</si>
  <si>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</si>
  <si>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</si>
  <si>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</si>
  <si>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</si>
  <si>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</si>
  <si>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</si>
  <si>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</si>
  <si>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</si>
  <si>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</si>
  <si>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</si>
  <si>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</si>
  <si>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</si>
  <si>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</si>
  <si>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</si>
  <si>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</si>
  <si>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</si>
  <si>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</si>
  <si>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</si>
  <si>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</si>
  <si>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</si>
  <si>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</si>
  <si>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</si>
  <si>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</si>
  <si>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</si>
  <si>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</si>
  <si>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</si>
  <si>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</si>
  <si>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</si>
  <si>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</si>
  <si>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</si>
  <si>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</si>
  <si>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</si>
  <si>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</si>
  <si>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</si>
  <si>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</si>
  <si>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</si>
  <si>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</si>
  <si>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</si>
  <si>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</si>
  <si>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</si>
  <si>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</si>
  <si>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</si>
  <si>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</si>
  <si>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</si>
  <si>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</si>
  <si>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</si>
  <si>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</si>
  <si>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</si>
  <si>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</si>
  <si>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</si>
  <si>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</si>
  <si>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</si>
  <si>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</si>
  <si>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</si>
  <si>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</si>
  <si>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</si>
  <si>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</si>
  <si>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</si>
  <si>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</si>
  <si>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</si>
  <si>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</si>
  <si>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</si>
  <si>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</si>
  <si>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</si>
  <si>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</si>
  <si>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</si>
  <si>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</si>
  <si>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</si>
  <si>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</si>
  <si>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</si>
  <si>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</si>
  <si>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</si>
  <si>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</si>
  <si>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</si>
  <si>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</si>
  <si>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</si>
  <si>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</si>
  <si>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</si>
  <si>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</si>
  <si>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</si>
  <si>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</si>
  <si>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</si>
  <si>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</si>
  <si>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</si>
  <si>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</si>
  <si>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</si>
  <si>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</si>
  <si>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</si>
  <si>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</si>
  <si>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</si>
  <si>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</si>
  <si>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</si>
  <si>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</si>
  <si>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</si>
  <si>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</si>
  <si>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</si>
  <si>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</si>
  <si>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</si>
  <si>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</si>
  <si>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</si>
  <si>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</si>
  <si>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</si>
  <si>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</si>
  <si>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</si>
  <si>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</si>
  <si>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</si>
  <si>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</si>
  <si>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</si>
  <si>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</si>
  <si>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</si>
  <si>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</si>
  <si>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</si>
  <si>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</si>
  <si>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</si>
  <si>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</si>
  <si>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</si>
  <si>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</si>
  <si>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</si>
  <si>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</si>
  <si>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</si>
  <si>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</si>
  <si>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</si>
  <si>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</si>
  <si>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</si>
  <si>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</si>
  <si>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</si>
  <si>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</si>
  <si>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</si>
  <si>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</si>
  <si>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</si>
  <si>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</si>
  <si>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</si>
  <si>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</si>
  <si>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</si>
  <si>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</si>
  <si>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</si>
  <si>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</si>
  <si>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</si>
  <si>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</si>
  <si>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</si>
  <si>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</si>
  <si>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</si>
  <si>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</si>
  <si>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</si>
  <si>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</si>
  <si>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</si>
  <si>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</si>
  <si>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</si>
  <si>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</si>
  <si>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</si>
  <si>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</si>
  <si>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</si>
  <si>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</si>
  <si>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</si>
  <si>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</si>
  <si>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</si>
  <si>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</si>
  <si>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</si>
  <si>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</si>
  <si>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</si>
  <si>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</si>
  <si>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</si>
  <si>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</si>
  <si>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</si>
  <si>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</si>
  <si>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</si>
  <si>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</si>
  <si>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</si>
  <si>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</si>
  <si>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</si>
  <si>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</si>
  <si>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</si>
  <si>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</si>
  <si>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</si>
  <si>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</si>
  <si>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</si>
  <si>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</si>
  <si>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</si>
  <si>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</si>
  <si>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</si>
  <si>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</si>
  <si>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</si>
  <si>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</si>
  <si>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</si>
  <si>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</si>
  <si>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</si>
  <si>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</si>
  <si>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</si>
  <si>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</si>
  <si>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</si>
  <si>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</si>
  <si>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</si>
  <si>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</si>
  <si>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</si>
  <si>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</si>
  <si>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</si>
  <si>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</si>
  <si>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</si>
  <si>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</si>
  <si>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</si>
  <si>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</si>
  <si>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</si>
  <si>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</si>
  <si>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</si>
  <si>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</si>
  <si>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</si>
  <si>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</si>
  <si>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</si>
  <si>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</si>
  <si>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</si>
  <si>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</si>
  <si>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</si>
  <si>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</si>
  <si>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</si>
  <si>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</si>
  <si>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</si>
  <si>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</si>
  <si>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</si>
  <si>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</si>
  <si>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</si>
  <si>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</si>
  <si>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</si>
  <si>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</si>
  <si>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</si>
  <si>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</si>
  <si>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</si>
  <si>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</si>
  <si>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</si>
  <si>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</si>
  <si>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</si>
  <si>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</si>
  <si>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</si>
  <si>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</si>
  <si>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</si>
  <si>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</si>
  <si>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</si>
  <si>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</si>
  <si>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</si>
  <si>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Sepatu Kabel AL/CU Ring-70 mm²</t>
  </si>
  <si>
    <t>CJ5-T</t>
  </si>
  <si>
    <t>C12-200</t>
  </si>
  <si>
    <t>CG105</t>
  </si>
  <si>
    <t>B2</t>
  </si>
  <si>
    <t>MJ6-T</t>
  </si>
  <si>
    <t>Trafo 3 Fasa 50 KVA 1 Tiang (G312-A)</t>
  </si>
  <si>
    <t>NFA2X-T 3 x 70 + N 50 mm²</t>
  </si>
  <si>
    <t>KOORDINAT : -6.944725, 110.489730</t>
  </si>
  <si>
    <t>Daya 16.500 VA</t>
  </si>
  <si>
    <t>P12C-2</t>
  </si>
  <si>
    <t>Pemasangan APP 3 Fasa Di Bangunan</t>
  </si>
  <si>
    <t>PERUM PRP SRIWULAN, SAYUNG</t>
  </si>
  <si>
    <t>IWANTORO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</si>
</sst>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166" fontId="24" fillId="0" borderId="0" applyFont="0" applyFill="0" applyBorder="0" applyAlignment="0" applyProtection="0"/>
  </cellStyleXfs>
  <cellXfs count="721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43" fontId="144" fillId="40" borderId="85" xfId="2672" applyFont="1" applyFill="1" applyBorder="1" applyAlignment="1" applyProtection="1">
      <alignment horizontal="right" vertical="center" wrapText="1"/>
      <protection locked="0"/>
    </xf>
    <xf numFmtId="43" fontId="144" fillId="40" borderId="87" xfId="2672" applyFont="1" applyFill="1" applyBorder="1" applyAlignment="1" applyProtection="1">
      <alignment horizontal="right" vertical="center"/>
      <protection locked="0"/>
    </xf>
    <xf numFmtId="168" fontId="144" fillId="40" borderId="87" xfId="2672" applyNumberFormat="1" applyFont="1" applyFill="1" applyBorder="1" applyAlignment="1" applyProtection="1">
      <alignment horizontal="right" vertical="center"/>
      <protection locked="0"/>
    </xf>
    <xf numFmtId="168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9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9" fillId="35" borderId="3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7" fontId="123" fillId="0" borderId="73" xfId="1450" applyNumberFormat="1" applyFont="1" applyBorder="1" applyAlignment="1">
      <alignment horizontal="left" vertical="center"/>
    </xf>
    <xf numFmtId="207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5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6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125</xdr:row>
      <xdr:rowOff>81642</xdr:rowOff>
    </xdr:from>
    <xdr:to>
      <xdr:col>12</xdr:col>
      <xdr:colOff>41108</xdr:colOff>
      <xdr:row>128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82550</xdr:colOff>
      <xdr:row>43</xdr:row>
      <xdr:rowOff>32844</xdr:rowOff>
    </xdr:from>
    <xdr:to>
      <xdr:col>9</xdr:col>
      <xdr:colOff>124541</xdr:colOff>
      <xdr:row>54</xdr:row>
      <xdr:rowOff>114980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D1A143-79AC-625C-1CCF-E5795BC5F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19" y="6588672"/>
          <a:ext cx="2820663" cy="1868894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18</xdr:row>
      <xdr:rowOff>142875</xdr:rowOff>
    </xdr:from>
    <xdr:to>
      <xdr:col>18</xdr:col>
      <xdr:colOff>333375</xdr:colOff>
      <xdr:row>42</xdr:row>
      <xdr:rowOff>9525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1819275" y="2914650"/>
          <a:ext cx="4914900" cy="353377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43132</xdr:colOff>
      <xdr:row>29</xdr:row>
      <xdr:rowOff>50190</xdr:rowOff>
    </xdr:from>
    <xdr:to>
      <xdr:col>11</xdr:col>
      <xdr:colOff>128032</xdr:colOff>
      <xdr:row>30</xdr:row>
      <xdr:rowOff>8092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780873" y="4471104"/>
          <a:ext cx="84900" cy="10241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195701</xdr:colOff>
      <xdr:row>20</xdr:row>
      <xdr:rowOff>62725</xdr:rowOff>
    </xdr:from>
    <xdr:to>
      <xdr:col>5</xdr:col>
      <xdr:colOff>327139</xdr:colOff>
      <xdr:row>26</xdr:row>
      <xdr:rowOff>52324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18301414">
          <a:off x="1086598" y="3280002"/>
          <a:ext cx="884121" cy="51243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IWANTORO</a:t>
          </a:r>
        </a:p>
      </xdr:txBody>
    </xdr:sp>
    <xdr:clientData/>
  </xdr:twoCellAnchor>
  <xdr:twoCellAnchor>
    <xdr:from>
      <xdr:col>15</xdr:col>
      <xdr:colOff>323850</xdr:colOff>
      <xdr:row>35</xdr:row>
      <xdr:rowOff>47625</xdr:rowOff>
    </xdr:from>
    <xdr:to>
      <xdr:col>16</xdr:col>
      <xdr:colOff>31216</xdr:colOff>
      <xdr:row>35</xdr:row>
      <xdr:rowOff>141764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5585591" y="5368487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190500</xdr:colOff>
      <xdr:row>31</xdr:row>
      <xdr:rowOff>28575</xdr:rowOff>
    </xdr:from>
    <xdr:to>
      <xdr:col>13</xdr:col>
      <xdr:colOff>278866</xdr:colOff>
      <xdr:row>31</xdr:row>
      <xdr:rowOff>122714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B9CD3CD-7EFD-4296-9BF5-49577FDBEE42}"/>
            </a:ext>
          </a:extLst>
        </xdr:cNvPr>
        <xdr:cNvGrpSpPr/>
      </xdr:nvGrpSpPr>
      <xdr:grpSpPr>
        <a:xfrm>
          <a:off x="4690241" y="4745092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59ACDEDF-2813-FDD1-67B9-C7EF0AE40F5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7A9E697-A722-08E6-57EA-D35DA7A8CD6A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9AB5597-E0AD-5D1B-8EAB-2C6C2593FFBD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104775</xdr:colOff>
      <xdr:row>29</xdr:row>
      <xdr:rowOff>95250</xdr:rowOff>
    </xdr:from>
    <xdr:to>
      <xdr:col>15</xdr:col>
      <xdr:colOff>193141</xdr:colOff>
      <xdr:row>30</xdr:row>
      <xdr:rowOff>46514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8DF4D5D-E6E1-49FA-AF6B-D3E63B0AE466}"/>
            </a:ext>
          </a:extLst>
        </xdr:cNvPr>
        <xdr:cNvGrpSpPr/>
      </xdr:nvGrpSpPr>
      <xdr:grpSpPr>
        <a:xfrm>
          <a:off x="5366516" y="4516164"/>
          <a:ext cx="88366" cy="957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6ED4ABC-E282-9BF0-CF9B-71DC8E9C7D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597CF762-A10A-3D71-8379-16980DF3868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34FBC1D4-081F-73C0-70E7-9F400A3782AD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180200</xdr:colOff>
      <xdr:row>26</xdr:row>
      <xdr:rowOff>39127</xdr:rowOff>
    </xdr:from>
    <xdr:to>
      <xdr:col>16</xdr:col>
      <xdr:colOff>323695</xdr:colOff>
      <xdr:row>29</xdr:row>
      <xdr:rowOff>109036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>
          <a:stCxn id="13" idx="7"/>
          <a:endCxn id="4" idx="3"/>
        </xdr:cNvCxnSpPr>
      </xdr:nvCxnSpPr>
      <xdr:spPr>
        <a:xfrm flipV="1">
          <a:off x="5438000" y="4030102"/>
          <a:ext cx="524495" cy="527109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314325</xdr:colOff>
      <xdr:row>41</xdr:row>
      <xdr:rowOff>117199</xdr:rowOff>
    </xdr:from>
    <xdr:to>
      <xdr:col>17</xdr:col>
      <xdr:colOff>21691</xdr:colOff>
      <xdr:row>42</xdr:row>
      <xdr:rowOff>62251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7DA613D0-B7F0-429B-913F-B3ABF5470270}"/>
            </a:ext>
          </a:extLst>
        </xdr:cNvPr>
        <xdr:cNvGrpSpPr/>
      </xdr:nvGrpSpPr>
      <xdr:grpSpPr>
        <a:xfrm>
          <a:off x="5957066" y="6370854"/>
          <a:ext cx="88366" cy="961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A1F2CB0C-8296-3D94-1BC2-EE7568D512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60BEF747-7593-8736-4924-7D6955DB90EC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F34AA78-AEC9-78AC-F185-A94B30378B20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310754</xdr:colOff>
      <xdr:row>25</xdr:row>
      <xdr:rowOff>108347</xdr:rowOff>
    </xdr:from>
    <xdr:to>
      <xdr:col>17</xdr:col>
      <xdr:colOff>18120</xdr:colOff>
      <xdr:row>26</xdr:row>
      <xdr:rowOff>53399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31BE67C-E160-4C35-BC4B-E39A909EC9B3}"/>
            </a:ext>
          </a:extLst>
        </xdr:cNvPr>
        <xdr:cNvGrpSpPr/>
      </xdr:nvGrpSpPr>
      <xdr:grpSpPr>
        <a:xfrm>
          <a:off x="5953495" y="3924916"/>
          <a:ext cx="88366" cy="961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2635474F-EC9B-82F6-5EF4-27E5F17FE18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4564C70-4018-FF20-E66D-30766C91F5BC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BA376B8A-6654-0CBC-A8CC-7F606477C6F3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8750</xdr:colOff>
      <xdr:row>42</xdr:row>
      <xdr:rowOff>47979</xdr:rowOff>
    </xdr:from>
    <xdr:to>
      <xdr:col>17</xdr:col>
      <xdr:colOff>266700</xdr:colOff>
      <xdr:row>43</xdr:row>
      <xdr:rowOff>142875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683183A-7082-4462-9165-0A4C1965043C}"/>
            </a:ext>
          </a:extLst>
        </xdr:cNvPr>
        <xdr:cNvCxnSpPr>
          <a:endCxn id="73" idx="5"/>
        </xdr:cNvCxnSpPr>
      </xdr:nvCxnSpPr>
      <xdr:spPr>
        <a:xfrm flipH="1" flipV="1">
          <a:off x="6028550" y="6486879"/>
          <a:ext cx="257950" cy="24729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304504</xdr:colOff>
      <xdr:row>18</xdr:row>
      <xdr:rowOff>59234</xdr:rowOff>
    </xdr:from>
    <xdr:to>
      <xdr:col>20</xdr:col>
      <xdr:colOff>89000</xdr:colOff>
      <xdr:row>22</xdr:row>
      <xdr:rowOff>125314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E3D9B1A-657D-4E17-B8AD-0404506C152A}"/>
            </a:ext>
          </a:extLst>
        </xdr:cNvPr>
        <xdr:cNvSpPr/>
      </xdr:nvSpPr>
      <xdr:spPr>
        <a:xfrm rot="18779820">
          <a:off x="6640712" y="2895601"/>
          <a:ext cx="675680" cy="546496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INDOMART</a:t>
          </a:r>
        </a:p>
      </xdr:txBody>
    </xdr:sp>
    <xdr:clientData/>
  </xdr:twoCellAnchor>
  <xdr:twoCellAnchor>
    <xdr:from>
      <xdr:col>6</xdr:col>
      <xdr:colOff>325987</xdr:colOff>
      <xdr:row>21</xdr:row>
      <xdr:rowOff>147790</xdr:rowOff>
    </xdr:from>
    <xdr:to>
      <xdr:col>11</xdr:col>
      <xdr:colOff>55565</xdr:colOff>
      <xdr:row>29</xdr:row>
      <xdr:rowOff>64645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DBE12C3-A04C-4E20-B301-C8FDA3805139}"/>
            </a:ext>
          </a:extLst>
        </xdr:cNvPr>
        <xdr:cNvCxnSpPr>
          <a:stCxn id="66" idx="1"/>
          <a:endCxn id="85" idx="6"/>
        </xdr:cNvCxnSpPr>
      </xdr:nvCxnSpPr>
      <xdr:spPr>
        <a:xfrm flipH="1" flipV="1">
          <a:off x="2164726" y="3328312"/>
          <a:ext cx="1634578" cy="11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360562</xdr:colOff>
      <xdr:row>30</xdr:row>
      <xdr:rowOff>31236</xdr:rowOff>
    </xdr:from>
    <xdr:to>
      <xdr:col>12</xdr:col>
      <xdr:colOff>314580</xdr:colOff>
      <xdr:row>31</xdr:row>
      <xdr:rowOff>73430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6107ED2-BF09-4054-89B4-1F0A21E21AA2}"/>
            </a:ext>
          </a:extLst>
        </xdr:cNvPr>
        <xdr:cNvSpPr/>
      </xdr:nvSpPr>
      <xdr:spPr>
        <a:xfrm rot="413783">
          <a:off x="4097293" y="4661851"/>
          <a:ext cx="335018" cy="19606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7</xdr:col>
      <xdr:colOff>234881</xdr:colOff>
      <xdr:row>23</xdr:row>
      <xdr:rowOff>67621</xdr:rowOff>
    </xdr:from>
    <xdr:to>
      <xdr:col>8</xdr:col>
      <xdr:colOff>188899</xdr:colOff>
      <xdr:row>24</xdr:row>
      <xdr:rowOff>109816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49B22BED-CBBE-4A74-94C0-FD59266A1A73}"/>
            </a:ext>
          </a:extLst>
        </xdr:cNvPr>
        <xdr:cNvSpPr/>
      </xdr:nvSpPr>
      <xdr:spPr>
        <a:xfrm rot="2398845">
          <a:off x="2454620" y="3546317"/>
          <a:ext cx="335018" cy="19128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16</xdr:col>
      <xdr:colOff>57150</xdr:colOff>
      <xdr:row>39</xdr:row>
      <xdr:rowOff>28575</xdr:rowOff>
    </xdr:from>
    <xdr:to>
      <xdr:col>16</xdr:col>
      <xdr:colOff>371475</xdr:colOff>
      <xdr:row>42</xdr:row>
      <xdr:rowOff>76200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E29A1557-80B6-4D76-BBFB-3418539399D4}"/>
            </a:ext>
          </a:extLst>
        </xdr:cNvPr>
        <xdr:cNvCxnSpPr>
          <a:cxnSpLocks/>
        </xdr:cNvCxnSpPr>
      </xdr:nvCxnSpPr>
      <xdr:spPr>
        <a:xfrm flipV="1">
          <a:off x="5695950" y="6010275"/>
          <a:ext cx="314325" cy="5048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41</xdr:row>
      <xdr:rowOff>95250</xdr:rowOff>
    </xdr:from>
    <xdr:to>
      <xdr:col>18</xdr:col>
      <xdr:colOff>47625</xdr:colOff>
      <xdr:row>47</xdr:row>
      <xdr:rowOff>104775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DDA76E3-D477-47E4-8CFC-4C0B05CBFF05}"/>
            </a:ext>
          </a:extLst>
        </xdr:cNvPr>
        <xdr:cNvCxnSpPr>
          <a:cxnSpLocks/>
        </xdr:cNvCxnSpPr>
      </xdr:nvCxnSpPr>
      <xdr:spPr>
        <a:xfrm>
          <a:off x="5695950" y="6381750"/>
          <a:ext cx="752475" cy="9239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37</xdr:row>
      <xdr:rowOff>133350</xdr:rowOff>
    </xdr:from>
    <xdr:to>
      <xdr:col>16</xdr:col>
      <xdr:colOff>114300</xdr:colOff>
      <xdr:row>41</xdr:row>
      <xdr:rowOff>114300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28D01578-FDB8-4CC6-A248-97FDF8148950}"/>
            </a:ext>
          </a:extLst>
        </xdr:cNvPr>
        <xdr:cNvCxnSpPr>
          <a:cxnSpLocks/>
        </xdr:cNvCxnSpPr>
      </xdr:nvCxnSpPr>
      <xdr:spPr>
        <a:xfrm>
          <a:off x="3962400" y="5800725"/>
          <a:ext cx="1790700" cy="60007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26</xdr:row>
      <xdr:rowOff>9525</xdr:rowOff>
    </xdr:from>
    <xdr:to>
      <xdr:col>18</xdr:col>
      <xdr:colOff>295275</xdr:colOff>
      <xdr:row>35</xdr:row>
      <xdr:rowOff>114300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B8F3859B-9560-4D2F-90E1-7A8F5101F90D}"/>
            </a:ext>
          </a:extLst>
        </xdr:cNvPr>
        <xdr:cNvCxnSpPr>
          <a:cxnSpLocks/>
        </xdr:cNvCxnSpPr>
      </xdr:nvCxnSpPr>
      <xdr:spPr>
        <a:xfrm flipV="1">
          <a:off x="5410200" y="4000500"/>
          <a:ext cx="1285875" cy="146685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17</xdr:row>
      <xdr:rowOff>19050</xdr:rowOff>
    </xdr:from>
    <xdr:to>
      <xdr:col>19</xdr:col>
      <xdr:colOff>104775</xdr:colOff>
      <xdr:row>33</xdr:row>
      <xdr:rowOff>38100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74C9255-1AE7-47B6-A81F-A52B3A26826D}"/>
            </a:ext>
          </a:extLst>
        </xdr:cNvPr>
        <xdr:cNvCxnSpPr>
          <a:cxnSpLocks/>
        </xdr:cNvCxnSpPr>
      </xdr:nvCxnSpPr>
      <xdr:spPr>
        <a:xfrm flipV="1">
          <a:off x="4752975" y="2638425"/>
          <a:ext cx="2133600" cy="24479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33607</xdr:colOff>
      <xdr:row>25</xdr:row>
      <xdr:rowOff>69240</xdr:rowOff>
    </xdr:from>
    <xdr:to>
      <xdr:col>9</xdr:col>
      <xdr:colOff>118507</xdr:colOff>
      <xdr:row>26</xdr:row>
      <xdr:rowOff>17617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A0660AAE-F316-43EA-AA0E-4BEE7DB72439}"/>
            </a:ext>
          </a:extLst>
        </xdr:cNvPr>
        <xdr:cNvGrpSpPr/>
      </xdr:nvGrpSpPr>
      <xdr:grpSpPr>
        <a:xfrm>
          <a:off x="3009348" y="3885809"/>
          <a:ext cx="84900" cy="994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E1B39F67-14A2-AD06-6232-71ACC79C612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42B13EA9-C9AF-ECB8-37B8-EFCF983CFCDA}"/>
              </a:ext>
            </a:extLst>
          </xdr:cNvPr>
          <xdr:cNvCxnSpPr>
            <a:stCxn id="78" idx="1"/>
            <a:endCxn id="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81CBF7E8-B159-3C2E-7A2D-072488B76F32}"/>
              </a:ext>
            </a:extLst>
          </xdr:cNvPr>
          <xdr:cNvCxnSpPr>
            <a:stCxn id="78" idx="3"/>
            <a:endCxn id="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241087</xdr:colOff>
      <xdr:row>21</xdr:row>
      <xdr:rowOff>97401</xdr:rowOff>
    </xdr:from>
    <xdr:to>
      <xdr:col>6</xdr:col>
      <xdr:colOff>325987</xdr:colOff>
      <xdr:row>22</xdr:row>
      <xdr:rowOff>49091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66CA90A9-9CCE-41FD-A034-108AAAE2E0DD}"/>
            </a:ext>
          </a:extLst>
        </xdr:cNvPr>
        <xdr:cNvGrpSpPr/>
      </xdr:nvGrpSpPr>
      <xdr:grpSpPr>
        <a:xfrm>
          <a:off x="2073828" y="3309625"/>
          <a:ext cx="84900" cy="1027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64EA00CA-87D0-2AAD-84B3-CD9BD205F7E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103AD3E-2AE9-9ABB-2AFB-E379EA59EAE3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AE57ADC-0D68-D32A-B2E0-118897786B39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115599</xdr:colOff>
      <xdr:row>29</xdr:row>
      <xdr:rowOff>136209</xdr:rowOff>
    </xdr:from>
    <xdr:to>
      <xdr:col>13</xdr:col>
      <xdr:colOff>203441</xdr:colOff>
      <xdr:row>31</xdr:row>
      <xdr:rowOff>108928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57D8BE0B-9C35-4BEE-9AA8-0913B2E611DB}"/>
            </a:ext>
          </a:extLst>
        </xdr:cNvPr>
        <xdr:cNvCxnSpPr>
          <a:stCxn id="6" idx="3"/>
          <a:endCxn id="66" idx="5"/>
        </xdr:cNvCxnSpPr>
      </xdr:nvCxnSpPr>
      <xdr:spPr>
        <a:xfrm flipH="1" flipV="1">
          <a:off x="3849399" y="4584384"/>
          <a:ext cx="849842" cy="2679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278866</xdr:colOff>
      <xdr:row>30</xdr:row>
      <xdr:rowOff>32728</xdr:rowOff>
    </xdr:from>
    <xdr:to>
      <xdr:col>15</xdr:col>
      <xdr:colOff>117716</xdr:colOff>
      <xdr:row>31</xdr:row>
      <xdr:rowOff>75645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13" idx="3"/>
          <a:endCxn id="6" idx="6"/>
        </xdr:cNvCxnSpPr>
      </xdr:nvCxnSpPr>
      <xdr:spPr>
        <a:xfrm flipH="1">
          <a:off x="4774666" y="4623778"/>
          <a:ext cx="600850" cy="19531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278866</xdr:colOff>
      <xdr:row>31</xdr:row>
      <xdr:rowOff>75645</xdr:rowOff>
    </xdr:from>
    <xdr:to>
      <xdr:col>15</xdr:col>
      <xdr:colOff>368033</xdr:colOff>
      <xdr:row>35</xdr:row>
      <xdr:rowOff>47625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34D343A-8282-4167-BDF3-FF8AF0D3E997}"/>
            </a:ext>
          </a:extLst>
        </xdr:cNvPr>
        <xdr:cNvCxnSpPr>
          <a:stCxn id="12" idx="0"/>
          <a:endCxn id="6" idx="6"/>
        </xdr:cNvCxnSpPr>
      </xdr:nvCxnSpPr>
      <xdr:spPr>
        <a:xfrm flipH="1" flipV="1">
          <a:off x="4778607" y="4792162"/>
          <a:ext cx="851167" cy="5763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368033</xdr:colOff>
      <xdr:row>35</xdr:row>
      <xdr:rowOff>141764</xdr:rowOff>
    </xdr:from>
    <xdr:to>
      <xdr:col>16</xdr:col>
      <xdr:colOff>358508</xdr:colOff>
      <xdr:row>41</xdr:row>
      <xdr:rowOff>117199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F7D7FD-E129-437B-94A6-7FC88BFBEB92}"/>
            </a:ext>
          </a:extLst>
        </xdr:cNvPr>
        <xdr:cNvCxnSpPr>
          <a:stCxn id="73" idx="0"/>
          <a:endCxn id="12" idx="4"/>
        </xdr:cNvCxnSpPr>
      </xdr:nvCxnSpPr>
      <xdr:spPr>
        <a:xfrm flipH="1" flipV="1">
          <a:off x="5625833" y="5494814"/>
          <a:ext cx="371475" cy="90888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342167</xdr:colOff>
      <xdr:row>34</xdr:row>
      <xdr:rowOff>1060</xdr:rowOff>
    </xdr:from>
    <xdr:to>
      <xdr:col>16</xdr:col>
      <xdr:colOff>104042</xdr:colOff>
      <xdr:row>35</xdr:row>
      <xdr:rowOff>1060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5602898" y="5247137"/>
          <a:ext cx="142875" cy="15386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100088</xdr:colOff>
      <xdr:row>35</xdr:row>
      <xdr:rowOff>141841</xdr:rowOff>
    </xdr:from>
    <xdr:to>
      <xdr:col>15</xdr:col>
      <xdr:colOff>291842</xdr:colOff>
      <xdr:row>40</xdr:row>
      <xdr:rowOff>109904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4979819" y="5541783"/>
          <a:ext cx="572754" cy="75204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CC2-A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9</xdr:col>
      <xdr:colOff>244566</xdr:colOff>
      <xdr:row>26</xdr:row>
      <xdr:rowOff>118082</xdr:rowOff>
    </xdr:from>
    <xdr:to>
      <xdr:col>10</xdr:col>
      <xdr:colOff>198584</xdr:colOff>
      <xdr:row>28</xdr:row>
      <xdr:rowOff>6411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8D132547-79A1-41FB-99AC-697089D6ABD5}"/>
            </a:ext>
          </a:extLst>
        </xdr:cNvPr>
        <xdr:cNvSpPr/>
      </xdr:nvSpPr>
      <xdr:spPr>
        <a:xfrm rot="2398845">
          <a:off x="3219297" y="4140563"/>
          <a:ext cx="335018" cy="19606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6</xdr:col>
      <xdr:colOff>66262</xdr:colOff>
      <xdr:row>20</xdr:row>
      <xdr:rowOff>115956</xdr:rowOff>
    </xdr:from>
    <xdr:to>
      <xdr:col>6</xdr:col>
      <xdr:colOff>248479</xdr:colOff>
      <xdr:row>21</xdr:row>
      <xdr:rowOff>119047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7D09F023-723E-4667-AA38-BF6132FC8476}"/>
            </a:ext>
          </a:extLst>
        </xdr:cNvPr>
        <xdr:cNvCxnSpPr/>
      </xdr:nvCxnSpPr>
      <xdr:spPr>
        <a:xfrm flipH="1" flipV="1">
          <a:off x="1905001" y="3147391"/>
          <a:ext cx="182217" cy="152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27</xdr:row>
      <xdr:rowOff>19707</xdr:rowOff>
    </xdr:from>
    <xdr:to>
      <xdr:col>14</xdr:col>
      <xdr:colOff>191754</xdr:colOff>
      <xdr:row>29</xdr:row>
      <xdr:rowOff>105103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EB78DB2-14C5-445A-A456-E4D482EA7B90}"/>
            </a:ext>
          </a:extLst>
        </xdr:cNvPr>
        <xdr:cNvSpPr/>
      </xdr:nvSpPr>
      <xdr:spPr>
        <a:xfrm>
          <a:off x="4499741" y="4138448"/>
          <a:ext cx="572754" cy="38756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CC8-A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10</xdr:col>
      <xdr:colOff>6569</xdr:colOff>
      <xdr:row>30</xdr:row>
      <xdr:rowOff>52553</xdr:rowOff>
    </xdr:from>
    <xdr:to>
      <xdr:col>11</xdr:col>
      <xdr:colOff>198323</xdr:colOff>
      <xdr:row>32</xdr:row>
      <xdr:rowOff>78829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7F2C668-94C0-44B5-A187-771FC505C003}"/>
            </a:ext>
          </a:extLst>
        </xdr:cNvPr>
        <xdr:cNvSpPr/>
      </xdr:nvSpPr>
      <xdr:spPr>
        <a:xfrm>
          <a:off x="3363310" y="4617984"/>
          <a:ext cx="572754" cy="32844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8</xdr:col>
      <xdr:colOff>45983</xdr:colOff>
      <xdr:row>26</xdr:row>
      <xdr:rowOff>144517</xdr:rowOff>
    </xdr:from>
    <xdr:to>
      <xdr:col>9</xdr:col>
      <xdr:colOff>237737</xdr:colOff>
      <xdr:row>29</xdr:row>
      <xdr:rowOff>19706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5B70163A-D279-498D-B549-247CD81EE378}"/>
            </a:ext>
          </a:extLst>
        </xdr:cNvPr>
        <xdr:cNvSpPr/>
      </xdr:nvSpPr>
      <xdr:spPr>
        <a:xfrm>
          <a:off x="2640724" y="4112172"/>
          <a:ext cx="572754" cy="32844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5</xdr:col>
      <xdr:colOff>342900</xdr:colOff>
      <xdr:row>23</xdr:row>
      <xdr:rowOff>73571</xdr:rowOff>
    </xdr:from>
    <xdr:to>
      <xdr:col>7</xdr:col>
      <xdr:colOff>153654</xdr:colOff>
      <xdr:row>27</xdr:row>
      <xdr:rowOff>72259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1BE6406-90B7-4897-8EDC-4D3EA8931CCF}"/>
            </a:ext>
          </a:extLst>
        </xdr:cNvPr>
        <xdr:cNvSpPr/>
      </xdr:nvSpPr>
      <xdr:spPr>
        <a:xfrm>
          <a:off x="1794641" y="3587968"/>
          <a:ext cx="572754" cy="60303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203441</xdr:colOff>
      <xdr:row>31</xdr:row>
      <xdr:rowOff>108928</xdr:rowOff>
    </xdr:from>
    <xdr:to>
      <xdr:col>15</xdr:col>
      <xdr:colOff>336791</xdr:colOff>
      <xdr:row>35</xdr:row>
      <xdr:rowOff>127978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5B9491F7-A814-41FD-A851-D7ACE5E4291D}"/>
            </a:ext>
          </a:extLst>
        </xdr:cNvPr>
        <xdr:cNvCxnSpPr>
          <a:stCxn id="12" idx="3"/>
          <a:endCxn id="6" idx="3"/>
        </xdr:cNvCxnSpPr>
      </xdr:nvCxnSpPr>
      <xdr:spPr>
        <a:xfrm flipH="1" flipV="1">
          <a:off x="4703182" y="4825445"/>
          <a:ext cx="895350" cy="6233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144517</xdr:colOff>
      <xdr:row>33</xdr:row>
      <xdr:rowOff>59120</xdr:rowOff>
    </xdr:from>
    <xdr:to>
      <xdr:col>15</xdr:col>
      <xdr:colOff>98535</xdr:colOff>
      <xdr:row>34</xdr:row>
      <xdr:rowOff>98536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5B430E01-2111-496F-BE92-0102E22E322A}"/>
            </a:ext>
          </a:extLst>
        </xdr:cNvPr>
        <xdr:cNvSpPr/>
      </xdr:nvSpPr>
      <xdr:spPr>
        <a:xfrm rot="2398845">
          <a:off x="5025258" y="5077810"/>
          <a:ext cx="335018" cy="19050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511232</xdr:colOff>
      <xdr:row>9</xdr:row>
      <xdr:rowOff>81644</xdr:rowOff>
    </xdr:from>
    <xdr:to>
      <xdr:col>20</xdr:col>
      <xdr:colOff>108857</xdr:colOff>
      <xdr:row>50</xdr:row>
      <xdr:rowOff>150230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CD07C-D978-DE9A-D9C9-8D8FA4FE3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8161" y="1700894"/>
          <a:ext cx="10007089" cy="6763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1134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1135</v>
      </c>
      <c r="G7" s="530" t="s">
        <v>41</v>
      </c>
      <c r="H7" s="526" t="s">
        <v>1042</v>
      </c>
      <c r="I7" s="526" t="s">
        <v>1137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230</v>
      </c>
      <c r="G18" s="41">
        <f ca="1">IF(ISERROR(OFFSET('HARGA SATUAN'!$I$6,MATCH(C18,'HARGA SATUAN'!$C$7:$C$1492,0),0)),"",OFFSET('HARGA SATUAN'!$I$6,MATCH(C18,'HARGA SATUAN'!$C$7:$C$1492,0),0))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SUMIFS(RAB!$F$14:$F$109,RAB!$C$14:$C$109,C714)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SUMIFS(RAB!$F$14:$F$109,RAB!$C$14:$C$109,C715)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SUMIFS(RAB!$F$14:$F$109,RAB!$C$14:$C$109,C716)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SUMIFS(RAB!$F$14:$F$109,RAB!$C$14:$C$109,C717)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SUMIFS(RAB!$F$14:$F$109,RAB!$C$14:$C$109,C718)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SUMIFS(RAB!$F$14:$F$109,RAB!$C$14:$C$109,C719)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SUMIFS(RAB!$F$14:$F$109,RAB!$C$14:$C$109,C720)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SUMIFS(RAB!$F$14:$F$109,RAB!$C$14:$C$109,C721)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SUMIFS(RAB!$F$14:$F$109,RAB!$C$14:$C$109,C722)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SUMIFS(RAB!$F$14:$F$109,RAB!$C$14:$C$109,C723)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SUMIFS(RAB!$F$14:$F$109,RAB!$C$14:$C$109,C724)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SUMIFS(RAB!$F$14:$F$109,RAB!$C$14:$C$109,C725)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SUMIFS(RAB!$F$14:$F$109,RAB!$C$14:$C$109,C726)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SUMIFS(RAB!$F$14:$F$109,RAB!$C$14:$C$109,C727)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SUMIFS(RAB!$F$14:$F$109,RAB!$C$14:$C$109,C728)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SUMIFS(RAB!$F$14:$F$109,RAB!$C$14:$C$109,C729)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SUMIFS(RAB!$F$14:$F$109,RAB!$C$14:$C$109,C730)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SUMIFS(RAB!$F$14:$F$109,RAB!$C$14:$C$109,C731)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SUMIFS(RAB!$F$14:$F$109,RAB!$C$14:$C$109,C732)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SUMIFS(RAB!$F$14:$F$109,RAB!$C$14:$C$109,C733)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SUMIFS(RAB!$F$14:$F$109,RAB!$C$14:$C$109,C734)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SUMIFS(RAB!$F$14:$F$109,RAB!$C$14:$C$109,C735)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SUMIFS(RAB!$F$14:$F$109,RAB!$C$14:$C$109,C736)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SUMIFS(RAB!$F$14:$F$109,RAB!$C$14:$C$109,C737)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SUMIFS(RAB!$F$14:$F$109,RAB!$C$14:$C$109,C738)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SUMIFS(RAB!$F$14:$F$109,RAB!$C$14:$C$109,C739)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SUMIFS(RAB!$F$14:$F$109,RAB!$C$14:$C$109,C740)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SUMIFS(RAB!$F$14:$F$109,RAB!$C$14:$C$109,C741)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SUMIFS(RAB!$F$14:$F$109,RAB!$C$14:$C$109,C742)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SUMIFS(RAB!$F$14:$F$109,RAB!$C$14:$C$109,C743)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SUMIFS(RAB!$F$14:$F$109,RAB!$C$14:$C$109,C744)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SUMIFS(RAB!$F$14:$F$109,RAB!$C$14:$C$109,C745)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SUMIFS(RAB!$F$14:$F$109,RAB!$C$14:$C$109,C746)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SUMIFS(RAB!$F$14:$F$109,RAB!$C$14:$C$109,C747)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SUMIFS(RAB!$F$14:$F$109,RAB!$C$14:$C$109,C748)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SUMIFS(RAB!$F$14:$F$109,RAB!$C$14:$C$109,C749)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SUMIFS(RAB!$F$14:$F$109,RAB!$C$14:$C$109,C750)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SUMIFS(RAB!$F$14:$F$109,RAB!$C$14:$C$109,C751)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SUMIFS(RAB!$F$14:$F$109,RAB!$C$14:$C$109,C752)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SUMIFS(RAB!$F$14:$F$109,RAB!$C$14:$C$109,C753)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SUMIFS(RAB!$F$14:$F$109,RAB!$C$14:$C$109,C754)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SUMIFS(RAB!$F$14:$F$109,RAB!$C$14:$C$109,C755)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SUMIFS(RAB!$F$14:$F$109,RAB!$C$14:$C$109,C756)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SUMIFS(RAB!$F$14:$F$109,RAB!$C$14:$C$109,C757)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SUMIFS(RAB!$F$14:$F$109,RAB!$C$14:$C$109,C758)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SUMIFS(RAB!$F$14:$F$109,RAB!$C$14:$C$109,C759)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SUMIFS(RAB!$F$14:$F$109,RAB!$C$14:$C$109,C760)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SUMIFS(RAB!$F$14:$F$109,RAB!$C$14:$C$109,C761)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SUMIFS(RAB!$F$14:$F$109,RAB!$C$14:$C$109,C762)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SUMIFS(RAB!$F$14:$F$109,RAB!$C$14:$C$109,C763)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SUMIFS(RAB!$F$14:$F$109,RAB!$C$14:$C$109,C764)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SUMIFS(RAB!$F$14:$F$109,RAB!$C$14:$C$109,C765)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SUMIFS(RAB!$F$14:$F$109,RAB!$C$14:$C$109,C766)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SUMIFS(RAB!$F$14:$F$109,RAB!$C$14:$C$109,C767)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SUMIFS(RAB!$F$14:$F$109,RAB!$C$14:$C$109,C768)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SUMIFS(RAB!$F$14:$F$109,RAB!$C$14:$C$109,C769)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SUMIFS(RAB!$F$14:$F$109,RAB!$C$14:$C$109,C770)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SUMIFS(RAB!$F$14:$F$109,RAB!$C$14:$C$109,C771)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SUMIFS(RAB!$F$14:$F$109,RAB!$C$14:$C$109,C772)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SUMIFS(RAB!$F$14:$F$109,RAB!$C$14:$C$109,C773)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SUMIFS(RAB!$F$14:$F$109,RAB!$C$14:$C$109,C774)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SUMIFS(RAB!$F$14:$F$109,RAB!$C$14:$C$109,C775)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SUMIFS(RAB!$F$14:$F$109,RAB!$C$14:$C$109,C776)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SUMIFS(RAB!$F$14:$F$109,RAB!$C$14:$C$109,C777)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SUMIFS(RAB!$F$14:$F$109,RAB!$C$14:$C$109,C778)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SUMIFS(RAB!$F$14:$F$109,RAB!$C$14:$C$109,C779)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SUMIFS(RAB!$F$14:$F$109,RAB!$C$14:$C$109,C780)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SUMIFS(RAB!$F$14:$F$109,RAB!$C$14:$C$109,C781)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SUMIFS(RAB!$F$14:$F$109,RAB!$C$14:$C$109,C782)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SUMIFS(RAB!$F$14:$F$109,RAB!$C$14:$C$109,C783)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SUMIFS(RAB!$F$14:$F$109,RAB!$C$14:$C$109,C784)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SUMIFS(RAB!$F$14:$F$109,RAB!$C$14:$C$109,C785)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SUMIFS(RAB!$F$14:$F$109,RAB!$C$14:$C$109,C786)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SUMIFS(RAB!$F$14:$F$109,RAB!$C$14:$C$109,C787)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SUMIFS(RAB!$F$14:$F$109,RAB!$C$14:$C$109,C788)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SUMIFS(RAB!$F$14:$F$109,RAB!$C$14:$C$109,C789)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SUMIFS(RAB!$F$14:$F$109,RAB!$C$14:$C$109,C790)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SUMIFS(RAB!$F$14:$F$109,RAB!$C$14:$C$109,C791)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SUMIFS(RAB!$F$14:$F$109,RAB!$C$14:$C$109,C792)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SUMIFS(RAB!$F$14:$F$109,RAB!$C$14:$C$109,C793)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SUMIFS(RAB!$F$14:$F$109,RAB!$C$14:$C$109,C794)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SUMIFS(RAB!$F$14:$F$109,RAB!$C$14:$C$109,C795)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SUMIFS(RAB!$F$14:$F$109,RAB!$C$14:$C$109,C796)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SUMIFS(RAB!$F$14:$F$109,RAB!$C$14:$C$109,C797)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SUMIFS(RAB!$F$14:$F$109,RAB!$C$14:$C$109,C798)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SUMIFS(RAB!$F$14:$F$109,RAB!$C$14:$C$109,C799)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SUMIFS(RAB!$F$14:$F$109,RAB!$C$14:$C$109,C800)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SUMIFS(RAB!$F$14:$F$109,RAB!$C$14:$C$109,C801)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SUMIFS(RAB!$F$14:$F$109,RAB!$C$14:$C$109,C802)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SUMIFS(RAB!$F$14:$F$109,RAB!$C$14:$C$109,C803)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SUMIFS(RAB!$F$14:$F$109,RAB!$C$14:$C$109,C804)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SUMIFS(RAB!$F$14:$F$109,RAB!$C$14:$C$109,C805)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SUMIFS(RAB!$F$14:$F$109,RAB!$C$14:$C$109,C806)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SUMIFS(RAB!$F$14:$F$109,RAB!$C$14:$C$109,C807)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SUMIFS(RAB!$F$14:$F$109,RAB!$C$14:$C$109,C808)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SUMIFS(RAB!$F$14:$F$109,RAB!$C$14:$C$109,C809)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SUMIFS(RAB!$F$14:$F$109,RAB!$C$14:$C$109,C810)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SUMIFS(RAB!$F$14:$F$109,RAB!$C$14:$C$109,C811)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SUMIFS(RAB!$F$14:$F$109,RAB!$C$14:$C$109,C812)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SUMIFS(RAB!$F$14:$F$109,RAB!$C$14:$C$109,C813)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SUMIFS(RAB!$F$14:$F$109,RAB!$C$14:$C$109,C814)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SUMIFS(RAB!$F$14:$F$109,RAB!$C$14:$C$109,C815)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SUMIFS(RAB!$F$14:$F$109,RAB!$C$14:$C$109,C816)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SUMIFS(RAB!$F$14:$F$109,RAB!$C$14:$C$109,C817)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SUMIFS(RAB!$F$14:$F$109,RAB!$C$14:$C$109,C818)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SUMIFS(RAB!$F$14:$F$109,RAB!$C$14:$C$109,C819)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SUMIFS(RAB!$F$14:$F$109,RAB!$C$14:$C$109,C820)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SUMIFS(RAB!$F$14:$F$109,RAB!$C$14:$C$109,C821)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SUMIFS(RAB!$F$14:$F$109,RAB!$C$14:$C$109,C822)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SUMIFS(RAB!$F$14:$F$109,RAB!$C$14:$C$109,C823)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SUMIFS(RAB!$F$14:$F$109,RAB!$C$14:$C$109,C824)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SUMIFS(RAB!$F$14:$F$109,RAB!$C$14:$C$109,C825)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SUMIFS(RAB!$F$14:$F$109,RAB!$C$14:$C$109,C826)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SUMIFS(RAB!$F$14:$F$109,RAB!$C$14:$C$109,C827)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SUMIFS(RAB!$F$14:$F$109,RAB!$C$14:$C$109,C828)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SUMIFS(RAB!$F$14:$F$109,RAB!$C$14:$C$109,C829)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SUMIFS(RAB!$F$14:$F$109,RAB!$C$14:$C$109,C830)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SUMIFS(RAB!$F$14:$F$109,RAB!$C$14:$C$109,C831)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SUMIFS(RAB!$F$14:$F$109,RAB!$C$14:$C$109,C832)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SUMIFS(RAB!$F$14:$F$109,RAB!$C$14:$C$109,C833)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SUMIFS(RAB!$F$14:$F$109,RAB!$C$14:$C$109,C834)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SUMIFS(RAB!$F$14:$F$109,RAB!$C$14:$C$109,C835)</f>
        <v>230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SUMIFS(RAB!$F$14:$F$109,RAB!$C$14:$C$109,C836)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SUMIFS(RAB!$F$14:$F$109,RAB!$C$14:$C$109,C837)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SUMIFS(RAB!$F$14:$F$109,RAB!$C$14:$C$109,C838)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SUMIFS(RAB!$F$14:$F$109,RAB!$C$14:$C$109,C839)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SUMIFS(RAB!$F$14:$F$109,RAB!$C$14:$C$109,C840)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SUMIFS(RAB!$F$14:$F$109,RAB!$C$14:$C$109,C841)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SUMIFS(RAB!$F$14:$F$109,RAB!$C$14:$C$109,C842)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SUMIFS(RAB!$F$14:$F$109,RAB!$C$14:$C$109,C843)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SUMIFS(RAB!$F$14:$F$109,RAB!$C$14:$C$109,C844)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SUMIFS(RAB!$F$14:$F$109,RAB!$C$14:$C$109,C845)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SUMIFS(RAB!$F$14:$F$109,RAB!$C$14:$C$109,C846)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SUMIFS(RAB!$F$14:$F$109,RAB!$C$14:$C$109,C847)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SUMIFS(RAB!$F$14:$F$109,RAB!$C$14:$C$109,C848)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SUMIFS(RAB!$F$14:$F$109,RAB!$C$14:$C$109,C849)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SUMIFS(RAB!$F$14:$F$109,RAB!$C$14:$C$109,C850)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SUMIFS(RAB!$F$14:$F$109,RAB!$C$14:$C$109,C851)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SUMIFS(RAB!$F$14:$F$109,RAB!$C$14:$C$109,C852)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SUMIFS(RAB!$F$14:$F$109,RAB!$C$14:$C$109,C853)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SUMIFS(RAB!$F$14:$F$109,RAB!$C$14:$C$109,C854)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SUMIFS(RAB!$F$14:$F$109,RAB!$C$14:$C$109,C855)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SUMIFS(RAB!$F$14:$F$109,RAB!$C$14:$C$109,C856)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SUMIFS(RAB!$F$14:$F$109,RAB!$C$14:$C$109,C857)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SUMIFS(RAB!$F$14:$F$109,RAB!$C$14:$C$109,C858)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SUMIFS(RAB!$F$14:$F$109,RAB!$C$14:$C$109,C859)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SUMIFS(RAB!$F$14:$F$109,RAB!$C$14:$C$109,C860)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SUMIFS(RAB!$F$14:$F$109,RAB!$C$14:$C$109,C861)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SUMIFS(RAB!$F$14:$F$109,RAB!$C$14:$C$109,C862)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SUMIFS(RAB!$F$14:$F$109,RAB!$C$14:$C$109,C863)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SUMIFS(RAB!$F$14:$F$109,RAB!$C$14:$C$109,C864)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SUMIFS(RAB!$F$14:$F$109,RAB!$C$14:$C$109,C865)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SUMIFS(RAB!$F$14:$F$109,RAB!$C$14:$C$109,C866)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SUMIFS(RAB!$F$14:$F$109,RAB!$C$14:$C$109,C867)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SUMIFS(RAB!$F$14:$F$109,RAB!$C$14:$C$109,C868)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SUMIFS(RAB!$F$14:$F$109,RAB!$C$14:$C$109,C869)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SUMIFS(RAB!$F$14:$F$109,RAB!$C$14:$C$109,C870)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SUMIFS(RAB!$F$14:$F$109,RAB!$C$14:$C$109,C871)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SUMIFS(RAB!$F$14:$F$109,RAB!$C$14:$C$109,C872)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SUMIFS(RAB!$F$14:$F$109,RAB!$C$14:$C$109,C873)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SUMIFS(RAB!$F$14:$F$109,RAB!$C$14:$C$109,C874)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SUMIFS(RAB!$F$14:$F$109,RAB!$C$14:$C$109,C875)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SUMIFS(RAB!$F$14:$F$109,RAB!$C$14:$C$109,C876)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SUMIFS(RAB!$F$14:$F$109,RAB!$C$14:$C$109,C877)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SUMIFS(RAB!$F$14:$F$109,RAB!$C$14:$C$109,C878)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SUMIFS(RAB!$F$14:$F$109,RAB!$C$14:$C$109,C879)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SUMIFS(RAB!$F$14:$F$109,RAB!$C$14:$C$109,C880)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SUMIFS(RAB!$F$14:$F$109,RAB!$C$14:$C$109,C881)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SUMIFS(RAB!$F$14:$F$109,RAB!$C$14:$C$109,C882)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SUMIFS(RAB!$F$14:$F$109,RAB!$C$14:$C$109,C883)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SUMIFS(RAB!$F$14:$F$109,RAB!$C$14:$C$109,C884)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SUMIFS(RAB!$F$14:$F$109,RAB!$C$14:$C$109,C885)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SUMIFS(RAB!$F$14:$F$109,RAB!$C$14:$C$109,C886)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SUMIFS(RAB!$F$14:$F$109,RAB!$C$14:$C$109,C887)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SUMIFS(RAB!$F$14:$F$109,RAB!$C$14:$C$109,C888)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SUMIFS(RAB!$F$14:$F$109,RAB!$C$14:$C$109,C889)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SUMIFS(RAB!$F$14:$F$109,RAB!$C$14:$C$109,C890)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SUMIFS(RAB!$F$14:$F$109,RAB!$C$14:$C$109,C891)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SUMIFS(RAB!$F$14:$F$109,RAB!$C$14:$C$109,C892)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SUMIFS(RAB!$F$14:$F$109,RAB!$C$14:$C$109,C893)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SUMIFS(RAB!$F$14:$F$109,RAB!$C$14:$C$109,C894)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SUMIFS(RAB!$F$14:$F$109,RAB!$C$14:$C$109,C895)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SUMIFS(RAB!$F$14:$F$109,RAB!$C$14:$C$109,C896)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SUMIFS(RAB!$F$14:$F$109,RAB!$C$14:$C$109,C897)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SUMIFS(RAB!$F$14:$F$109,RAB!$C$14:$C$109,C898)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SUMIFS(RAB!$F$14:$F$109,RAB!$C$14:$C$109,C899)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SUMIFS(RAB!$F$14:$F$109,RAB!$C$14:$C$109,C900)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SUMIFS(RAB!$F$14:$F$109,RAB!$C$14:$C$109,C901)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SUMIFS(RAB!$F$14:$F$109,RAB!$C$14:$C$109,C902)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SUMIFS(RAB!$F$14:$F$109,RAB!$C$14:$C$109,C903)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SUMIFS(RAB!$F$14:$F$109,RAB!$C$14:$C$109,C904)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SUMIFS(RAB!$F$14:$F$109,RAB!$C$14:$C$109,C905)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SUMIFS(RAB!$F$14:$F$109,RAB!$C$14:$C$109,C906)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SUMIFS(RAB!$F$14:$F$109,RAB!$C$14:$C$109,C907)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SUMIFS(RAB!$F$14:$F$109,RAB!$C$14:$C$109,C908)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SUMIFS(RAB!$F$14:$F$109,RAB!$C$14:$C$109,C909)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SUMIFS(RAB!$F$14:$F$109,RAB!$C$14:$C$109,C910)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SUMIFS(RAB!$F$14:$F$109,RAB!$C$14:$C$109,C911)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SUMIFS(RAB!$F$14:$F$109,RAB!$C$14:$C$109,C912)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SUMIFS(RAB!$F$14:$F$109,RAB!$C$14:$C$109,C913)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SUMIFS(RAB!$F$14:$F$109,RAB!$C$14:$C$109,C914)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SUMIFS(RAB!$F$14:$F$109,RAB!$C$14:$C$109,C915)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SUMIFS(RAB!$F$14:$F$109,RAB!$C$14:$C$109,C916)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SUMIFS(RAB!$F$14:$F$109,RAB!$C$14:$C$109,C917)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SUMIFS(RAB!$F$14:$F$109,RAB!$C$14:$C$109,C918)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SUMIFS(RAB!$F$14:$F$109,RAB!$C$14:$C$109,C919)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SUMIFS(RAB!$F$14:$F$109,RAB!$C$14:$C$109,C920)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SUMIFS(RAB!$F$14:$F$109,RAB!$C$14:$C$109,C921)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SUMIFS(RAB!$F$14:$F$109,RAB!$C$14:$C$109,C922)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SUMIFS(RAB!$F$14:$F$109,RAB!$C$14:$C$109,C923)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SUMIFS(RAB!$F$14:$F$109,RAB!$C$14:$C$109,C924)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SUMIFS(RAB!$F$14:$F$109,RAB!$C$14:$C$109,C925)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SUMIFS(RAB!$F$14:$F$109,RAB!$C$14:$C$109,C926)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SUMIFS(RAB!$F$14:$F$109,RAB!$C$14:$C$109,C927)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SUMIFS(RAB!$F$14:$F$109,RAB!$C$14:$C$109,C928)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SUMIFS(RAB!$F$14:$F$109,RAB!$C$14:$C$109,C929)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SUMIFS(RAB!$F$14:$F$109,RAB!$C$14:$C$109,C930)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SUMIFS(RAB!$F$14:$F$109,RAB!$C$14:$C$109,C931)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SUMIFS(RAB!$F$14:$F$109,RAB!$C$14:$C$109,C932)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SUMIFS(RAB!$F$14:$F$109,RAB!$C$14:$C$109,C933)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SUMIFS(RAB!$F$14:$F$109,RAB!$C$14:$C$109,C934)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SUMIFS(RAB!$F$14:$F$109,RAB!$C$14:$C$109,C935)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SUMIFS(RAB!$F$14:$F$109,RAB!$C$14:$C$109,C936)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SUMIFS(RAB!$F$14:$F$109,RAB!$C$14:$C$109,C937)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SUMIFS(RAB!$F$14:$F$109,RAB!$C$14:$C$109,C938)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SUMIFS(RAB!$F$14:$F$109,RAB!$C$14:$C$109,C939)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SUMIFS(RAB!$F$14:$F$109,RAB!$C$14:$C$109,C940)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SUMIFS(RAB!$F$14:$F$109,RAB!$C$14:$C$109,C941)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SUMIFS(RAB!$F$14:$F$109,RAB!$C$14:$C$109,C942)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SUMIFS(RAB!$F$14:$F$109,RAB!$C$14:$C$109,C943)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SUMIFS(RAB!$F$14:$F$109,RAB!$C$14:$C$109,C944)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SUMIFS(RAB!$F$14:$F$109,RAB!$C$14:$C$109,C945)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SUMIFS(RAB!$F$14:$F$109,RAB!$C$14:$C$109,C946)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SUMIFS(RAB!$F$14:$F$109,RAB!$C$14:$C$109,C947)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SUMIFS(RAB!$F$14:$F$109,RAB!$C$14:$C$109,C948)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SUMIFS(RAB!$F$14:$F$109,RAB!$C$14:$C$109,C949)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SUMIFS(RAB!$F$14:$F$109,RAB!$C$14:$C$109,C950)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SUMIFS(RAB!$F$14:$F$109,RAB!$C$14:$C$109,C951)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SUMIFS(RAB!$F$14:$F$109,RAB!$C$14:$C$109,C952)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SUMIFS(RAB!$F$14:$F$109,RAB!$C$14:$C$109,C953)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SUMIFS(RAB!$F$14:$F$109,RAB!$C$14:$C$109,C954)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SUMIFS(RAB!$F$14:$F$109,RAB!$C$14:$C$109,C955)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SUMIFS(RAB!$F$14:$F$109,RAB!$C$14:$C$109,C956)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SUMIFS(RAB!$F$14:$F$109,RAB!$C$14:$C$109,C957)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SUMIFS(RAB!$F$14:$F$109,RAB!$C$14:$C$109,C958)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SUMIFS(RAB!$F$14:$F$109,RAB!$C$14:$C$109,C959)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SUMIFS(RAB!$F$14:$F$109,RAB!$C$14:$C$109,C960)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SUMIFS(RAB!$F$14:$F$109,RAB!$C$14:$C$109,C961)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SUMIFS(RAB!$F$14:$F$109,RAB!$C$14:$C$109,C962)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SUMIFS(RAB!$F$14:$F$109,RAB!$C$14:$C$109,C963)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SUMIFS(RAB!$F$14:$F$109,RAB!$C$14:$C$109,C964)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SUMIFS(RAB!$F$14:$F$109,RAB!$C$14:$C$109,C965)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SUMIFS(RAB!$F$14:$F$109,RAB!$C$14:$C$109,C966)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SUMIFS(RAB!$F$14:$F$109,RAB!$C$14:$C$109,C967)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SUMIFS(RAB!$F$14:$F$109,RAB!$C$14:$C$109,C968)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SUMIFS(RAB!$F$14:$F$109,RAB!$C$14:$C$109,C969)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SUMIFS(RAB!$F$14:$F$109,RAB!$C$14:$C$109,C970)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SUMIFS(RAB!$F$14:$F$109,RAB!$C$14:$C$109,C971)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SUMIFS(RAB!$F$14:$F$109,RAB!$C$14:$C$109,C972)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SUMIFS(RAB!$F$14:$F$109,RAB!$C$14:$C$109,C973)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SUMIFS(RAB!$F$14:$F$109,RAB!$C$14:$C$109,C974)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SUMIFS(RAB!$F$14:$F$109,RAB!$C$14:$C$109,C975)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SUMIFS(RAB!$F$14:$F$109,RAB!$C$14:$C$109,C976)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SUMIFS(RAB!$F$14:$F$109,RAB!$C$14:$C$109,C977)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SUMIFS(RAB!$F$14:$F$109,RAB!$C$14:$C$109,C978)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SUMIFS(RAB!$F$14:$F$109,RAB!$C$14:$C$109,C979)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SUMIFS(RAB!$F$14:$F$109,RAB!$C$14:$C$109,C980)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SUMIFS(RAB!$F$14:$F$109,RAB!$C$14:$C$109,C981)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SUMIFS(RAB!$F$14:$F$109,RAB!$C$14:$C$109,C982)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SUMIFS(RAB!$F$14:$F$109,RAB!$C$14:$C$109,C983)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SUMIFS(RAB!$F$14:$F$109,RAB!$C$14:$C$109,C984)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SUMIFS(RAB!$F$14:$F$109,RAB!$C$14:$C$109,C985)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SUMIFS(RAB!$F$14:$F$109,RAB!$C$14:$C$109,C986)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SUMIFS(RAB!$F$14:$F$109,RAB!$C$14:$C$109,C987)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SUMIFS(RAB!$F$14:$F$109,RAB!$C$14:$C$109,C988)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SUMIFS(RAB!$F$14:$F$109,RAB!$C$14:$C$109,C989)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SUMIFS(RAB!$F$14:$F$109,RAB!$C$14:$C$109,C990)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SUMIFS(RAB!$F$14:$F$109,RAB!$C$14:$C$109,C991)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SUMIFS(RAB!$F$14:$F$109,RAB!$C$14:$C$109,C992)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SUMIFS(RAB!$F$14:$F$109,RAB!$C$14:$C$109,C993)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SUMIFS(RAB!$F$14:$F$109,RAB!$C$14:$C$109,C994)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SUMIFS(RAB!$F$14:$F$109,RAB!$C$14:$C$109,C995)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SUMIFS(RAB!$F$14:$F$109,RAB!$C$14:$C$109,C996)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SUMIFS(RAB!$F$14:$F$109,RAB!$C$14:$C$109,C997)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SUMIFS(RAB!$F$14:$F$109,RAB!$C$14:$C$109,C998)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SUMIFS(RAB!$F$14:$F$109,RAB!$C$14:$C$109,C999)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SUMIFS(RAB!$F$14:$F$109,RAB!$C$14:$C$109,C1000)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SUMIFS(RAB!$F$14:$F$109,RAB!$C$14:$C$109,C1001)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SUMIFS(RAB!$F$14:$F$109,RAB!$C$14:$C$109,C1002)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SUMIFS(RAB!$F$14:$F$109,RAB!$C$14:$C$109,C1003)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SUMIFS(RAB!$F$14:$F$109,RAB!$C$14:$C$109,C1004)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SUMIFS(RAB!$F$14:$F$109,RAB!$C$14:$C$109,C1005)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SUMIFS(RAB!$F$14:$F$109,RAB!$C$14:$C$109,C1006)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SUMIFS(RAB!$F$14:$F$109,RAB!$C$14:$C$109,C1007)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SUMIFS(RAB!$F$14:$F$109,RAB!$C$14:$C$109,C1008)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SUMIFS(RAB!$F$14:$F$109,RAB!$C$14:$C$109,C1009)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SUMIFS(RAB!$F$14:$F$109,RAB!$C$14:$C$109,C1010)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SUMIFS(RAB!$F$14:$F$109,RAB!$C$14:$C$109,C1011)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SUMIFS(RAB!$F$14:$F$109,RAB!$C$14:$C$109,C1012)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SUMIFS(RAB!$F$14:$F$109,RAB!$C$14:$C$109,C1013)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SUMIFS(RAB!$F$14:$F$109,RAB!$C$14:$C$109,C1014)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SUMIFS(RAB!$F$14:$F$109,RAB!$C$14:$C$109,C1015)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SUMIFS(RAB!$F$14:$F$109,RAB!$C$14:$C$109,C1016)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SUMIFS(RAB!$F$14:$F$109,RAB!$C$14:$C$109,C1017)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SUMIFS(RAB!$F$14:$F$109,RAB!$C$14:$C$109,C1018)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SUMIFS(RAB!$F$14:$F$109,RAB!$C$14:$C$109,C1019)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SUMIFS(RAB!$F$14:$F$109,RAB!$C$14:$C$109,C1020)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SUMIFS(RAB!$F$14:$F$109,RAB!$C$14:$C$109,C1021)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SUMIFS(RAB!$F$14:$F$109,RAB!$C$14:$C$109,C1022)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SUMIFS(RAB!$F$14:$F$109,RAB!$C$14:$C$109,C1023)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SUMIFS(RAB!$F$14:$F$109,RAB!$C$14:$C$109,C1024)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SUMIFS(RAB!$F$14:$F$109,RAB!$C$14:$C$109,C1025)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SUMIFS(RAB!$F$14:$F$109,RAB!$C$14:$C$109,C1026)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SUMIFS(RAB!$F$14:$F$109,RAB!$C$14:$C$109,C1027)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SUMIFS(RAB!$F$14:$F$109,RAB!$C$14:$C$109,C1028)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SUMIFS(RAB!$F$14:$F$109,RAB!$C$14:$C$109,C1029)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SUMIFS(RAB!$F$14:$F$109,RAB!$C$14:$C$109,C1030)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SUMIFS(RAB!$F$14:$F$109,RAB!$C$14:$C$109,C1031)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SUMIFS(RAB!$F$14:$F$109,RAB!$C$14:$C$109,C1032)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SUMIFS(RAB!$F$14:$F$109,RAB!$C$14:$C$109,C1033)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SUMIFS(RAB!$F$14:$F$109,RAB!$C$14:$C$109,C1034)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SUMIFS(RAB!$F$14:$F$109,RAB!$C$14:$C$109,C1035)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SUMIFS(RAB!$F$14:$F$109,RAB!$C$14:$C$109,C1036)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SUMIFS(RAB!$F$14:$F$109,RAB!$C$14:$C$109,C1037)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SUMIFS(RAB!$F$14:$F$109,RAB!$C$14:$C$109,C1038)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SUMIFS(RAB!$F$14:$F$109,RAB!$C$14:$C$109,C1039)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SUMIFS(RAB!$F$14:$F$109,RAB!$C$14:$C$109,C1040)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SUMIFS(RAB!$F$14:$F$109,RAB!$C$14:$C$109,C1041)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SUMIFS(RAB!$F$14:$F$109,RAB!$C$14:$C$109,C1042)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SUMIFS(RAB!$F$14:$F$109,RAB!$C$14:$C$109,C1043)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SUMIFS(RAB!$F$14:$F$109,RAB!$C$14:$C$109,C1044)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SUMIFS(RAB!$F$14:$F$109,RAB!$C$14:$C$109,C1045)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SUMIFS(RAB!$F$14:$F$109,RAB!$C$14:$C$109,C1046)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SUMIFS(RAB!$F$14:$F$109,RAB!$C$14:$C$109,C1047)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SUMIFS(RAB!$F$14:$F$109,RAB!$C$14:$C$109,C1048)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SUMIFS(RAB!$F$14:$F$109,RAB!$C$14:$C$109,C1049)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SUMIFS(RAB!$F$14:$F$109,RAB!$C$14:$C$109,C1050)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SUMIFS(RAB!$F$14:$F$109,RAB!$C$14:$C$109,C1051)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SUMIFS(RAB!$F$14:$F$109,RAB!$C$14:$C$109,C1052)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SUMIFS(RAB!$F$14:$F$109,RAB!$C$14:$C$109,C1053)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SUMIFS(RAB!$F$14:$F$109,RAB!$C$14:$C$109,C1054)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SUMIFS(RAB!$F$14:$F$109,RAB!$C$14:$C$109,C1055)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SUMIFS(RAB!$F$14:$F$109,RAB!$C$14:$C$109,C1056)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SUMIFS(RAB!$F$14:$F$109,RAB!$C$14:$C$109,C1057)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SUMIFS(RAB!$F$14:$F$109,RAB!$C$14:$C$109,C1058)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SUMIFS(RAB!$F$14:$F$109,RAB!$C$14:$C$109,C1059)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SUMIFS(RAB!$F$14:$F$109,RAB!$C$14:$C$109,C1060)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SUMIFS(RAB!$F$14:$F$109,RAB!$C$14:$C$109,C1061)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SUMIFS(RAB!$F$14:$F$109,RAB!$C$14:$C$109,C1062)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SUMIFS(RAB!$F$14:$F$109,RAB!$C$14:$C$109,C1063)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SUMIFS(RAB!$F$14:$F$109,RAB!$C$14:$C$109,C1064)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SUMIFS(RAB!$F$14:$F$109,RAB!$C$14:$C$109,C1065)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SUMIFS(RAB!$F$14:$F$109,RAB!$C$14:$C$109,C1066)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SUMIFS(RAB!$F$14:$F$109,RAB!$C$14:$C$109,C1067)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SUMIFS(RAB!$F$14:$F$109,RAB!$C$14:$C$109,C1068)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SUMIFS(RAB!$F$14:$F$109,RAB!$C$14:$C$109,C1069)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SUMIFS(RAB!$F$14:$F$109,RAB!$C$14:$C$109,C1070)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SUMIFS(RAB!$F$14:$F$109,RAB!$C$14:$C$109,C1071)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SUMIFS(RAB!$F$14:$F$109,RAB!$C$14:$C$109,C1072)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SUMIFS(RAB!$F$14:$F$109,RAB!$C$14:$C$109,C1073)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SUMIFS(RAB!$F$14:$F$109,RAB!$C$14:$C$109,C1074)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SUMIFS(RAB!$F$14:$F$109,RAB!$C$14:$C$109,C1075)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SUMIFS(RAB!$F$14:$F$109,RAB!$C$14:$C$109,C1076)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SUMIFS(RAB!$F$14:$F$109,RAB!$C$14:$C$109,C1077)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SUMIFS(RAB!$F$14:$F$109,RAB!$C$14:$C$109,C1078)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SUMIFS(RAB!$F$14:$F$109,RAB!$C$14:$C$109,C1079)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SUMIFS(RAB!$F$14:$F$109,RAB!$C$14:$C$109,C1080)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SUMIFS(RAB!$F$14:$F$109,RAB!$C$14:$C$109,C1081)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SUMIFS(RAB!$F$14:$F$109,RAB!$C$14:$C$109,C1082)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SUMIFS(RAB!$F$14:$F$109,RAB!$C$14:$C$109,C1083)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SUMIFS(RAB!$F$14:$F$109,RAB!$C$14:$C$109,C1084)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SUMIFS(RAB!$F$14:$F$109,RAB!$C$14:$C$109,C1085)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SUMIFS(RAB!$F$14:$F$109,RAB!$C$14:$C$109,C1086)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SUMIFS(RAB!$F$14:$F$109,RAB!$C$14:$C$109,C1087)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SUMIFS(RAB!$F$14:$F$109,RAB!$C$14:$C$109,C1088)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SUMIFS(RAB!$F$14:$F$109,RAB!$C$14:$C$109,C1089)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SUMIFS(RAB!$F$14:$F$109,RAB!$C$14:$C$109,C1090)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SUMIFS(RAB!$F$14:$F$109,RAB!$C$14:$C$109,C1091)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SUMIFS(RAB!$F$14:$F$109,RAB!$C$14:$C$109,C1092)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SUMIFS(RAB!$F$14:$F$109,RAB!$C$14:$C$109,C1093)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SUMIFS(RAB!$F$14:$F$109,RAB!$C$14:$C$109,C1094)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SUMIFS(RAB!$F$14:$F$109,RAB!$C$14:$C$109,C1095)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SUMIFS(RAB!$F$14:$F$109,RAB!$C$14:$C$109,C1096)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SUMIFS(RAB!$F$14:$F$109,RAB!$C$14:$C$109,C1097)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SUMIFS(RAB!$F$14:$F$109,RAB!$C$14:$C$109,C1098)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SUMIFS(RAB!$F$14:$F$109,RAB!$C$14:$C$109,C1099)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SUMIFS(RAB!$F$14:$F$109,RAB!$C$14:$C$109,C1100)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SUMIFS(RAB!$F$14:$F$109,RAB!$C$14:$C$109,C1101)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SUMIFS(RAB!$F$14:$F$109,RAB!$C$14:$C$109,C1102)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SUMIFS(RAB!$F$14:$F$109,RAB!$C$14:$C$109,C1103)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SUMIFS(RAB!$F$14:$F$109,RAB!$C$14:$C$109,C1104)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SUMIFS(RAB!$F$14:$F$109,RAB!$C$14:$C$109,C1105)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SUMIFS(RAB!$F$14:$F$109,RAB!$C$14:$C$109,C1106)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SUMIFS(RAB!$F$14:$F$109,RAB!$C$14:$C$109,C1107)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SUMIFS(RAB!$F$14:$F$109,RAB!$C$14:$C$109,C1108)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SUMIFS(RAB!$F$14:$F$109,RAB!$C$14:$C$109,C1109)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SUMIFS(RAB!$F$14:$F$109,RAB!$C$14:$C$109,C1110)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SUMIFS(RAB!$F$14:$F$109,RAB!$C$14:$C$109,C1111)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SUMIFS(RAB!$F$14:$F$109,RAB!$C$14:$C$109,C1112)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SUMIFS(RAB!$F$14:$F$109,RAB!$C$14:$C$109,C1113)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SUMIFS(RAB!$F$14:$F$109,RAB!$C$14:$C$109,C1114)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SUMIFS(RAB!$F$14:$F$109,RAB!$C$14:$C$109,C1115)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SUMIFS(RAB!$F$14:$F$109,RAB!$C$14:$C$109,C1116)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SUMIFS(RAB!$F$14:$F$109,RAB!$C$14:$C$109,C1117)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SUMIFS(RAB!$F$14:$F$109,RAB!$C$14:$C$109,C1118)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SUMIFS(RAB!$F$14:$F$109,RAB!$C$14:$C$109,C1119)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SUMIFS(RAB!$F$14:$F$109,RAB!$C$14:$C$109,C1120)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SUMIFS(RAB!$F$14:$F$109,RAB!$C$14:$C$109,C1121)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SUMIFS(RAB!$F$14:$F$109,RAB!$C$14:$C$109,C1122)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SUMIFS(RAB!$F$14:$F$109,RAB!$C$14:$C$109,C1123)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SUMIFS(RAB!$F$14:$F$109,RAB!$C$14:$C$109,C1124)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SUMIFS(RAB!$F$14:$F$109,RAB!$C$14:$C$109,C1125)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SUMIFS(RAB!$F$14:$F$109,RAB!$C$14:$C$109,C1126)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SUMIFS(RAB!$F$14:$F$109,RAB!$C$14:$C$109,C1127)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SUMIFS(RAB!$F$14:$F$109,RAB!$C$14:$C$109,C1128)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SUMIFS(RAB!$F$14:$F$109,RAB!$C$14:$C$109,C1129)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SUMIFS(RAB!$F$14:$F$109,RAB!$C$14:$C$109,C1130)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SUMIFS(RAB!$F$14:$F$109,RAB!$C$14:$C$109,C1131)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SUMIFS(RAB!$F$14:$F$109,RAB!$C$14:$C$109,C1132)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SUMIFS(RAB!$F$14:$F$109,RAB!$C$14:$C$109,C1133)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SUMIFS(RAB!$F$14:$F$109,RAB!$C$14:$C$109,C1134)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SUMIFS(RAB!$F$14:$F$109,RAB!$C$14:$C$109,C1135)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SUMIFS(RAB!$F$14:$F$109,RAB!$C$14:$C$109,C1136)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SUMIFS(RAB!$F$14:$F$109,RAB!$C$14:$C$109,C1137)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SUMIFS(RAB!$F$14:$F$109,RAB!$C$14:$C$109,C1138)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SUMIFS(RAB!$F$14:$F$109,RAB!$C$14:$C$109,C1139)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SUMIFS(RAB!$F$14:$F$109,RAB!$C$14:$C$109,C1140)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SUMIFS(RAB!$F$14:$F$109,RAB!$C$14:$C$109,C1141)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SUMIFS(RAB!$F$14:$F$109,RAB!$C$14:$C$109,C1142)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SUMIFS(RAB!$F$14:$F$109,RAB!$C$14:$C$109,C1143)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SUMIFS(RAB!$F$14:$F$109,RAB!$C$14:$C$109,C1144)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SUMIFS(RAB!$F$14:$F$109,RAB!$C$14:$C$109,C1145)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SUMIFS(RAB!$F$14:$F$109,RAB!$C$14:$C$109,C1146)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SUMIFS(RAB!$F$14:$F$109,RAB!$C$14:$C$109,C1147)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SUMIFS(RAB!$F$14:$F$109,RAB!$C$14:$C$109,C1148)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SUMIFS(RAB!$F$14:$F$109,RAB!$C$14:$C$109,C1149)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SUMIFS(RAB!$F$14:$F$109,RAB!$C$14:$C$109,C1150)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SUMIFS(RAB!$F$14:$F$109,RAB!$C$14:$C$109,C1151)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SUMIFS(RAB!$F$14:$F$109,RAB!$C$14:$C$109,C1152)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SUMIFS(RAB!$F$14:$F$109,RAB!$C$14:$C$109,C1153)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SUMIFS(RAB!$F$14:$F$109,RAB!$C$14:$C$109,C1154)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SUMIFS(RAB!$F$14:$F$109,RAB!$C$14:$C$109,C1155)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SUMIFS(RAB!$F$14:$F$109,RAB!$C$14:$C$109,C1156)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SUMIFS(RAB!$F$14:$F$109,RAB!$C$14:$C$109,C1157)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SUMIFS(RAB!$F$14:$F$109,RAB!$C$14:$C$109,C1158)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SUMIFS(RAB!$F$14:$F$109,RAB!$C$14:$C$109,C1159)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SUMIFS(RAB!$F$14:$F$109,RAB!$C$14:$C$109,C1160)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SUMIFS(RAB!$F$14:$F$109,RAB!$C$14:$C$109,C1161)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SUMIFS(RAB!$F$14:$F$109,RAB!$C$14:$C$109,C1162)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SUMIFS(RAB!$F$14:$F$109,RAB!$C$14:$C$109,C1163)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SUMIFS(RAB!$F$14:$F$109,RAB!$C$14:$C$109,C1164)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SUMIFS(RAB!$F$14:$F$109,RAB!$C$14:$C$109,C1165)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SUMIFS(RAB!$F$14:$F$109,RAB!$C$14:$C$109,C1166)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SUMIFS(RAB!$F$14:$F$109,RAB!$C$14:$C$109,C1167)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SUMIFS(RAB!$F$14:$F$109,RAB!$C$14:$C$109,C1168)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SUMIFS(RAB!$F$14:$F$109,RAB!$C$14:$C$109,C1169)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SUMIFS(RAB!$F$14:$F$109,RAB!$C$14:$C$109,C1170)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SUMIFS(RAB!$F$14:$F$109,RAB!$C$14:$C$109,C1171)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SUMIFS(RAB!$F$14:$F$109,RAB!$C$14:$C$109,C1172)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SUMIFS(RAB!$F$14:$F$109,RAB!$C$14:$C$109,C1173)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SUMIFS(RAB!$F$14:$F$109,RAB!$C$14:$C$109,C1174)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SUMIFS(RAB!$F$14:$F$109,RAB!$C$14:$C$109,C1175)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SUMIFS(RAB!$F$14:$F$109,RAB!$C$14:$C$109,C1176)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SUMIFS(RAB!$F$14:$F$109,RAB!$C$14:$C$109,C1177)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SUMIFS(RAB!$F$14:$F$109,RAB!$C$14:$C$109,C1178)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SUMIFS(RAB!$F$14:$F$109,RAB!$C$14:$C$109,C1179)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SUMIFS(RAB!$F$14:$F$109,RAB!$C$14:$C$109,C1180)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SUMIFS(RAB!$F$14:$F$109,RAB!$C$14:$C$109,C1181)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SUMIFS(RAB!$F$14:$F$109,RAB!$C$14:$C$109,C1182)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SUMIFS(RAB!$F$14:$F$109,RAB!$C$14:$C$109,C1183)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SUMIFS(RAB!$F$14:$F$109,RAB!$C$14:$C$109,C1184)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SUMIFS(RAB!$F$14:$F$109,RAB!$C$14:$C$109,C1185)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SUMIFS(RAB!$F$14:$F$109,RAB!$C$14:$C$109,C1186)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SUMIFS(RAB!$F$14:$F$109,RAB!$C$14:$C$109,C1187)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SUMIFS(RAB!$F$14:$F$109,RAB!$C$14:$C$109,C1188)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SUMIFS(RAB!$F$14:$F$109,RAB!$C$14:$C$109,C1189)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SUMIFS(RAB!$F$14:$F$109,RAB!$C$14:$C$109,C1190)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SUMIFS(RAB!$F$14:$F$109,RAB!$C$14:$C$109,C1191)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SUMIFS(RAB!$F$14:$F$109,RAB!$C$14:$C$109,C1192)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SUMIFS(RAB!$F$14:$F$109,RAB!$C$14:$C$109,C1193)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SUMIFS(RAB!$F$14:$F$109,RAB!$C$14:$C$109,C1194)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SUMIFS(RAB!$F$14:$F$109,RAB!$C$14:$C$109,C1195)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SUMIFS(RAB!$F$14:$F$109,RAB!$C$14:$C$109,C1196)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SUMIFS(RAB!$F$14:$F$109,RAB!$C$14:$C$109,C1197)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SUMIFS(RAB!$F$14:$F$109,RAB!$C$14:$C$109,C1198)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SUMIFS(RAB!$F$14:$F$109,RAB!$C$14:$C$109,C1199)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SUMIFS(RAB!$F$14:$F$109,RAB!$C$14:$C$109,C1200)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SUMIFS(RAB!$F$14:$F$109,RAB!$C$14:$C$109,C1201)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SUMIFS(RAB!$F$14:$F$109,RAB!$C$14:$C$109,C1202)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SUMIFS(RAB!$F$14:$F$109,RAB!$C$14:$C$109,C1203)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SUMIFS(RAB!$F$14:$F$109,RAB!$C$14:$C$109,C1204)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SUMIFS(RAB!$F$14:$F$109,RAB!$C$14:$C$109,C1205)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SUMIFS(RAB!$F$14:$F$109,RAB!$C$14:$C$109,C1206)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SUMIFS(RAB!$F$14:$F$109,RAB!$C$14:$C$109,C1207)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SUMIFS(RAB!$F$14:$F$109,RAB!$C$14:$C$109,C1208)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SUMIFS(RAB!$F$14:$F$109,RAB!$C$14:$C$109,C1209)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SUMIFS(RAB!$F$14:$F$109,RAB!$C$14:$C$109,C1210)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SUMIFS(RAB!$F$14:$F$109,RAB!$C$14:$C$109,C1211)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SUMIFS(RAB!$F$14:$F$109,RAB!$C$14:$C$109,C1212)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SUMIFS(RAB!$F$14:$F$109,RAB!$C$14:$C$109,C1213)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SUMIFS(RAB!$F$14:$F$109,RAB!$C$14:$C$109,C1214)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SUMIFS(RAB!$F$14:$F$109,RAB!$C$14:$C$109,C1215)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SUMIFS(RAB!$F$14:$F$109,RAB!$C$14:$C$109,C1216)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SUMIFS(RAB!$F$14:$F$109,RAB!$C$14:$C$109,C1217)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SUMIFS(RAB!$F$14:$F$109,RAB!$C$14:$C$109,C1218)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SUMIFS(RAB!$F$14:$F$109,RAB!$C$14:$C$109,C1219)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SUMIFS(RAB!$F$14:$F$109,RAB!$C$14:$C$109,C1220)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SUMIFS(RAB!$F$14:$F$109,RAB!$C$14:$C$109,C1221)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SUMIFS(RAB!$F$14:$F$109,RAB!$C$14:$C$109,C1222)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SUMIFS(RAB!$F$14:$F$109,RAB!$C$14:$C$109,C1223)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SUMIFS(RAB!$F$14:$F$109,RAB!$C$14:$C$109,C1224)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SUMIFS(RAB!$F$14:$F$109,RAB!$C$14:$C$109,C1225)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SUMIFS(RAB!$F$14:$F$109,RAB!$C$14:$C$109,C1226)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SUMIFS(RAB!$F$14:$F$109,RAB!$C$14:$C$109,C1227)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SUMIFS(RAB!$F$14:$F$109,RAB!$C$14:$C$109,C1228)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SUMIFS(RAB!$F$14:$F$109,RAB!$C$14:$C$109,C1229)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SUMIFS(RAB!$F$14:$F$109,RAB!$C$14:$C$109,C1230)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SUMIFS(RAB!$F$14:$F$109,RAB!$C$14:$C$109,C1231)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SUMIFS(RAB!$F$14:$F$109,RAB!$C$14:$C$109,C1232)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SUMIFS(RAB!$F$14:$F$109,RAB!$C$14:$C$109,C1233)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SUMIFS(RAB!$F$14:$F$109,RAB!$C$14:$C$109,C1234)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SUMIFS(RAB!$F$14:$F$109,RAB!$C$14:$C$109,C1235)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SUMIFS(RAB!$F$14:$F$109,RAB!$C$14:$C$109,C1236)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SUMIFS(RAB!$F$14:$F$109,RAB!$C$14:$C$109,C1237)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SUMIFS(RAB!$F$14:$F$109,RAB!$C$14:$C$109,C1238)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SUMIFS(RAB!$F$14:$F$109,RAB!$C$14:$C$109,C1239)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SUMIFS(RAB!$F$14:$F$109,RAB!$C$14:$C$109,C1240)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SUMIFS(RAB!$F$14:$F$109,RAB!$C$14:$C$109,C1241)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SUMIFS(RAB!$F$14:$F$109,RAB!$C$14:$C$109,C1242)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SUMIFS(RAB!$F$14:$F$109,RAB!$C$14:$C$109,C1243)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SUMIFS(RAB!$F$14:$F$109,RAB!$C$14:$C$109,C1244)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SUMIFS(RAB!$F$14:$F$109,RAB!$C$14:$C$109,C1245)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SUMIFS(RAB!$F$14:$F$109,RAB!$C$14:$C$109,C1246)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SUMIFS(RAB!$F$14:$F$109,RAB!$C$14:$C$109,C1247)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SUMIFS(RAB!$F$14:$F$109,RAB!$C$14:$C$109,C1248)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SUMIFS(RAB!$F$14:$F$109,RAB!$C$14:$C$109,C1249)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SUMIFS(RAB!$F$14:$F$109,RAB!$C$14:$C$109,C1250)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SUMIFS(RAB!$F$14:$F$109,RAB!$C$14:$C$109,C1251)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SUMIFS(RAB!$F$14:$F$109,RAB!$C$14:$C$109,C1252)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SUMIFS(RAB!$F$14:$F$109,RAB!$C$14:$C$109,C1253)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SUMIFS(RAB!$F$14:$F$109,RAB!$C$14:$C$109,C1254)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SUMIFS(RAB!$F$14:$F$109,RAB!$C$14:$C$109,C1255)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SUMIFS(RAB!$F$14:$F$109,RAB!$C$14:$C$109,C1256)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SUMIFS(RAB!$F$14:$F$109,RAB!$C$14:$C$109,C1257)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SUMIFS(RAB!$F$14:$F$109,RAB!$C$14:$C$109,C1258)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SUMIFS(RAB!$F$14:$F$109,RAB!$C$14:$C$109,C1259)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SUMIFS(RAB!$F$14:$F$109,RAB!$C$14:$C$109,C1260)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SUMIFS(RAB!$F$14:$F$109,RAB!$C$14:$C$109,C1261)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SUMIFS(RAB!$F$14:$F$109,RAB!$C$14:$C$109,C1262)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SUMIFS(RAB!$F$14:$F$109,RAB!$C$14:$C$109,C1263)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SUMIFS(RAB!$F$14:$F$109,RAB!$C$14:$C$109,C1264)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SUMIFS(RAB!$F$14:$F$109,RAB!$C$14:$C$109,C1265)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SUMIFS(RAB!$F$14:$F$109,RAB!$C$14:$C$109,C1266)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SUMIFS(RAB!$F$14:$F$109,RAB!$C$14:$C$109,C1267)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SUMIFS(RAB!$F$14:$F$109,RAB!$C$14:$C$109,C1268)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SUMIFS(RAB!$F$14:$F$109,RAB!$C$14:$C$109,C1269)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SUMIFS(RAB!$F$14:$F$109,RAB!$C$14:$C$109,C1270)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SUMIFS(RAB!$F$14:$F$109,RAB!$C$14:$C$109,C1271)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SUMIFS(RAB!$F$14:$F$109,RAB!$C$14:$C$109,C1272)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SUMIFS(RAB!$F$14:$F$109,RAB!$C$14:$C$109,C1273)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SUMIFS(RAB!$F$14:$F$109,RAB!$C$14:$C$109,C1274)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SUMIFS(RAB!$F$14:$F$109,RAB!$C$14:$C$109,C1275)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SUMIFS(RAB!$F$14:$F$109,RAB!$C$14:$C$109,C1276)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SUMIFS(RAB!$F$14:$F$109,RAB!$C$14:$C$109,C1277)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SUMIFS(RAB!$F$14:$F$109,RAB!$C$14:$C$109,C1278)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SUMIFS(RAB!$F$14:$F$109,RAB!$C$14:$C$109,C1279)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SUMIFS(RAB!$F$14:$F$109,RAB!$C$14:$C$109,C1280)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SUMIFS(RAB!$F$14:$F$109,RAB!$C$14:$C$109,C1281)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SUMIFS(RAB!$F$14:$F$109,RAB!$C$14:$C$109,C1282)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SUMIFS(RAB!$F$14:$F$109,RAB!$C$14:$C$109,C1283)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SUMIFS(RAB!$F$14:$F$109,RAB!$C$14:$C$109,C1284)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SUMIFS(RAB!$F$14:$F$109,RAB!$C$14:$C$109,C1285)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SUMIFS(RAB!$F$14:$F$109,RAB!$C$14:$C$109,C1286)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SUMIFS(RAB!$F$14:$F$109,RAB!$C$14:$C$109,C1287)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SUMIFS(RAB!$F$14:$F$109,RAB!$C$14:$C$109,C1288)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SUMIFS(RAB!$F$14:$F$109,RAB!$C$14:$C$109,C1289)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SUMIFS(RAB!$F$14:$F$109,RAB!$C$14:$C$109,C1290)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SUMIFS(RAB!$F$14:$F$109,RAB!$C$14:$C$109,C1291)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SUMIFS(RAB!$F$14:$F$109,RAB!$C$14:$C$109,C1292)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SUMIFS(RAB!$F$14:$F$109,RAB!$C$14:$C$109,C1293)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SUMIFS(RAB!$F$14:$F$109,RAB!$C$14:$C$109,C1294)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SUMIFS(RAB!$F$14:$F$109,RAB!$C$14:$C$109,C1295)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SUMIFS(RAB!$F$14:$F$109,RAB!$C$14:$C$109,C1296)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SUMIFS(RAB!$F$14:$F$109,RAB!$C$14:$C$109,C1297)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SUMIFS(RAB!$F$14:$F$109,RAB!$C$14:$C$109,C1298)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SUMIFS(RAB!$F$14:$F$109,RAB!$C$14:$C$109,C1299)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SUMIFS(RAB!$F$14:$F$109,RAB!$C$14:$C$109,C1300)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SUMIFS(RAB!$F$14:$F$109,RAB!$C$14:$C$109,C1301)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SUMIFS(RAB!$F$14:$F$109,RAB!$C$14:$C$109,C1302)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SUMIFS(RAB!$F$14:$F$109,RAB!$C$14:$C$109,C1303)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SUMIFS(RAB!$F$14:$F$109,RAB!$C$14:$C$109,C1304)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SUMIFS(RAB!$F$14:$F$109,RAB!$C$14:$C$109,C1305)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SUMIFS(RAB!$F$14:$F$109,RAB!$C$14:$C$109,C1306)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SUMIFS(RAB!$F$14:$F$109,RAB!$C$14:$C$109,C1307)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SUMIFS(RAB!$F$14:$F$109,RAB!$C$14:$C$109,C1308)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SUMIFS(RAB!$F$14:$F$109,RAB!$C$14:$C$109,C1309)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SUMIFS(RAB!$F$14:$F$109,RAB!$C$14:$C$109,C1310)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SUMIFS(RAB!$F$14:$F$109,RAB!$C$14:$C$109,C1311)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SUMIFS(RAB!$F$14:$F$109,RAB!$C$14:$C$109,C1312)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SUMIFS(RAB!$F$14:$F$109,RAB!$C$14:$C$109,C1313)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SUMIFS(RAB!$F$14:$F$109,RAB!$C$14:$C$109,C1314)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SUMIFS(RAB!$F$14:$F$109,RAB!$C$14:$C$109,C1315)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SUMIFS(RAB!$F$14:$F$109,RAB!$C$14:$C$109,C1316)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SUMIFS(RAB!$F$14:$F$109,RAB!$C$14:$C$109,C1317)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SUMIFS(RAB!$F$14:$F$109,RAB!$C$14:$C$109,C1318)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SUMIFS(RAB!$F$14:$F$109,RAB!$C$14:$C$109,C1319)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SUMIFS(RAB!$F$14:$F$109,RAB!$C$14:$C$109,C1320)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IWANTORO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PERUM PRP SRIWULAN,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17400000</v>
      </c>
      <c r="J38" s="55">
        <f ca="1">SUM(J14:J37)</f>
        <v>0</v>
      </c>
      <c r="K38" s="55">
        <f ca="1">SUM(K14:K37)</f>
        <v>17400000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1740000</v>
      </c>
      <c r="J39" s="60">
        <f ca="1">J38*0.1</f>
        <v>0</v>
      </c>
      <c r="K39" s="60">
        <f ca="1">K38*0.1</f>
        <v>1740000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19140000</v>
      </c>
      <c r="J40" s="61">
        <f ca="1">SUM(J38:J39)</f>
        <v>0</v>
      </c>
      <c r="K40" s="61">
        <f ca="1">SUM(K38:K39)</f>
        <v>19140000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SUMIFS(RAB!$F$14:$F$109,RAB!$C$14:$C$109,'REKAP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SUMIFS(RAB!$F$14:$F$109,RAB!$C$14:$C$109,'REKAP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SUMIFS(RAB!$F$14:$F$109,RAB!$C$14:$C$109,'REKAP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SUMIFS(RAB!$F$14:$F$109,RAB!$C$14:$C$109,'REKAP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SUMIFS(RAB!$F$14:$F$109,RAB!$C$14:$C$109,'REKAP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SUMIFS(RAB!$F$14:$F$109,RAB!$C$14:$C$109,'REKAP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SUMIFS(RAB!$F$14:$F$109,RAB!$C$14:$C$109,'REKAP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SUMIFS(RAB!$F$14:$F$109,RAB!$C$14:$C$109,'REKAP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SUMIFS(RAB!$F$14:$F$109,RAB!$C$14:$C$109,'REKAP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SUMIFS(RAB!$F$14:$F$109,RAB!$C$14:$C$109,'REKAP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SUMIFS(RAB!$F$14:$F$109,RAB!$C$14:$C$109,'REKAP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SUMIFS(RAB!$F$14:$F$109,RAB!$C$14:$C$109,'REKAP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SUMIFS(RAB!$F$14:$F$109,RAB!$C$14:$C$109,'REKAP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SUMIFS(RAB!$F$14:$F$109,RAB!$C$14:$C$109,'REKAP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SUMIFS(RAB!$F$14:$F$109,RAB!$C$14:$C$109,'REKAP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SUMIFS(RAB!$F$14:$F$109,RAB!$C$14:$C$109,'REKAP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SUMIFS(RAB!$F$14:$F$109,RAB!$C$14:$C$109,'REKAP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SUMIFS(RAB!$F$14:$F$109,RAB!$C$14:$C$109,'REKAP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SUMIFS(RAB!$F$14:$F$109,RAB!$C$14:$C$109,'REKAP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SUMIFS(RAB!$F$14:$F$109,RAB!$C$14:$C$109,'REKAP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IWANTORO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PERUM PRP SRIWULAN,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230</v>
      </c>
      <c r="G22" s="41">
        <f ca="1">IF(ISERROR(OFFSET('HARGA SATUAN'!$I$6,MATCH(C22,'HARGA SATUAN'!$C$7:$C$1492,0),0)),"",OFFSET('HARGA SATUAN'!$I$6,MATCH(C22,'HARGA SATUAN'!$C$7:$C$1492,0),0))</f>
        <v>30400</v>
      </c>
      <c r="H22" s="42">
        <f t="shared" ca="1" si="1"/>
        <v>6992000</v>
      </c>
      <c r="I22" s="42">
        <f t="shared" ca="1" si="2"/>
        <v>0</v>
      </c>
      <c r="J22" s="42">
        <f t="shared" ca="1" si="3"/>
        <v>0</v>
      </c>
      <c r="K22" s="43">
        <f t="shared" ca="1" si="0"/>
        <v>6992000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60064250</v>
      </c>
      <c r="I168" s="55">
        <f ca="1">SUM(I14:I167)</f>
        <v>0</v>
      </c>
      <c r="J168" s="55">
        <f ca="1">SUM(J14:J167)</f>
        <v>0</v>
      </c>
      <c r="K168" s="55">
        <f ca="1">SUM(K14:K167)</f>
        <v>60064250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6006425</v>
      </c>
      <c r="I169" s="60">
        <f ca="1">I168*0.1</f>
        <v>0</v>
      </c>
      <c r="J169" s="60">
        <f ca="1">J168*0.1</f>
        <v>0</v>
      </c>
      <c r="K169" s="60">
        <f ca="1">K168*0.1</f>
        <v>6006425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66070675</v>
      </c>
      <c r="I170" s="78">
        <f ca="1">SUM(I168:I169)</f>
        <v>0</v>
      </c>
      <c r="J170" s="61">
        <f ca="1">SUM(J168:J169)</f>
        <v>0</v>
      </c>
      <c r="K170" s="61">
        <f ca="1">SUM(K168:K169)</f>
        <v>66070675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SUMIFS(RAB!$F$14:$F$109,RAB!$C$14:$C$109,C224)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SUMIFS(RAB!$F$14:$F$109,RAB!$C$14:$C$109,C225)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SUMIFS(RAB!$F$14:$F$109,RAB!$C$14:$C$109,C226)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SUMIFS(RAB!$F$14:$F$109,RAB!$C$14:$C$109,C227)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SUMIFS(RAB!$F$14:$F$109,RAB!$C$14:$C$109,C228)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SUMIFS(RAB!$F$14:$F$109,RAB!$C$14:$C$109,C229)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SUMIFS(RAB!$F$14:$F$109,RAB!$C$14:$C$109,C230)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SUMIFS(RAB!$F$14:$F$109,RAB!$C$14:$C$109,C231)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SUMIFS(RAB!$F$14:$F$109,RAB!$C$14:$C$109,C232)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SUMIFS(RAB!$F$14:$F$109,RAB!$C$14:$C$109,C233)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SUMIFS(RAB!$F$14:$F$109,RAB!$C$14:$C$109,C234)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SUMIFS(RAB!$F$14:$F$109,RAB!$C$14:$C$109,C235)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SUMIFS(RAB!$F$14:$F$109,RAB!$C$14:$C$109,C236)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SUMIFS(RAB!$F$14:$F$109,RAB!$C$14:$C$109,C237)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SUMIFS(RAB!$F$14:$F$109,RAB!$C$14:$C$109,C238)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SUMIFS(RAB!$F$14:$F$109,RAB!$C$14:$C$109,C239)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SUMIFS(RAB!$F$14:$F$109,RAB!$C$14:$C$109,C240)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SUMIFS(RAB!$F$14:$F$109,RAB!$C$14:$C$109,C241)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SUMIFS(RAB!$F$14:$F$109,RAB!$C$14:$C$109,C242)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SUMIFS(RAB!$F$14:$F$109,RAB!$C$14:$C$109,C243)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SUMIFS(RAB!$F$14:$F$109,RAB!$C$14:$C$109,C244)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SUMIFS(RAB!$F$14:$F$109,RAB!$C$14:$C$109,C245)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SUMIFS(RAB!$F$14:$F$109,RAB!$C$14:$C$109,C246)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SUMIFS(RAB!$F$14:$F$109,RAB!$C$14:$C$109,C247)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SUMIFS(RAB!$F$14:$F$109,RAB!$C$14:$C$109,C248)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SUMIFS(RAB!$F$14:$F$109,RAB!$C$14:$C$109,C249)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SUMIFS(RAB!$F$14:$F$109,RAB!$C$14:$C$109,C250)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SUMIFS(RAB!$F$14:$F$109,RAB!$C$14:$C$109,C251)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SUMIFS(RAB!$F$14:$F$109,RAB!$C$14:$C$109,C252)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SUMIFS(RAB!$F$14:$F$109,RAB!$C$14:$C$109,C253)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SUMIFS(RAB!$F$14:$F$109,RAB!$C$14:$C$109,C254)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SUMIFS(RAB!$F$14:$F$109,RAB!$C$14:$C$109,C255)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SUMIFS(RAB!$F$14:$F$109,RAB!$C$14:$C$109,C256)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SUMIFS(RAB!$F$14:$F$109,RAB!$C$14:$C$109,C257)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SUMIFS(RAB!$F$14:$F$109,RAB!$C$14:$C$109,C258)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SUMIFS(RAB!$F$14:$F$109,RAB!$C$14:$C$109,C259)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SUMIFS(RAB!$F$14:$F$109,RAB!$C$14:$C$109,C260)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SUMIFS(RAB!$F$14:$F$109,RAB!$C$14:$C$109,C261)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SUMIFS(RAB!$F$14:$F$109,RAB!$C$14:$C$109,C262)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SUMIFS(RAB!$F$14:$F$109,RAB!$C$14:$C$109,C263)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SUMIFS(RAB!$F$14:$F$109,RAB!$C$14:$C$109,C264)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SUMIFS(RAB!$F$14:$F$109,RAB!$C$14:$C$109,C265)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SUMIFS(RAB!$F$14:$F$109,RAB!$C$14:$C$109,C266)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SUMIFS(RAB!$F$14:$F$109,RAB!$C$14:$C$109,C267)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SUMIFS(RAB!$F$14:$F$109,RAB!$C$14:$C$109,C268)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SUMIFS(RAB!$F$14:$F$109,RAB!$C$14:$C$109,C269)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SUMIFS(RAB!$F$14:$F$109,RAB!$C$14:$C$109,C270)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SUMIFS(RAB!$F$14:$F$109,RAB!$C$14:$C$109,C271)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SUMIFS(RAB!$F$14:$F$109,RAB!$C$14:$C$109,C272)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SUMIFS(RAB!$F$14:$F$109,RAB!$C$14:$C$109,C273)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SUMIFS(RAB!$F$14:$F$109,RAB!$C$14:$C$109,C274)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SUMIFS(RAB!$F$14:$F$109,RAB!$C$14:$C$109,C275)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SUMIFS(RAB!$F$14:$F$109,RAB!$C$14:$C$109,C276)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SUMIFS(RAB!$F$14:$F$109,RAB!$C$14:$C$109,C277)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SUMIFS(RAB!$F$14:$F$109,RAB!$C$14:$C$109,C278)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SUMIFS(RAB!$F$14:$F$109,RAB!$C$14:$C$109,C279)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SUMIFS(RAB!$F$14:$F$109,RAB!$C$14:$C$109,C280)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SUMIFS(RAB!$F$14:$F$109,RAB!$C$14:$C$109,C281)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SUMIFS(RAB!$F$14:$F$109,RAB!$C$14:$C$109,C282)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SUMIFS(RAB!$F$14:$F$109,RAB!$C$14:$C$109,C283)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SUMIFS(RAB!$F$14:$F$109,RAB!$C$14:$C$109,C284)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SUMIFS(RAB!$F$14:$F$109,RAB!$C$14:$C$109,C285)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SUMIFS(RAB!$F$14:$F$109,RAB!$C$14:$C$109,C286)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SUMIFS(RAB!$F$14:$F$109,RAB!$C$14:$C$109,C287)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SUMIFS(RAB!$F$14:$F$109,RAB!$C$14:$C$109,C288)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SUMIFS(RAB!$F$14:$F$109,RAB!$C$14:$C$109,C289)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SUMIFS(RAB!$F$14:$F$109,RAB!$C$14:$C$109,C290)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SUMIFS(RAB!$F$14:$F$109,RAB!$C$14:$C$109,C291)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SUMIFS(RAB!$F$14:$F$109,RAB!$C$14:$C$109,C292)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SUMIFS(RAB!$F$14:$F$109,RAB!$C$14:$C$109,C293)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SUMIFS(RAB!$F$14:$F$109,RAB!$C$14:$C$109,C294)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SUMIFS(RAB!$F$14:$F$109,RAB!$C$14:$C$109,C295)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SUMIFS(RAB!$F$14:$F$109,RAB!$C$14:$C$109,C296)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SUMIFS(RAB!$F$14:$F$109,RAB!$C$14:$C$109,C297)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SUMIFS(RAB!$F$14:$F$109,RAB!$C$14:$C$109,C298)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SUMIFS(RAB!$F$14:$F$109,RAB!$C$14:$C$109,C299)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SUMIFS(RAB!$F$14:$F$109,RAB!$C$14:$C$109,C300)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SUMIFS(RAB!$F$14:$F$109,RAB!$C$14:$C$109,C301)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SUMIFS(RAB!$F$14:$F$109,RAB!$C$14:$C$109,C302)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SUMIFS(RAB!$F$14:$F$109,RAB!$C$14:$C$109,C303)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SUMIFS(RAB!$F$14:$F$109,RAB!$C$14:$C$109,C304)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SUMIFS(RAB!$F$14:$F$109,RAB!$C$14:$C$109,C305)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SUMIFS(RAB!$F$14:$F$109,RAB!$C$14:$C$109,C306)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SUMIFS(RAB!$F$14:$F$109,RAB!$C$14:$C$109,C307)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SUMIFS(RAB!$F$14:$F$109,RAB!$C$14:$C$109,C308)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SUMIFS(RAB!$F$14:$F$109,RAB!$C$14:$C$109,C309)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SUMIFS(RAB!$F$14:$F$109,RAB!$C$14:$C$109,C310)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SUMIFS(RAB!$F$14:$F$109,RAB!$C$14:$C$109,C311)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SUMIFS(RAB!$F$14:$F$109,RAB!$C$14:$C$109,C312)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SUMIFS(RAB!$F$14:$F$109,RAB!$C$14:$C$109,C313)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SUMIFS(RAB!$F$14:$F$109,RAB!$C$14:$C$109,C314)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SUMIFS(RAB!$F$14:$F$109,RAB!$C$14:$C$109,C315)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SUMIFS(RAB!$F$14:$F$109,RAB!$C$14:$C$109,C316)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SUMIFS(RAB!$F$14:$F$109,RAB!$C$14:$C$109,C317)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SUMIFS(RAB!$F$14:$F$109,RAB!$C$14:$C$109,C318)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SUMIFS(RAB!$F$14:$F$109,RAB!$C$14:$C$109,C319)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SUMIFS(RAB!$F$14:$F$109,RAB!$C$14:$C$109,C320)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SUMIFS(RAB!$F$14:$F$109,RAB!$C$14:$C$109,C321)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SUMIFS(RAB!$F$14:$F$109,RAB!$C$14:$C$109,C322)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SUMIFS(RAB!$F$14:$F$109,RAB!$C$14:$C$109,C323)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SUMIFS(RAB!$F$14:$F$109,RAB!$C$14:$C$109,C324)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SUMIFS(RAB!$F$14:$F$109,RAB!$C$14:$C$109,C325)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SUMIFS(RAB!$F$14:$F$109,RAB!$C$14:$C$109,C326)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SUMIFS(RAB!$F$14:$F$109,RAB!$C$14:$C$109,C327)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SUMIFS(RAB!$F$14:$F$109,RAB!$C$14:$C$109,C328)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SUMIFS(RAB!$F$14:$F$109,RAB!$C$14:$C$109,C329)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SUMIFS(RAB!$F$14:$F$109,RAB!$C$14:$C$109,C330)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SUMIFS(RAB!$F$14:$F$109,RAB!$C$14:$C$109,C331)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SUMIFS(RAB!$F$14:$F$109,RAB!$C$14:$C$109,C332)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SUMIFS(RAB!$F$14:$F$109,RAB!$C$14:$C$109,C333)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SUMIFS(RAB!$F$14:$F$109,RAB!$C$14:$C$109,C334)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SUMIFS(RAB!$F$14:$F$109,RAB!$C$14:$C$109,C335)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SUMIFS(RAB!$F$14:$F$109,RAB!$C$14:$C$109,C336)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SUMIFS(RAB!$F$14:$F$109,RAB!$C$14:$C$109,C337)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SUMIFS(RAB!$F$14:$F$109,RAB!$C$14:$C$109,C338)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SUMIFS(RAB!$F$14:$F$109,RAB!$C$14:$C$109,C339)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SUMIFS(RAB!$F$14:$F$109,RAB!$C$14:$C$109,C340)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SUMIFS(RAB!$F$14:$F$109,RAB!$C$14:$C$109,C341)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SUMIFS(RAB!$F$14:$F$109,RAB!$C$14:$C$109,C342)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SUMIFS(RAB!$F$14:$F$109,RAB!$C$14:$C$109,C343)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SUMIFS(RAB!$F$14:$F$109,RAB!$C$14:$C$109,C344)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SUMIFS(RAB!$F$14:$F$109,RAB!$C$14:$C$109,C345)</f>
        <v>230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SUMIFS(RAB!$F$14:$F$109,RAB!$C$14:$C$109,C346)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SUMIFS(RAB!$F$14:$F$109,RAB!$C$14:$C$109,C347)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SUMIFS(RAB!$F$14:$F$109,RAB!$C$14:$C$109,C348)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SUMIFS(RAB!$F$14:$F$109,RAB!$C$14:$C$109,C349)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SUMIFS(RAB!$F$14:$F$109,RAB!$C$14:$C$109,C350)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SUMIFS(RAB!$F$14:$F$109,RAB!$C$14:$C$109,C351)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SUMIFS(RAB!$F$14:$F$109,RAB!$C$14:$C$109,C352)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SUMIFS(RAB!$F$14:$F$109,RAB!$C$14:$C$109,C353)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SUMIFS(RAB!$F$14:$F$109,RAB!$C$14:$C$109,C354)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SUMIFS(RAB!$F$14:$F$109,RAB!$C$14:$C$109,C355)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SUMIFS(RAB!$F$14:$F$109,RAB!$C$14:$C$109,C356)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SUMIFS(RAB!$F$14:$F$109,RAB!$C$14:$C$109,C357)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SUMIFS(RAB!$F$14:$F$109,RAB!$C$14:$C$109,C358)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SUMIFS(RAB!$F$14:$F$109,RAB!$C$14:$C$109,C359)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SUMIFS(RAB!$F$14:$F$109,RAB!$C$14:$C$109,C360)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SUMIFS(RAB!$F$14:$F$109,RAB!$C$14:$C$109,C361)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SUMIFS(RAB!$F$14:$F$109,RAB!$C$14:$C$109,C362)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SUMIFS(RAB!$F$14:$F$109,RAB!$C$14:$C$109,C363)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SUMIFS(RAB!$F$14:$F$109,RAB!$C$14:$C$109,C364)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SUMIFS(RAB!$F$14:$F$109,RAB!$C$14:$C$109,C365)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SUMIFS(RAB!$F$14:$F$109,RAB!$C$14:$C$109,C366)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SUMIFS(RAB!$F$14:$F$109,RAB!$C$14:$C$109,C367)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SUMIFS(RAB!$F$14:$F$109,RAB!$C$14:$C$109,C368)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SUMIFS(RAB!$F$14:$F$109,RAB!$C$14:$C$109,C369)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SUMIFS(RAB!$F$14:$F$109,RAB!$C$14:$C$109,C370)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SUMIFS(RAB!$F$14:$F$109,RAB!$C$14:$C$109,C371)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SUMIFS(RAB!$F$14:$F$109,RAB!$C$14:$C$109,C372)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SUMIFS(RAB!$F$14:$F$109,RAB!$C$14:$C$109,C373)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34" activePane="bottomRight" state="frozen"/>
      <selection activeCell="D209" sqref="D209"/>
      <selection pane="topRight" activeCell="D209" sqref="D209"/>
      <selection pane="bottomLeft" activeCell="D209" sqref="D209"/>
      <selection pane="bottomRight" activeCell="C751" sqref="C75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1609</v>
      </c>
      <c r="G4" s="108" t="s">
        <v>1608</v>
      </c>
      <c r="H4" s="55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3" t="s">
        <v>1454</v>
      </c>
      <c r="C2" s="593"/>
      <c r="D2" s="593"/>
      <c r="E2" s="59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8" t="s">
        <v>1532</v>
      </c>
      <c r="C4" s="599"/>
      <c r="D4" s="599"/>
      <c r="E4" s="600"/>
      <c r="F4" s="442"/>
      <c r="G4" s="442"/>
      <c r="H4" s="443"/>
      <c r="I4" s="562" t="s">
        <v>1533</v>
      </c>
      <c r="J4" s="563"/>
      <c r="K4" s="563"/>
      <c r="L4" s="564"/>
    </row>
    <row r="5" spans="1:12" ht="34.5" customHeight="1">
      <c r="A5" s="204"/>
      <c r="B5" s="445" t="s">
        <v>1379</v>
      </c>
      <c r="C5" s="277" t="s">
        <v>9</v>
      </c>
      <c r="D5" s="594" t="str">
        <f>DATA!D14</f>
        <v>IWANTORO</v>
      </c>
      <c r="E5" s="595"/>
      <c r="F5" s="208"/>
      <c r="G5" s="208"/>
      <c r="I5" s="446" t="s">
        <v>1379</v>
      </c>
      <c r="J5" s="277" t="s">
        <v>9</v>
      </c>
      <c r="K5" s="565" t="str">
        <f>D5</f>
        <v>IWANTORO</v>
      </c>
      <c r="L5" s="566"/>
    </row>
    <row r="6" spans="1:12" ht="31.5" customHeight="1">
      <c r="A6" s="204"/>
      <c r="B6" s="445" t="s">
        <v>1529</v>
      </c>
      <c r="C6" s="277" t="s">
        <v>9</v>
      </c>
      <c r="D6" s="603">
        <f>DATA!D17*1000</f>
        <v>7700</v>
      </c>
      <c r="E6" s="604"/>
      <c r="F6" s="208"/>
      <c r="G6" s="208"/>
      <c r="I6" s="446" t="s">
        <v>1530</v>
      </c>
      <c r="J6" s="277" t="s">
        <v>9</v>
      </c>
      <c r="K6" s="567">
        <f>DATA!D20*1000</f>
        <v>16500</v>
      </c>
      <c r="L6" s="568"/>
    </row>
    <row r="7" spans="1:12" ht="30.75" customHeight="1">
      <c r="A7" s="204"/>
      <c r="B7" s="445" t="s">
        <v>1441</v>
      </c>
      <c r="C7" s="277" t="s">
        <v>9</v>
      </c>
      <c r="D7" s="601">
        <f>DATA!D18</f>
        <v>1</v>
      </c>
      <c r="E7" s="602"/>
      <c r="F7" s="444" t="s">
        <v>1453</v>
      </c>
      <c r="I7" s="446" t="s">
        <v>1441</v>
      </c>
      <c r="J7" s="277" t="s">
        <v>9</v>
      </c>
      <c r="K7" s="569">
        <f>DATA!D21</f>
        <v>3</v>
      </c>
      <c r="L7" s="570"/>
    </row>
    <row r="8" spans="1:12" ht="51" customHeight="1">
      <c r="A8" s="204"/>
      <c r="B8" s="445" t="s">
        <v>1442</v>
      </c>
      <c r="C8" s="277" t="s">
        <v>9</v>
      </c>
      <c r="D8" s="601">
        <f>DATA!D19</f>
        <v>220</v>
      </c>
      <c r="E8" s="602"/>
      <c r="F8" s="444" t="s">
        <v>1453</v>
      </c>
      <c r="G8" s="439">
        <v>220</v>
      </c>
      <c r="I8" s="446" t="s">
        <v>1442</v>
      </c>
      <c r="J8" s="277" t="s">
        <v>9</v>
      </c>
      <c r="K8" s="569">
        <f>DATA!D22</f>
        <v>380</v>
      </c>
      <c r="L8" s="570"/>
    </row>
    <row r="9" spans="1:12" ht="30" customHeight="1" thickBot="1">
      <c r="A9" s="204"/>
      <c r="B9" s="451" t="s">
        <v>1541</v>
      </c>
      <c r="C9" s="441" t="s">
        <v>9</v>
      </c>
      <c r="D9" s="596">
        <f>IF(D7=1,D6/(380/3^0.5),(D6/(380*3^0.5)))</f>
        <v>35.096818995474621</v>
      </c>
      <c r="E9" s="597"/>
      <c r="F9" s="207"/>
      <c r="G9" s="440">
        <v>380</v>
      </c>
      <c r="I9" s="452" t="s">
        <v>1541</v>
      </c>
      <c r="J9" s="441" t="s">
        <v>9</v>
      </c>
      <c r="K9" s="573">
        <f>IF(K7=1,K6/(380/3^0.5),(K6/(380*3^0.5)))</f>
        <v>25.069156425339017</v>
      </c>
      <c r="L9" s="57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5"/>
      <c r="E12" s="606"/>
      <c r="F12" s="208"/>
      <c r="G12" s="208"/>
      <c r="I12" s="468" t="s">
        <v>1534</v>
      </c>
      <c r="J12" s="469" t="s">
        <v>9</v>
      </c>
      <c r="K12" s="605"/>
      <c r="L12" s="606"/>
    </row>
    <row r="13" spans="1:12" ht="31.5" customHeight="1">
      <c r="A13" s="204"/>
      <c r="B13" s="476" t="s">
        <v>1380</v>
      </c>
      <c r="C13" s="456" t="s">
        <v>9</v>
      </c>
      <c r="D13" s="571"/>
      <c r="E13" s="572"/>
      <c r="F13" s="208"/>
      <c r="G13" s="208"/>
      <c r="I13" s="470" t="s">
        <v>1380</v>
      </c>
      <c r="J13" s="456" t="s">
        <v>9</v>
      </c>
      <c r="K13" s="571"/>
      <c r="L13" s="572"/>
    </row>
    <row r="14" spans="1:12" ht="30.75" customHeight="1">
      <c r="A14" s="204"/>
      <c r="B14" s="476" t="s">
        <v>1535</v>
      </c>
      <c r="C14" s="456" t="s">
        <v>9</v>
      </c>
      <c r="D14" s="575"/>
      <c r="E14" s="576"/>
      <c r="F14" s="444" t="s">
        <v>1453</v>
      </c>
      <c r="G14" s="448">
        <v>50</v>
      </c>
      <c r="I14" s="470" t="s">
        <v>1535</v>
      </c>
      <c r="J14" s="456" t="s">
        <v>9</v>
      </c>
      <c r="K14" s="577"/>
      <c r="L14" s="57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9">
        <v>0</v>
      </c>
      <c r="E16" s="580"/>
      <c r="F16" s="444"/>
      <c r="G16" s="448">
        <v>160</v>
      </c>
      <c r="I16" s="470" t="s">
        <v>1537</v>
      </c>
      <c r="J16" s="456" t="s">
        <v>9</v>
      </c>
      <c r="K16" s="583">
        <f>K9</f>
        <v>25.069156425339017</v>
      </c>
      <c r="L16" s="584"/>
    </row>
    <row r="17" spans="1:12" ht="34.5" customHeight="1">
      <c r="A17" s="204"/>
      <c r="B17" s="476" t="s">
        <v>1538</v>
      </c>
      <c r="C17" s="456" t="s">
        <v>9</v>
      </c>
      <c r="D17" s="581">
        <f>IF(D15=1,D14/(20/3^0.5),(D14/(20*3^0.5)))</f>
        <v>0</v>
      </c>
      <c r="E17" s="582"/>
      <c r="F17" s="444" t="s">
        <v>1453</v>
      </c>
      <c r="G17" s="449">
        <v>200</v>
      </c>
      <c r="I17" s="470" t="s">
        <v>1538</v>
      </c>
      <c r="J17" s="456" t="s">
        <v>9</v>
      </c>
      <c r="K17" s="587">
        <f>IF(K15=1,K14/(20/3^0.5),(K14/(20*3^0.5)))</f>
        <v>0</v>
      </c>
      <c r="L17" s="588"/>
    </row>
    <row r="18" spans="1:12" ht="34.5" customHeight="1">
      <c r="A18" s="204"/>
      <c r="B18" s="476" t="s">
        <v>1539</v>
      </c>
      <c r="C18" s="456" t="s">
        <v>9</v>
      </c>
      <c r="D18" s="581">
        <f>IF(D15=1,D14/(380/3^0.5),(D14/(380*3^0.5)))*1000</f>
        <v>0</v>
      </c>
      <c r="E18" s="582"/>
      <c r="F18" s="444" t="s">
        <v>1453</v>
      </c>
      <c r="G18" s="449">
        <v>250</v>
      </c>
      <c r="I18" s="470" t="s">
        <v>1539</v>
      </c>
      <c r="J18" s="456" t="s">
        <v>9</v>
      </c>
      <c r="K18" s="587">
        <f>IF(K15=1,K14/(380/3^0.5),(K14/(380*3^0.5)))*1000</f>
        <v>0</v>
      </c>
      <c r="L18" s="588"/>
    </row>
    <row r="19" spans="1:12" ht="30" customHeight="1">
      <c r="A19" s="204"/>
      <c r="B19" s="477" t="s">
        <v>1531</v>
      </c>
      <c r="C19" s="455" t="s">
        <v>9</v>
      </c>
      <c r="D19" s="581">
        <f>IF(D15=1,D14/(380/3^0.5),(D14/(380*3^0.5)))</f>
        <v>0</v>
      </c>
      <c r="E19" s="582"/>
      <c r="F19" s="207"/>
      <c r="G19" s="440"/>
      <c r="I19" s="472" t="s">
        <v>1531</v>
      </c>
      <c r="J19" s="455" t="s">
        <v>9</v>
      </c>
      <c r="K19" s="587">
        <f>IF(K15=1,K14/(380/3^0.5),(K14/(380*3^0.5)))</f>
        <v>0</v>
      </c>
      <c r="L19" s="588"/>
    </row>
    <row r="20" spans="1:12" ht="30" customHeight="1" thickBot="1">
      <c r="A20" s="204"/>
      <c r="B20" s="478" t="s">
        <v>1540</v>
      </c>
      <c r="C20" s="474" t="s">
        <v>9</v>
      </c>
      <c r="D20" s="607" t="e">
        <f>D16/D18</f>
        <v>#DIV/0!</v>
      </c>
      <c r="E20" s="608"/>
      <c r="F20" s="207"/>
      <c r="G20" s="440"/>
      <c r="I20" s="473" t="s">
        <v>1531</v>
      </c>
      <c r="J20" s="474" t="s">
        <v>9</v>
      </c>
      <c r="K20" s="585" t="e">
        <f>K16/K18</f>
        <v>#DIV/0!</v>
      </c>
      <c r="L20" s="586"/>
    </row>
    <row r="21" spans="1:12" ht="9.75" customHeight="1">
      <c r="A21" s="204"/>
      <c r="B21" s="463" t="s">
        <v>1540</v>
      </c>
      <c r="C21" s="464" t="s">
        <v>9</v>
      </c>
      <c r="D21" s="592">
        <v>1</v>
      </c>
      <c r="E21" s="592"/>
      <c r="F21" s="465"/>
      <c r="G21" s="466"/>
      <c r="H21" s="467"/>
      <c r="I21" s="463" t="s">
        <v>1531</v>
      </c>
      <c r="J21" s="464" t="s">
        <v>9</v>
      </c>
      <c r="K21" s="592">
        <v>1</v>
      </c>
      <c r="L21" s="592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N26" sqref="N2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8.8000000000000007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8527200</v>
      </c>
    </row>
    <row r="10" spans="2:11" ht="20.100000000000001" customHeight="1">
      <c r="B10" s="291" t="s">
        <v>1446</v>
      </c>
      <c r="C10" s="292" t="s">
        <v>9</v>
      </c>
      <c r="D10" s="298">
        <f ca="1">RAB!K115</f>
        <v>101516383.43855999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2030327.6687711999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1637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7.7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16.5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IWANTORO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6" t="s">
        <v>1359</v>
      </c>
      <c r="E5" s="616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4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2816</v>
      </c>
      <c r="D7" s="316">
        <f>C7*4/24</f>
        <v>469.33333333333331</v>
      </c>
      <c r="E7" s="316">
        <f>C7-D7</f>
        <v>2346.6666666666665</v>
      </c>
      <c r="F7" s="317">
        <f ca="1">DATA!D10/1000000</f>
        <v>101.51638343856</v>
      </c>
      <c r="G7" s="318">
        <f ca="1">DATA!$D$11/1000000</f>
        <v>2.0303276687712</v>
      </c>
      <c r="H7" s="318">
        <f>C7*DATA!$D$5/1000000</f>
        <v>3.0528961292166206</v>
      </c>
      <c r="I7" s="318">
        <f>(C7*DATA!$D$5*DATA!$D$7)/1000000</f>
        <v>6.8690162907373967E-2</v>
      </c>
      <c r="J7" s="316">
        <f ca="1">SUM(F7:I7)</f>
        <v>106.66829739945518</v>
      </c>
      <c r="K7" s="319">
        <f>DATA!D9/1000000</f>
        <v>8.5272000000000006</v>
      </c>
      <c r="L7" s="316">
        <f>((D7*DATA!$D$23)/1000000)+((E7*DATA!$D$24)/1000000)</f>
        <v>4.0682751999999995</v>
      </c>
      <c r="M7" s="316">
        <f>K7+L7</f>
        <v>12.595475199999999</v>
      </c>
      <c r="N7" s="316">
        <f ca="1">M7-J7</f>
        <v>-94.072822199455189</v>
      </c>
      <c r="O7" s="314">
        <v>1</v>
      </c>
      <c r="P7" s="316">
        <f ca="1">O7*N7</f>
        <v>-94.072822199455189</v>
      </c>
      <c r="Q7" s="316">
        <f ca="1">P7</f>
        <v>-94.072822199455189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4224</v>
      </c>
      <c r="D8" s="316">
        <f>C8*4/24</f>
        <v>704</v>
      </c>
      <c r="E8" s="316">
        <f t="shared" ref="E8:E32" si="0">C8-D8</f>
        <v>3520</v>
      </c>
      <c r="F8" s="314"/>
      <c r="G8" s="318">
        <f ca="1">DATA!$D$11/1000000</f>
        <v>2.0303276687712</v>
      </c>
      <c r="H8" s="318">
        <f>C8*DATA!$D$5/1000000</f>
        <v>4.5793441938249311</v>
      </c>
      <c r="I8" s="318">
        <f>(C8*DATA!$D$5*DATA!$D$7)/1000000</f>
        <v>0.10303524436106094</v>
      </c>
      <c r="J8" s="316">
        <f t="shared" ref="J8:J32" ca="1" si="1">SUM(F8:I8)</f>
        <v>6.7127071069571924</v>
      </c>
      <c r="K8" s="321"/>
      <c r="L8" s="316">
        <f>((D8*DATA!$D$23)/1000000)+((E8*DATA!$D$24)/1000000)</f>
        <v>6.1024127999999997</v>
      </c>
      <c r="M8" s="316">
        <f t="shared" ref="M8:M32" si="2">K8+L8</f>
        <v>6.1024127999999997</v>
      </c>
      <c r="N8" s="316">
        <f ca="1">M8-J8</f>
        <v>-0.61029430695719267</v>
      </c>
      <c r="O8" s="315">
        <f>1/(1+'[93]Asumsi I'!$C$3)^(KKF!A8)</f>
        <v>0.89285714285714279</v>
      </c>
      <c r="P8" s="316">
        <f ca="1">O8*N8</f>
        <v>-0.54490563121177915</v>
      </c>
      <c r="Q8" s="316">
        <f ca="1">Q7+P8</f>
        <v>-94.617727830666965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4224</v>
      </c>
      <c r="D9" s="316">
        <f t="shared" ref="D9:D32" si="5">C9*4/24</f>
        <v>704</v>
      </c>
      <c r="E9" s="316">
        <f t="shared" si="0"/>
        <v>3520</v>
      </c>
      <c r="F9" s="314"/>
      <c r="G9" s="318">
        <f ca="1">DATA!$D$11/1000000</f>
        <v>2.0303276687712</v>
      </c>
      <c r="H9" s="318">
        <f>C9*DATA!$D$5/1000000</f>
        <v>4.5793441938249311</v>
      </c>
      <c r="I9" s="318">
        <f>(C9*DATA!$D$5*DATA!$D$7)/1000000</f>
        <v>0.10303524436106094</v>
      </c>
      <c r="J9" s="316">
        <f t="shared" ca="1" si="1"/>
        <v>6.7127071069571924</v>
      </c>
      <c r="K9" s="316"/>
      <c r="L9" s="316">
        <f>((D9*DATA!$D$23)/1000000)+((E9*DATA!$D$24)/1000000)</f>
        <v>6.1024127999999997</v>
      </c>
      <c r="M9" s="316">
        <f t="shared" si="2"/>
        <v>6.1024127999999997</v>
      </c>
      <c r="N9" s="316">
        <f t="shared" ref="N9:N32" ca="1" si="6">M9-J9</f>
        <v>-0.61029430695719267</v>
      </c>
      <c r="O9" s="322">
        <f>1/(1+'[93]Asumsi I'!$C$3)^(KKF!A9)</f>
        <v>0.79719387755102034</v>
      </c>
      <c r="P9" s="316">
        <f t="shared" ref="P9:P32" ca="1" si="7">O9*N9</f>
        <v>-0.48652288501051705</v>
      </c>
      <c r="Q9" s="316">
        <f ca="1">Q8+P9</f>
        <v>-95.10425071567748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4224</v>
      </c>
      <c r="D10" s="316">
        <f t="shared" si="5"/>
        <v>704</v>
      </c>
      <c r="E10" s="316">
        <f t="shared" si="0"/>
        <v>3520</v>
      </c>
      <c r="F10" s="314"/>
      <c r="G10" s="318">
        <f ca="1">DATA!$D$11/1000000</f>
        <v>2.0303276687712</v>
      </c>
      <c r="H10" s="318">
        <f>C10*DATA!$D$5/1000000</f>
        <v>4.5793441938249311</v>
      </c>
      <c r="I10" s="318">
        <f>(C10*DATA!$D$5*DATA!$D$7)/1000000</f>
        <v>0.10303524436106094</v>
      </c>
      <c r="J10" s="316">
        <f t="shared" ca="1" si="1"/>
        <v>6.7127071069571924</v>
      </c>
      <c r="K10" s="314"/>
      <c r="L10" s="316">
        <f>((D10*DATA!$D$23)/1000000)+((E10*DATA!$D$24)/1000000)</f>
        <v>6.1024127999999997</v>
      </c>
      <c r="M10" s="316">
        <f t="shared" si="2"/>
        <v>6.1024127999999997</v>
      </c>
      <c r="N10" s="316">
        <f t="shared" ca="1" si="6"/>
        <v>-0.61029430695719267</v>
      </c>
      <c r="O10" s="315">
        <f>1/(1+'[93]Asumsi I'!$C$3)^(KKF!A10)</f>
        <v>0.71178024781341087</v>
      </c>
      <c r="P10" s="316">
        <f t="shared" ca="1" si="7"/>
        <v>-0.43439543304510442</v>
      </c>
      <c r="Q10" s="316">
        <f t="shared" ref="Q10:Q30" ca="1" si="9">Q9+P10</f>
        <v>-95.538646148722592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4224</v>
      </c>
      <c r="D11" s="316">
        <f t="shared" si="5"/>
        <v>704</v>
      </c>
      <c r="E11" s="316">
        <f t="shared" si="0"/>
        <v>3520</v>
      </c>
      <c r="F11" s="314"/>
      <c r="G11" s="318">
        <f ca="1">DATA!$D$11/1000000</f>
        <v>2.0303276687712</v>
      </c>
      <c r="H11" s="318">
        <f>C11*DATA!$D$5/1000000</f>
        <v>4.5793441938249311</v>
      </c>
      <c r="I11" s="318">
        <f>(C11*DATA!$D$5*DATA!$D$7)/1000000</f>
        <v>0.10303524436106094</v>
      </c>
      <c r="J11" s="316">
        <f t="shared" ca="1" si="1"/>
        <v>6.7127071069571924</v>
      </c>
      <c r="K11" s="314"/>
      <c r="L11" s="316">
        <f>((D11*DATA!$D$23)/1000000)+((E11*DATA!$D$24)/1000000)</f>
        <v>6.1024127999999997</v>
      </c>
      <c r="M11" s="316">
        <f t="shared" si="2"/>
        <v>6.1024127999999997</v>
      </c>
      <c r="N11" s="316">
        <f t="shared" ca="1" si="6"/>
        <v>-0.61029430695719267</v>
      </c>
      <c r="O11" s="315">
        <f>1/(1+'[93]Asumsi I'!$C$3)^(KKF!A11)</f>
        <v>0.63551807840483121</v>
      </c>
      <c r="P11" s="316">
        <f t="shared" ca="1" si="7"/>
        <v>-0.38785306521884327</v>
      </c>
      <c r="Q11" s="316">
        <f t="shared" ca="1" si="9"/>
        <v>-95.92649921394144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4224</v>
      </c>
      <c r="D12" s="316">
        <f t="shared" si="5"/>
        <v>704</v>
      </c>
      <c r="E12" s="316">
        <f t="shared" si="0"/>
        <v>3520</v>
      </c>
      <c r="F12" s="314"/>
      <c r="G12" s="318">
        <f ca="1">DATA!$D$11/1000000</f>
        <v>2.0303276687712</v>
      </c>
      <c r="H12" s="318">
        <f>C12*DATA!$D$5/1000000</f>
        <v>4.5793441938249311</v>
      </c>
      <c r="I12" s="318">
        <f>(C12*DATA!$D$5*DATA!$D$7)/1000000</f>
        <v>0.10303524436106094</v>
      </c>
      <c r="J12" s="316">
        <f t="shared" ca="1" si="1"/>
        <v>6.7127071069571924</v>
      </c>
      <c r="K12" s="314"/>
      <c r="L12" s="316">
        <f>((D12*DATA!$D$23)/1000000)+((E12*DATA!$D$24)/1000000)</f>
        <v>6.1024127999999997</v>
      </c>
      <c r="M12" s="316">
        <f t="shared" si="2"/>
        <v>6.1024127999999997</v>
      </c>
      <c r="N12" s="316">
        <f t="shared" ca="1" si="6"/>
        <v>-0.61029430695719267</v>
      </c>
      <c r="O12" s="315">
        <f>1/(1+'[93]Asumsi I'!$C$3)^(KKF!A12)</f>
        <v>0.56742685571859919</v>
      </c>
      <c r="P12" s="316">
        <f t="shared" ca="1" si="7"/>
        <v>-0.34629737965968144</v>
      </c>
      <c r="Q12" s="316">
        <f t="shared" ca="1" si="9"/>
        <v>-96.272796593601129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4224</v>
      </c>
      <c r="D13" s="316">
        <f t="shared" si="5"/>
        <v>704</v>
      </c>
      <c r="E13" s="316">
        <f t="shared" si="0"/>
        <v>3520</v>
      </c>
      <c r="F13" s="314"/>
      <c r="G13" s="318">
        <f ca="1">DATA!$D$11/1000000</f>
        <v>2.0303276687712</v>
      </c>
      <c r="H13" s="318">
        <f>C13*DATA!$D$5/1000000</f>
        <v>4.5793441938249311</v>
      </c>
      <c r="I13" s="318">
        <f>(C13*DATA!$D$5*DATA!$D$7)/1000000</f>
        <v>0.10303524436106094</v>
      </c>
      <c r="J13" s="316">
        <f t="shared" ca="1" si="1"/>
        <v>6.7127071069571924</v>
      </c>
      <c r="K13" s="314"/>
      <c r="L13" s="316">
        <f>((D13*DATA!$D$23)/1000000)+((E13*DATA!$D$24)/1000000)</f>
        <v>6.1024127999999997</v>
      </c>
      <c r="M13" s="316">
        <f t="shared" si="2"/>
        <v>6.1024127999999997</v>
      </c>
      <c r="N13" s="316">
        <f t="shared" ca="1" si="6"/>
        <v>-0.61029430695719267</v>
      </c>
      <c r="O13" s="315">
        <f>1/(1+'[93]Asumsi I'!$C$3)^(KKF!A13)</f>
        <v>0.50663112117732068</v>
      </c>
      <c r="P13" s="316">
        <f t="shared" ca="1" si="7"/>
        <v>-0.30919408898185841</v>
      </c>
      <c r="Q13" s="316">
        <f t="shared" ca="1" si="9"/>
        <v>-96.581990682582983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4224</v>
      </c>
      <c r="D14" s="316">
        <f t="shared" si="5"/>
        <v>704</v>
      </c>
      <c r="E14" s="316">
        <f t="shared" si="0"/>
        <v>3520</v>
      </c>
      <c r="F14" s="314"/>
      <c r="G14" s="318">
        <f ca="1">DATA!$D$11/1000000</f>
        <v>2.0303276687712</v>
      </c>
      <c r="H14" s="318">
        <f>C14*DATA!$D$5/1000000</f>
        <v>4.5793441938249311</v>
      </c>
      <c r="I14" s="318">
        <f>(C14*DATA!$D$5*DATA!$D$7)/1000000</f>
        <v>0.10303524436106094</v>
      </c>
      <c r="J14" s="316">
        <f t="shared" ca="1" si="1"/>
        <v>6.7127071069571924</v>
      </c>
      <c r="K14" s="314"/>
      <c r="L14" s="316">
        <f>((D14*DATA!$D$23)/1000000)+((E14*DATA!$D$24)/1000000)</f>
        <v>6.1024127999999997</v>
      </c>
      <c r="M14" s="316">
        <f t="shared" si="2"/>
        <v>6.1024127999999997</v>
      </c>
      <c r="N14" s="316">
        <f t="shared" ca="1" si="6"/>
        <v>-0.61029430695719267</v>
      </c>
      <c r="O14" s="315">
        <f>1/(1+'[93]Asumsi I'!$C$3)^(KKF!A14)</f>
        <v>0.45234921533689343</v>
      </c>
      <c r="P14" s="316">
        <f t="shared" ca="1" si="7"/>
        <v>-0.27606615087665931</v>
      </c>
      <c r="Q14" s="316">
        <f t="shared" ca="1" si="9"/>
        <v>-96.858056833459642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4224</v>
      </c>
      <c r="D15" s="316">
        <f t="shared" si="5"/>
        <v>704</v>
      </c>
      <c r="E15" s="316">
        <f t="shared" si="0"/>
        <v>3520</v>
      </c>
      <c r="F15" s="314"/>
      <c r="G15" s="318">
        <f ca="1">DATA!$D$11/1000000</f>
        <v>2.0303276687712</v>
      </c>
      <c r="H15" s="318">
        <f>C15*DATA!$D$5/1000000</f>
        <v>4.5793441938249311</v>
      </c>
      <c r="I15" s="318">
        <f>(C15*DATA!$D$5*DATA!$D$7)/1000000</f>
        <v>0.10303524436106094</v>
      </c>
      <c r="J15" s="316">
        <f t="shared" ca="1" si="1"/>
        <v>6.7127071069571924</v>
      </c>
      <c r="K15" s="314"/>
      <c r="L15" s="316">
        <f>((D15*DATA!$D$23)/1000000)+((E15*DATA!$D$24)/1000000)</f>
        <v>6.1024127999999997</v>
      </c>
      <c r="M15" s="316">
        <f t="shared" si="2"/>
        <v>6.1024127999999997</v>
      </c>
      <c r="N15" s="316">
        <f t="shared" ca="1" si="6"/>
        <v>-0.61029430695719267</v>
      </c>
      <c r="O15" s="315">
        <f>1/(1+'[93]Asumsi I'!$C$3)^(KKF!A15)</f>
        <v>0.4038832279793691</v>
      </c>
      <c r="P15" s="316">
        <f t="shared" ca="1" si="7"/>
        <v>-0.24648763471130292</v>
      </c>
      <c r="Q15" s="316">
        <f t="shared" ca="1" si="9"/>
        <v>-97.104544468170943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4224</v>
      </c>
      <c r="D16" s="316">
        <f t="shared" si="5"/>
        <v>704</v>
      </c>
      <c r="E16" s="316">
        <f t="shared" si="0"/>
        <v>3520</v>
      </c>
      <c r="F16" s="314"/>
      <c r="G16" s="318">
        <f ca="1">DATA!$D$11/1000000</f>
        <v>2.0303276687712</v>
      </c>
      <c r="H16" s="318">
        <f>C16*DATA!$D$5/1000000</f>
        <v>4.5793441938249311</v>
      </c>
      <c r="I16" s="318">
        <f>(C16*DATA!$D$5*DATA!$D$7)/1000000</f>
        <v>0.10303524436106094</v>
      </c>
      <c r="J16" s="316">
        <f t="shared" ca="1" si="1"/>
        <v>6.7127071069571924</v>
      </c>
      <c r="K16" s="314"/>
      <c r="L16" s="316">
        <f>((D16*DATA!$D$23)/1000000)+((E16*DATA!$D$24)/1000000)</f>
        <v>6.1024127999999997</v>
      </c>
      <c r="M16" s="316">
        <f t="shared" si="2"/>
        <v>6.1024127999999997</v>
      </c>
      <c r="N16" s="316">
        <f t="shared" ca="1" si="6"/>
        <v>-0.61029430695719267</v>
      </c>
      <c r="O16" s="315">
        <f>1/(1+'[93]Asumsi I'!$C$3)^(KKF!A16)</f>
        <v>0.36061002498157957</v>
      </c>
      <c r="P16" s="316">
        <f t="shared" ca="1" si="7"/>
        <v>-0.22007824527794903</v>
      </c>
      <c r="Q16" s="316">
        <f t="shared" ca="1" si="9"/>
        <v>-97.324622713448889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4224</v>
      </c>
      <c r="D17" s="316">
        <f t="shared" si="5"/>
        <v>704</v>
      </c>
      <c r="E17" s="316">
        <f t="shared" si="0"/>
        <v>3520</v>
      </c>
      <c r="F17" s="314"/>
      <c r="G17" s="318">
        <f ca="1">DATA!$D$11/1000000</f>
        <v>2.0303276687712</v>
      </c>
      <c r="H17" s="318">
        <f>C17*DATA!$D$5/1000000</f>
        <v>4.5793441938249311</v>
      </c>
      <c r="I17" s="318">
        <f>(C17*DATA!$D$5*DATA!$D$7)/1000000</f>
        <v>0.10303524436106094</v>
      </c>
      <c r="J17" s="316">
        <f t="shared" ca="1" si="1"/>
        <v>6.7127071069571924</v>
      </c>
      <c r="K17" s="314"/>
      <c r="L17" s="316">
        <f>((D17*DATA!$D$23)/1000000)+((E17*DATA!$D$24)/1000000)</f>
        <v>6.1024127999999997</v>
      </c>
      <c r="M17" s="316">
        <f t="shared" si="2"/>
        <v>6.1024127999999997</v>
      </c>
      <c r="N17" s="316">
        <f t="shared" ca="1" si="6"/>
        <v>-0.61029430695719267</v>
      </c>
      <c r="O17" s="315">
        <f>1/(1+'[93]Asumsi I'!$C$3)^(KKF!A17)</f>
        <v>0.32197323659069599</v>
      </c>
      <c r="P17" s="316">
        <f t="shared" ca="1" si="7"/>
        <v>-0.19649843328388303</v>
      </c>
      <c r="Q17" s="316">
        <f t="shared" ca="1" si="9"/>
        <v>-97.521121146732767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4224</v>
      </c>
      <c r="D18" s="316">
        <f t="shared" si="5"/>
        <v>704</v>
      </c>
      <c r="E18" s="316">
        <f t="shared" si="0"/>
        <v>3520</v>
      </c>
      <c r="F18" s="314"/>
      <c r="G18" s="318">
        <f ca="1">DATA!$D$11/1000000</f>
        <v>2.0303276687712</v>
      </c>
      <c r="H18" s="318">
        <f>C18*DATA!$D$5/1000000</f>
        <v>4.5793441938249311</v>
      </c>
      <c r="I18" s="318">
        <f>(C18*DATA!$D$5*DATA!$D$7)/1000000</f>
        <v>0.10303524436106094</v>
      </c>
      <c r="J18" s="316">
        <f t="shared" ca="1" si="1"/>
        <v>6.7127071069571924</v>
      </c>
      <c r="K18" s="314"/>
      <c r="L18" s="316">
        <f>((D18*DATA!$D$23)/1000000)+((E18*DATA!$D$24)/1000000)</f>
        <v>6.1024127999999997</v>
      </c>
      <c r="M18" s="316">
        <f t="shared" si="2"/>
        <v>6.1024127999999997</v>
      </c>
      <c r="N18" s="316">
        <f t="shared" ca="1" si="6"/>
        <v>-0.61029430695719267</v>
      </c>
      <c r="O18" s="315">
        <f>1/(1+'[93]Asumsi I'!$C$3)^(KKF!A18)</f>
        <v>0.28747610409883567</v>
      </c>
      <c r="P18" s="316">
        <f t="shared" ca="1" si="7"/>
        <v>-0.17544502971775269</v>
      </c>
      <c r="Q18" s="316">
        <f t="shared" ca="1" si="9"/>
        <v>-97.696566176450517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4224</v>
      </c>
      <c r="D19" s="316">
        <f t="shared" si="5"/>
        <v>704</v>
      </c>
      <c r="E19" s="316">
        <f t="shared" si="0"/>
        <v>3520</v>
      </c>
      <c r="F19" s="314"/>
      <c r="G19" s="318">
        <f ca="1">DATA!$D$11/1000000</f>
        <v>2.0303276687712</v>
      </c>
      <c r="H19" s="318">
        <f>C19*DATA!$D$5/1000000</f>
        <v>4.5793441938249311</v>
      </c>
      <c r="I19" s="318">
        <f>(C19*DATA!$D$5*DATA!$D$7)/1000000</f>
        <v>0.10303524436106094</v>
      </c>
      <c r="J19" s="316">
        <f t="shared" ca="1" si="1"/>
        <v>6.7127071069571924</v>
      </c>
      <c r="K19" s="314"/>
      <c r="L19" s="316">
        <f>((D19*DATA!$D$23)/1000000)+((E19*DATA!$D$24)/1000000)</f>
        <v>6.1024127999999997</v>
      </c>
      <c r="M19" s="316">
        <f t="shared" si="2"/>
        <v>6.1024127999999997</v>
      </c>
      <c r="N19" s="316">
        <f t="shared" ca="1" si="6"/>
        <v>-0.61029430695719267</v>
      </c>
      <c r="O19" s="315">
        <f>1/(1+'[93]Asumsi I'!$C$3)^(KKF!A19)</f>
        <v>0.25667509294538904</v>
      </c>
      <c r="P19" s="316">
        <f t="shared" ca="1" si="7"/>
        <v>-0.15664734796227922</v>
      </c>
      <c r="Q19" s="316">
        <f t="shared" ca="1" si="9"/>
        <v>-97.853213524412794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4224</v>
      </c>
      <c r="D20" s="316">
        <f t="shared" si="5"/>
        <v>704</v>
      </c>
      <c r="E20" s="316">
        <f t="shared" si="0"/>
        <v>3520</v>
      </c>
      <c r="F20" s="314"/>
      <c r="G20" s="318">
        <f ca="1">DATA!$D$11/1000000</f>
        <v>2.0303276687712</v>
      </c>
      <c r="H20" s="318">
        <f>C20*DATA!$D$5/1000000</f>
        <v>4.5793441938249311</v>
      </c>
      <c r="I20" s="318">
        <f>(C20*DATA!$D$5*DATA!$D$7)/1000000</f>
        <v>0.10303524436106094</v>
      </c>
      <c r="J20" s="316">
        <f t="shared" ca="1" si="1"/>
        <v>6.7127071069571924</v>
      </c>
      <c r="K20" s="314"/>
      <c r="L20" s="316">
        <f>((D20*DATA!$D$23)/1000000)+((E20*DATA!$D$24)/1000000)</f>
        <v>6.1024127999999997</v>
      </c>
      <c r="M20" s="316">
        <f t="shared" si="2"/>
        <v>6.1024127999999997</v>
      </c>
      <c r="N20" s="316">
        <f t="shared" ca="1" si="6"/>
        <v>-0.61029430695719267</v>
      </c>
      <c r="O20" s="315">
        <f>1/(1+'[93]Asumsi I'!$C$3)^(KKF!A20)</f>
        <v>0.22917419012981158</v>
      </c>
      <c r="P20" s="316">
        <f t="shared" ca="1" si="7"/>
        <v>-0.13986370353774927</v>
      </c>
      <c r="Q20" s="316">
        <f t="shared" ca="1" si="9"/>
        <v>-97.99307722795055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4224</v>
      </c>
      <c r="D21" s="316">
        <f t="shared" si="5"/>
        <v>704</v>
      </c>
      <c r="E21" s="316">
        <f t="shared" si="0"/>
        <v>3520</v>
      </c>
      <c r="F21" s="314"/>
      <c r="G21" s="318">
        <f ca="1">DATA!$D$11/1000000</f>
        <v>2.0303276687712</v>
      </c>
      <c r="H21" s="318">
        <f>C21*DATA!$D$5/1000000</f>
        <v>4.5793441938249311</v>
      </c>
      <c r="I21" s="318">
        <f>(C21*DATA!$D$5*DATA!$D$7)/1000000</f>
        <v>0.10303524436106094</v>
      </c>
      <c r="J21" s="316">
        <f t="shared" ca="1" si="1"/>
        <v>6.7127071069571924</v>
      </c>
      <c r="K21" s="314"/>
      <c r="L21" s="316">
        <f>((D21*DATA!$D$23)/1000000)+((E21*DATA!$D$24)/1000000)</f>
        <v>6.1024127999999997</v>
      </c>
      <c r="M21" s="316">
        <f t="shared" si="2"/>
        <v>6.1024127999999997</v>
      </c>
      <c r="N21" s="316">
        <f t="shared" ca="1" si="6"/>
        <v>-0.61029430695719267</v>
      </c>
      <c r="O21" s="315">
        <f>1/(1+'[93]Asumsi I'!$C$3)^(KKF!A21)</f>
        <v>0.20461981261590317</v>
      </c>
      <c r="P21" s="316">
        <f t="shared" ca="1" si="7"/>
        <v>-0.12487830673013325</v>
      </c>
      <c r="Q21" s="316">
        <f t="shared" ca="1" si="9"/>
        <v>-98.117955534680689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4224</v>
      </c>
      <c r="D22" s="316">
        <f t="shared" si="5"/>
        <v>704</v>
      </c>
      <c r="E22" s="316">
        <f t="shared" si="0"/>
        <v>3520</v>
      </c>
      <c r="F22" s="314"/>
      <c r="G22" s="318">
        <f ca="1">DATA!$D$11/1000000</f>
        <v>2.0303276687712</v>
      </c>
      <c r="H22" s="318">
        <f>C22*DATA!$D$5/1000000</f>
        <v>4.5793441938249311</v>
      </c>
      <c r="I22" s="318">
        <f>(C22*DATA!$D$5*DATA!$D$7)/1000000</f>
        <v>0.10303524436106094</v>
      </c>
      <c r="J22" s="316">
        <f t="shared" ca="1" si="1"/>
        <v>6.7127071069571924</v>
      </c>
      <c r="K22" s="314"/>
      <c r="L22" s="316">
        <f>((D22*DATA!$D$23)/1000000)+((E22*DATA!$D$24)/1000000)</f>
        <v>6.1024127999999997</v>
      </c>
      <c r="M22" s="316">
        <f t="shared" si="2"/>
        <v>6.1024127999999997</v>
      </c>
      <c r="N22" s="316">
        <f t="shared" ca="1" si="6"/>
        <v>-0.61029430695719267</v>
      </c>
      <c r="O22" s="315">
        <f>1/(1+'[93]Asumsi I'!$C$3)^(KKF!A22)</f>
        <v>0.18269626126419927</v>
      </c>
      <c r="P22" s="316">
        <f t="shared" ca="1" si="7"/>
        <v>-0.1114984881519047</v>
      </c>
      <c r="Q22" s="316">
        <f t="shared" ca="1" si="9"/>
        <v>-98.229454022832599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4224</v>
      </c>
      <c r="D23" s="316">
        <f t="shared" si="5"/>
        <v>704</v>
      </c>
      <c r="E23" s="316">
        <f t="shared" si="0"/>
        <v>3520</v>
      </c>
      <c r="F23" s="314"/>
      <c r="G23" s="318">
        <f ca="1">DATA!$D$11/1000000</f>
        <v>2.0303276687712</v>
      </c>
      <c r="H23" s="318">
        <f>C23*DATA!$D$5/1000000</f>
        <v>4.5793441938249311</v>
      </c>
      <c r="I23" s="318">
        <f>(C23*DATA!$D$5*DATA!$D$7)/1000000</f>
        <v>0.10303524436106094</v>
      </c>
      <c r="J23" s="316">
        <f t="shared" ca="1" si="1"/>
        <v>6.7127071069571924</v>
      </c>
      <c r="K23" s="314"/>
      <c r="L23" s="316">
        <f>((D23*DATA!$D$23)/1000000)+((E23*DATA!$D$24)/1000000)</f>
        <v>6.1024127999999997</v>
      </c>
      <c r="M23" s="316">
        <f t="shared" si="2"/>
        <v>6.1024127999999997</v>
      </c>
      <c r="N23" s="316">
        <f t="shared" ca="1" si="6"/>
        <v>-0.61029430695719267</v>
      </c>
      <c r="O23" s="315">
        <f>1/(1+'[93]Asumsi I'!$C$3)^(KKF!A23)</f>
        <v>0.16312166184303503</v>
      </c>
      <c r="P23" s="316">
        <f t="shared" ca="1" si="7"/>
        <v>-9.9552221564200599E-2</v>
      </c>
      <c r="Q23" s="316">
        <f t="shared" ca="1" si="9"/>
        <v>-98.329006244396794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4224</v>
      </c>
      <c r="D24" s="316">
        <f t="shared" si="5"/>
        <v>704</v>
      </c>
      <c r="E24" s="316">
        <f t="shared" si="0"/>
        <v>3520</v>
      </c>
      <c r="F24" s="314"/>
      <c r="G24" s="318">
        <f ca="1">DATA!$D$11/1000000</f>
        <v>2.0303276687712</v>
      </c>
      <c r="H24" s="318">
        <f>C24*DATA!$D$5/1000000</f>
        <v>4.5793441938249311</v>
      </c>
      <c r="I24" s="318">
        <f>(C24*DATA!$D$5*DATA!$D$7)/1000000</f>
        <v>0.10303524436106094</v>
      </c>
      <c r="J24" s="316">
        <f t="shared" ca="1" si="1"/>
        <v>6.7127071069571924</v>
      </c>
      <c r="K24" s="314"/>
      <c r="L24" s="316">
        <f>((D24*DATA!$D$23)/1000000)+((E24*DATA!$D$24)/1000000)</f>
        <v>6.1024127999999997</v>
      </c>
      <c r="M24" s="316">
        <f t="shared" si="2"/>
        <v>6.1024127999999997</v>
      </c>
      <c r="N24" s="316">
        <f t="shared" ca="1" si="6"/>
        <v>-0.61029430695719267</v>
      </c>
      <c r="O24" s="315">
        <f>1/(1+'[93]Asumsi I'!$C$3)^(KKF!A24)</f>
        <v>0.14564434093128129</v>
      </c>
      <c r="P24" s="316">
        <f t="shared" ca="1" si="7"/>
        <v>-8.8885912110893403E-2</v>
      </c>
      <c r="Q24" s="316">
        <f t="shared" ca="1" si="9"/>
        <v>-98.417892156507691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4224</v>
      </c>
      <c r="D25" s="316">
        <f t="shared" si="5"/>
        <v>704</v>
      </c>
      <c r="E25" s="316">
        <f t="shared" si="0"/>
        <v>3520</v>
      </c>
      <c r="F25" s="314"/>
      <c r="G25" s="318">
        <f ca="1">DATA!$D$11/1000000</f>
        <v>2.0303276687712</v>
      </c>
      <c r="H25" s="318">
        <f>C25*DATA!$D$5/1000000</f>
        <v>4.5793441938249311</v>
      </c>
      <c r="I25" s="318">
        <f>(C25*DATA!$D$5*DATA!$D$7)/1000000</f>
        <v>0.10303524436106094</v>
      </c>
      <c r="J25" s="316">
        <f t="shared" ca="1" si="1"/>
        <v>6.7127071069571924</v>
      </c>
      <c r="K25" s="314"/>
      <c r="L25" s="316">
        <f>((D25*DATA!$D$23)/1000000)+((E25*DATA!$D$24)/1000000)</f>
        <v>6.1024127999999997</v>
      </c>
      <c r="M25" s="316">
        <f t="shared" si="2"/>
        <v>6.1024127999999997</v>
      </c>
      <c r="N25" s="316">
        <f t="shared" ca="1" si="6"/>
        <v>-0.61029430695719267</v>
      </c>
      <c r="O25" s="315">
        <f>1/(1+'[93]Asumsi I'!$C$3)^(KKF!A25)</f>
        <v>0.13003959011721541</v>
      </c>
      <c r="P25" s="316">
        <f t="shared" ca="1" si="7"/>
        <v>-7.9362421527583382E-2</v>
      </c>
      <c r="Q25" s="316">
        <f t="shared" ca="1" si="9"/>
        <v>-98.497254578035268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4224</v>
      </c>
      <c r="D26" s="316">
        <f t="shared" si="5"/>
        <v>704</v>
      </c>
      <c r="E26" s="316">
        <f t="shared" si="0"/>
        <v>3520</v>
      </c>
      <c r="F26" s="314"/>
      <c r="G26" s="318">
        <f ca="1">DATA!$D$11/1000000</f>
        <v>2.0303276687712</v>
      </c>
      <c r="H26" s="318">
        <f>C26*DATA!$D$5/1000000</f>
        <v>4.5793441938249311</v>
      </c>
      <c r="I26" s="318">
        <f>(C26*DATA!$D$5*DATA!$D$7)/1000000</f>
        <v>0.10303524436106094</v>
      </c>
      <c r="J26" s="316">
        <f t="shared" ca="1" si="1"/>
        <v>6.7127071069571924</v>
      </c>
      <c r="K26" s="314"/>
      <c r="L26" s="316">
        <f>((D26*DATA!$D$23)/1000000)+((E26*DATA!$D$24)/1000000)</f>
        <v>6.1024127999999997</v>
      </c>
      <c r="M26" s="316">
        <f t="shared" si="2"/>
        <v>6.1024127999999997</v>
      </c>
      <c r="N26" s="316">
        <f t="shared" ca="1" si="6"/>
        <v>-0.61029430695719267</v>
      </c>
      <c r="O26" s="315">
        <f>1/(1+'[93]Asumsi I'!$C$3)^(KKF!A26)</f>
        <v>0.1161067768903709</v>
      </c>
      <c r="P26" s="316">
        <f t="shared" ca="1" si="7"/>
        <v>-7.0859304935342302E-2</v>
      </c>
      <c r="Q26" s="316">
        <f t="shared" ca="1" si="9"/>
        <v>-98.568113882970607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4224</v>
      </c>
      <c r="D27" s="316">
        <f t="shared" si="5"/>
        <v>704</v>
      </c>
      <c r="E27" s="316">
        <f t="shared" si="0"/>
        <v>3520</v>
      </c>
      <c r="F27" s="314"/>
      <c r="G27" s="318">
        <f ca="1">DATA!$D$11/1000000</f>
        <v>2.0303276687712</v>
      </c>
      <c r="H27" s="318">
        <f>C27*DATA!$D$5/1000000</f>
        <v>4.5793441938249311</v>
      </c>
      <c r="I27" s="318">
        <f>(C27*DATA!$D$5*DATA!$D$7)/1000000</f>
        <v>0.10303524436106094</v>
      </c>
      <c r="J27" s="316">
        <f t="shared" ca="1" si="1"/>
        <v>6.7127071069571924</v>
      </c>
      <c r="K27" s="314"/>
      <c r="L27" s="316">
        <f>((D27*DATA!$D$23)/1000000)+((E27*DATA!$D$24)/1000000)</f>
        <v>6.1024127999999997</v>
      </c>
      <c r="M27" s="316">
        <f t="shared" si="2"/>
        <v>6.1024127999999997</v>
      </c>
      <c r="N27" s="316">
        <f t="shared" ca="1" si="6"/>
        <v>-0.61029430695719267</v>
      </c>
      <c r="O27" s="315">
        <f>1/(1+'[93]Asumsi I'!$C$3)^(KKF!A27)</f>
        <v>0.1036667650806883</v>
      </c>
      <c r="P27" s="316">
        <f t="shared" ca="1" si="7"/>
        <v>-6.326723654941277E-2</v>
      </c>
      <c r="Q27" s="316">
        <f t="shared" ca="1" si="9"/>
        <v>-98.631381119520015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4224</v>
      </c>
      <c r="D28" s="316">
        <f t="shared" si="5"/>
        <v>704</v>
      </c>
      <c r="E28" s="316">
        <f t="shared" si="0"/>
        <v>3520</v>
      </c>
      <c r="F28" s="314"/>
      <c r="G28" s="318">
        <f ca="1">DATA!$D$11/1000000</f>
        <v>2.0303276687712</v>
      </c>
      <c r="H28" s="318">
        <f>C28*DATA!$D$5/1000000</f>
        <v>4.5793441938249311</v>
      </c>
      <c r="I28" s="318">
        <f>(C28*DATA!$D$5*DATA!$D$7)/1000000</f>
        <v>0.10303524436106094</v>
      </c>
      <c r="J28" s="316">
        <f t="shared" ca="1" si="1"/>
        <v>6.7127071069571924</v>
      </c>
      <c r="K28" s="314"/>
      <c r="L28" s="316">
        <f>((D28*DATA!$D$23)/1000000)+((E28*DATA!$D$24)/1000000)</f>
        <v>6.1024127999999997</v>
      </c>
      <c r="M28" s="316">
        <f t="shared" si="2"/>
        <v>6.1024127999999997</v>
      </c>
      <c r="N28" s="316">
        <f t="shared" ca="1" si="6"/>
        <v>-0.61029430695719267</v>
      </c>
      <c r="O28" s="315">
        <f>1/(1+'[93]Asumsi I'!$C$3)^(KKF!A28)</f>
        <v>9.2559611679185971E-2</v>
      </c>
      <c r="P28" s="316">
        <f t="shared" ca="1" si="7"/>
        <v>-5.6488604061975679E-2</v>
      </c>
      <c r="Q28" s="316">
        <f t="shared" ca="1" si="9"/>
        <v>-98.687869723581997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4224</v>
      </c>
      <c r="D29" s="316">
        <f t="shared" si="5"/>
        <v>704</v>
      </c>
      <c r="E29" s="316">
        <f t="shared" si="0"/>
        <v>3520</v>
      </c>
      <c r="F29" s="314"/>
      <c r="G29" s="318">
        <f ca="1">DATA!$D$11/1000000</f>
        <v>2.0303276687712</v>
      </c>
      <c r="H29" s="318">
        <f>C29*DATA!$D$5/1000000</f>
        <v>4.5793441938249311</v>
      </c>
      <c r="I29" s="318">
        <f>(C29*DATA!$D$5*DATA!$D$7)/1000000</f>
        <v>0.10303524436106094</v>
      </c>
      <c r="J29" s="316">
        <f t="shared" ca="1" si="1"/>
        <v>6.7127071069571924</v>
      </c>
      <c r="K29" s="314"/>
      <c r="L29" s="316">
        <f>((D29*DATA!$D$23)/1000000)+((E29*DATA!$D$24)/1000000)</f>
        <v>6.1024127999999997</v>
      </c>
      <c r="M29" s="316">
        <f t="shared" si="2"/>
        <v>6.1024127999999997</v>
      </c>
      <c r="N29" s="316">
        <f t="shared" ca="1" si="6"/>
        <v>-0.61029430695719267</v>
      </c>
      <c r="O29" s="315">
        <f>1/(1+'[93]Asumsi I'!$C$3)^(KKF!A29)</f>
        <v>8.2642510427844609E-2</v>
      </c>
      <c r="P29" s="316">
        <f t="shared" ca="1" si="7"/>
        <v>-5.0436253626763995E-2</v>
      </c>
      <c r="Q29" s="316">
        <f t="shared" ca="1" si="9"/>
        <v>-98.738305977208768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4224</v>
      </c>
      <c r="D30" s="316">
        <f t="shared" si="5"/>
        <v>704</v>
      </c>
      <c r="E30" s="316">
        <f t="shared" si="0"/>
        <v>3520</v>
      </c>
      <c r="F30" s="314"/>
      <c r="G30" s="318">
        <f ca="1">DATA!$D$11/1000000</f>
        <v>2.0303276687712</v>
      </c>
      <c r="H30" s="318">
        <f>C30*DATA!$D$5/1000000</f>
        <v>4.5793441938249311</v>
      </c>
      <c r="I30" s="318">
        <f>(C30*DATA!$D$5*DATA!$D$7)/1000000</f>
        <v>0.10303524436106094</v>
      </c>
      <c r="J30" s="316">
        <f t="shared" ca="1" si="1"/>
        <v>6.7127071069571924</v>
      </c>
      <c r="K30" s="314"/>
      <c r="L30" s="316">
        <f>((D30*DATA!$D$23)/1000000)+((E30*DATA!$D$24)/1000000)</f>
        <v>6.1024127999999997</v>
      </c>
      <c r="M30" s="316">
        <f t="shared" si="2"/>
        <v>6.1024127999999997</v>
      </c>
      <c r="N30" s="316">
        <f t="shared" ca="1" si="6"/>
        <v>-0.61029430695719267</v>
      </c>
      <c r="O30" s="315">
        <f>1/(1+'[93]Asumsi I'!$C$3)^(KKF!A30)</f>
        <v>7.3787955739146982E-2</v>
      </c>
      <c r="P30" s="316">
        <f t="shared" ca="1" si="7"/>
        <v>-4.5032369309610715E-2</v>
      </c>
      <c r="Q30" s="316">
        <f t="shared" ca="1" si="9"/>
        <v>-98.783338346518377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4224</v>
      </c>
      <c r="D31" s="316">
        <f t="shared" si="5"/>
        <v>704</v>
      </c>
      <c r="E31" s="316">
        <f t="shared" si="0"/>
        <v>3520</v>
      </c>
      <c r="F31" s="314"/>
      <c r="G31" s="318">
        <f ca="1">DATA!$D$11/1000000</f>
        <v>2.0303276687712</v>
      </c>
      <c r="H31" s="318">
        <f>C31*DATA!$D$5/1000000</f>
        <v>4.5793441938249311</v>
      </c>
      <c r="I31" s="318">
        <f>(C31*DATA!$D$5*DATA!$D$7)/1000000</f>
        <v>0.10303524436106094</v>
      </c>
      <c r="J31" s="316">
        <f t="shared" ca="1" si="1"/>
        <v>6.7127071069571924</v>
      </c>
      <c r="K31" s="314"/>
      <c r="L31" s="316">
        <f>((D31*DATA!$D$23)/1000000)+((E31*DATA!$D$24)/1000000)</f>
        <v>6.1024127999999997</v>
      </c>
      <c r="M31" s="316">
        <f t="shared" si="2"/>
        <v>6.1024127999999997</v>
      </c>
      <c r="N31" s="316">
        <f t="shared" ca="1" si="6"/>
        <v>-0.61029430695719267</v>
      </c>
      <c r="O31" s="315">
        <f>1/(1+'[93]Asumsi I'!$C$3)^(KKF!A31)</f>
        <v>6.5882103338524081E-2</v>
      </c>
      <c r="P31" s="316">
        <f t="shared" ca="1" si="7"/>
        <v>-4.0207472597866702E-2</v>
      </c>
      <c r="Q31" s="316">
        <f ca="1">Q30+P31</f>
        <v>-98.823545819116248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4224</v>
      </c>
      <c r="D32" s="316">
        <f t="shared" si="5"/>
        <v>704</v>
      </c>
      <c r="E32" s="316">
        <f t="shared" si="0"/>
        <v>3520</v>
      </c>
      <c r="F32" s="314"/>
      <c r="G32" s="318">
        <f ca="1">DATA!$D$11/1000000</f>
        <v>2.0303276687712</v>
      </c>
      <c r="H32" s="318">
        <f>C32*DATA!$D$5/1000000</f>
        <v>4.5793441938249311</v>
      </c>
      <c r="I32" s="318">
        <f>(C32*DATA!$D$5*DATA!$D$7)/1000000</f>
        <v>0.10303524436106094</v>
      </c>
      <c r="J32" s="316">
        <f t="shared" ca="1" si="1"/>
        <v>6.7127071069571924</v>
      </c>
      <c r="K32" s="314"/>
      <c r="L32" s="316">
        <f>((D32*DATA!$D$23)/1000000)+((E32*DATA!$D$24)/1000000)</f>
        <v>6.1024127999999997</v>
      </c>
      <c r="M32" s="316">
        <f t="shared" si="2"/>
        <v>6.1024127999999997</v>
      </c>
      <c r="N32" s="316">
        <f t="shared" ca="1" si="6"/>
        <v>-0.61029430695719267</v>
      </c>
      <c r="O32" s="315">
        <f>1/(1+'[93]Asumsi I'!$C$3)^(KKF!A32)</f>
        <v>5.8823306552253637E-2</v>
      </c>
      <c r="P32" s="316">
        <f t="shared" ca="1" si="7"/>
        <v>-3.5899529105238123E-2</v>
      </c>
      <c r="Q32" s="316">
        <f ca="1">Q31+P32</f>
        <v>-98.859445348221485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274.48597507338502</v>
      </c>
      <c r="K33" s="613" t="s">
        <v>1375</v>
      </c>
      <c r="L33" s="613"/>
      <c r="M33" s="325">
        <f>SUM(M7:M32)</f>
        <v>165.15579519999991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-174.7817342935449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0.60169119808705995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-88.267361918054888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0"/>
  <sheetViews>
    <sheetView showGridLines="0" zoomScale="70" zoomScaleNormal="70" zoomScaleSheetLayoutView="70" workbookViewId="0">
      <pane ySplit="13" topLeftCell="A92" activePane="bottomLeft" state="frozen"/>
      <selection activeCell="H1093" sqref="H1093"/>
      <selection pane="bottomLeft" activeCell="N34" sqref="N34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6" t="s">
        <v>1036</v>
      </c>
      <c r="P3" s="636"/>
      <c r="Q3" s="346"/>
      <c r="T3" s="344"/>
      <c r="U3" s="345" t="s">
        <v>1041</v>
      </c>
      <c r="V3" s="344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IWANTORO</v>
      </c>
      <c r="H6" s="620"/>
      <c r="I6" s="620"/>
      <c r="J6" s="620"/>
      <c r="K6" s="62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17400000</v>
      </c>
      <c r="J17" s="361">
        <f t="shared" ref="J17" ca="1" si="10">IF(D17="JASA",G17*F17,0)</f>
        <v>0</v>
      </c>
      <c r="K17" s="362">
        <f t="shared" ref="K17" ca="1" si="11">SUM(H17:J17)</f>
        <v>17400000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30200.000000000004</v>
      </c>
      <c r="K18" s="362">
        <f t="shared" ref="K18" ca="1" si="15">SUM(H18:J18)</f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9" ca="1" si="20">IF(OR(D22="MDU",D22="MDU-KD"),(IF($O$3="RAB NON MDU","PLN KD",G22*F22)),0)</f>
        <v>0</v>
      </c>
      <c r="I22" s="361">
        <f t="shared" ref="I22:I29" ca="1" si="21">IF(D22="HDW",G22*F22,0)</f>
        <v>0</v>
      </c>
      <c r="J22" s="361">
        <f t="shared" ref="J22:J29" ca="1" si="22">IF(D22="JASA",G22*F22,0)</f>
        <v>0</v>
      </c>
      <c r="K22" s="362">
        <f t="shared" ref="K22:K29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717" t="s">
        <v>1035</v>
      </c>
      <c r="C23" s="719" t="s">
        <v>1634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717">
        <v>1</v>
      </c>
      <c r="C24" s="719" t="s">
        <v>593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F23*2</f>
        <v>2</v>
      </c>
      <c r="G24" s="360">
        <f ca="1">IF(ISERROR(OFFSET('HARGA SATUAN'!$I$6,MATCH(RAB!C24,'HARGA SATUAN'!$C$7:$C$1492,0),0)),0,OFFSET('HARGA SATUAN'!$I$6,MATCH(RAB!C24,'HARGA SATUAN'!$C$7:$C$1492,0),0))</f>
        <v>380500</v>
      </c>
      <c r="H24" s="361">
        <f t="shared" ca="1" si="20"/>
        <v>0</v>
      </c>
      <c r="I24" s="361">
        <f t="shared" ca="1" si="21"/>
        <v>761000</v>
      </c>
      <c r="J24" s="361">
        <f t="shared" ca="1" si="22"/>
        <v>0</v>
      </c>
      <c r="K24" s="362">
        <f t="shared" ca="1" si="23"/>
        <v>761000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17">
        <v>2</v>
      </c>
      <c r="C25" s="719" t="s">
        <v>28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F23*2</f>
        <v>2</v>
      </c>
      <c r="G25" s="360">
        <f ca="1">IF(ISERROR(OFFSET('HARGA SATUAN'!$I$6,MATCH(RAB!C25,'HARGA SATUAN'!$C$7:$C$1492,0),0)),0,OFFSET('HARGA SATUAN'!$I$6,MATCH(RAB!C25,'HARGA SATUAN'!$C$7:$C$1492,0),0))</f>
        <v>26500</v>
      </c>
      <c r="H25" s="361">
        <f t="shared" ca="1" si="20"/>
        <v>0</v>
      </c>
      <c r="I25" s="361">
        <f t="shared" ca="1" si="21"/>
        <v>53000</v>
      </c>
      <c r="J25" s="361">
        <f t="shared" ca="1" si="22"/>
        <v>0</v>
      </c>
      <c r="K25" s="362">
        <f t="shared" ca="1" si="23"/>
        <v>53000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17">
        <v>3</v>
      </c>
      <c r="C26" s="719" t="s">
        <v>26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F23*2</f>
        <v>2</v>
      </c>
      <c r="G26" s="360">
        <f ca="1">IF(ISERROR(OFFSET('HARGA SATUAN'!$I$6,MATCH(RAB!C26,'HARGA SATUAN'!$C$7:$C$1492,0),0)),0,OFFSET('HARGA SATUAN'!$I$6,MATCH(RAB!C26,'HARGA SATUAN'!$C$7:$C$1492,0),0))</f>
        <v>2500</v>
      </c>
      <c r="H26" s="361">
        <f t="shared" ca="1" si="20"/>
        <v>0</v>
      </c>
      <c r="I26" s="361">
        <f t="shared" ca="1" si="21"/>
        <v>5000</v>
      </c>
      <c r="J26" s="361">
        <f t="shared" ca="1" si="22"/>
        <v>0</v>
      </c>
      <c r="K26" s="362">
        <f t="shared" ca="1" si="23"/>
        <v>5000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17">
        <v>4</v>
      </c>
      <c r="C27" s="719" t="s">
        <v>157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F23*2</f>
        <v>2</v>
      </c>
      <c r="G27" s="360">
        <f ca="1">IF(ISERROR(OFFSET('HARGA SATUAN'!$I$6,MATCH(RAB!C27,'HARGA SATUAN'!$C$7:$C$1492,0),0)),0,OFFSET('HARGA SATUAN'!$I$6,MATCH(RAB!C27,'HARGA SATUAN'!$C$7:$C$1492,0),0))</f>
        <v>40000</v>
      </c>
      <c r="H27" s="361">
        <f t="shared" ca="1" si="20"/>
        <v>0</v>
      </c>
      <c r="I27" s="361">
        <f t="shared" ca="1" si="21"/>
        <v>80000</v>
      </c>
      <c r="J27" s="361">
        <f t="shared" ca="1" si="22"/>
        <v>0</v>
      </c>
      <c r="K27" s="362">
        <f t="shared" ca="1" si="23"/>
        <v>80000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717">
        <v>5</v>
      </c>
      <c r="C28" s="719" t="s">
        <v>755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1</v>
      </c>
      <c r="G28" s="360">
        <f ca="1">IF(ISERROR(OFFSET('HARGA SATUAN'!$I$6,MATCH(RAB!C28,'HARGA SATUAN'!$C$7:$C$1492,0),0)),0,OFFSET('HARGA SATUAN'!$I$6,MATCH(RAB!C28,'HARGA SATUAN'!$C$7:$C$1492,0),0))</f>
        <v>69000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69000</v>
      </c>
      <c r="K28" s="362">
        <f t="shared" ca="1" si="23"/>
        <v>69000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/>
      <c r="C29" s="499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368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2" t="s">
        <v>1035</v>
      </c>
      <c r="C30" s="513" t="s">
        <v>1623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ref="H30:H35" ca="1" si="24">IF(OR(D30="MDU",D30="MDU-KD"),(IF($O$3="RAB NON MDU","PLN KD",G30*F30)),0)</f>
        <v>0</v>
      </c>
      <c r="I30" s="361">
        <f t="shared" ref="I30:I35" ca="1" si="25">IF(D30="HDW",G30*F30,0)</f>
        <v>0</v>
      </c>
      <c r="J30" s="361">
        <f t="shared" ref="J30:J35" ca="1" si="26">IF(D30="JASA",G30*F30,0)</f>
        <v>0</v>
      </c>
      <c r="K30" s="362">
        <f t="shared" ref="K30:K35" ca="1" si="27">SUM(H30:J30)</f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2">
        <v>1</v>
      </c>
      <c r="C31" s="513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2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24"/>
        <v>0</v>
      </c>
      <c r="I31" s="361">
        <f t="shared" ca="1" si="25"/>
        <v>157000</v>
      </c>
      <c r="J31" s="361">
        <f t="shared" ca="1" si="26"/>
        <v>0</v>
      </c>
      <c r="K31" s="362">
        <f t="shared" ca="1" si="27"/>
        <v>157000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2">
        <v>2</v>
      </c>
      <c r="C32" s="513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2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24"/>
        <v>0</v>
      </c>
      <c r="I32" s="361">
        <f t="shared" ca="1" si="25"/>
        <v>8424</v>
      </c>
      <c r="J32" s="361">
        <f t="shared" ca="1" si="26"/>
        <v>0</v>
      </c>
      <c r="K32" s="362">
        <f t="shared" ca="1" si="27"/>
        <v>8424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2">
        <v>3</v>
      </c>
      <c r="C33" s="513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2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24"/>
        <v>0</v>
      </c>
      <c r="I33" s="361">
        <f t="shared" ca="1" si="25"/>
        <v>46620</v>
      </c>
      <c r="J33" s="361">
        <f t="shared" ca="1" si="26"/>
        <v>0</v>
      </c>
      <c r="K33" s="362">
        <f t="shared" ca="1" si="27"/>
        <v>46620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2">
        <v>4</v>
      </c>
      <c r="C34" s="513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2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4"/>
        <v>0</v>
      </c>
      <c r="I34" s="361">
        <f t="shared" ca="1" si="25"/>
        <v>4600</v>
      </c>
      <c r="J34" s="361">
        <f t="shared" ca="1" si="26"/>
        <v>0</v>
      </c>
      <c r="K34" s="362">
        <f t="shared" ca="1" si="27"/>
        <v>4600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2">
        <v>5</v>
      </c>
      <c r="C35" s="513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2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24"/>
        <v>0</v>
      </c>
      <c r="I35" s="361">
        <f t="shared" ca="1" si="25"/>
        <v>0</v>
      </c>
      <c r="J35" s="361">
        <f t="shared" ca="1" si="26"/>
        <v>71400</v>
      </c>
      <c r="K35" s="362">
        <f t="shared" ca="1" si="27"/>
        <v>71400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2"/>
      <c r="C36" s="513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50" ca="1" si="28">IF(OR(D36="MDU",D36="MDU-KD"),(IF($O$3="RAB NON MDU","PLN KD",G36*F36)),0)</f>
        <v>0</v>
      </c>
      <c r="I36" s="361">
        <f t="shared" ref="I36:I50" ca="1" si="29">IF(D36="HDW",G36*F36,0)</f>
        <v>0</v>
      </c>
      <c r="J36" s="361">
        <f t="shared" ref="J36:J50" ca="1" si="30">IF(D36="JASA",G36*F36,0)</f>
        <v>0</v>
      </c>
      <c r="K36" s="362">
        <f t="shared" ref="K36:K50" ca="1" si="31">SUM(H36:J36)</f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8" t="s">
        <v>1035</v>
      </c>
      <c r="C37" s="519" t="s">
        <v>1625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3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43" ca="1" si="32">IF(OR(D37="MDU",D37="MDU-KD"),(IF($O$3="RAB NON MDU","PLN KD",G37*F37)),0)</f>
        <v>0</v>
      </c>
      <c r="I37" s="361">
        <f t="shared" ref="I37:I43" ca="1" si="33">IF(D37="HDW",G37*F37,0)</f>
        <v>0</v>
      </c>
      <c r="J37" s="361">
        <f t="shared" ref="J37:J43" ca="1" si="34">IF(D37="JASA",G37*F37,0)</f>
        <v>0</v>
      </c>
      <c r="K37" s="362">
        <f t="shared" ref="K37:K43" ca="1" si="35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8">
        <v>1</v>
      </c>
      <c r="C38" s="519" t="s">
        <v>229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3</v>
      </c>
      <c r="G38" s="360">
        <f ca="1">IF(ISERROR(OFFSET('HARGA SATUAN'!$I$6,MATCH(RAB!C38,'HARGA SATUAN'!$C$7:$C$1492,0),0)),0,OFFSET('HARGA SATUAN'!$I$6,MATCH(RAB!C38,'HARGA SATUAN'!$C$7:$C$1492,0),0))</f>
        <v>4212</v>
      </c>
      <c r="H38" s="361">
        <f t="shared" ca="1" si="32"/>
        <v>0</v>
      </c>
      <c r="I38" s="361">
        <f t="shared" ca="1" si="33"/>
        <v>12636</v>
      </c>
      <c r="J38" s="361">
        <f t="shared" ca="1" si="34"/>
        <v>0</v>
      </c>
      <c r="K38" s="362">
        <f t="shared" ca="1" si="35"/>
        <v>12636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8">
        <v>2</v>
      </c>
      <c r="C39" s="519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F37*1</f>
        <v>3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ca="1" si="32"/>
        <v>0</v>
      </c>
      <c r="I39" s="361">
        <f t="shared" ca="1" si="33"/>
        <v>69930</v>
      </c>
      <c r="J39" s="361">
        <f t="shared" ca="1" si="34"/>
        <v>0</v>
      </c>
      <c r="K39" s="362">
        <f t="shared" ca="1" si="35"/>
        <v>69930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8">
        <v>3</v>
      </c>
      <c r="C40" s="519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F37*1</f>
        <v>3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32"/>
        <v>0</v>
      </c>
      <c r="I40" s="361">
        <f t="shared" ca="1" si="33"/>
        <v>6900</v>
      </c>
      <c r="J40" s="361">
        <f t="shared" ca="1" si="34"/>
        <v>0</v>
      </c>
      <c r="K40" s="362">
        <f t="shared" ca="1" si="35"/>
        <v>6900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8">
        <v>4</v>
      </c>
      <c r="C41" s="519" t="s">
        <v>609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F37*1</f>
        <v>3</v>
      </c>
      <c r="G41" s="360">
        <f ca="1">IF(ISERROR(OFFSET('HARGA SATUAN'!$I$6,MATCH(RAB!C41,'HARGA SATUAN'!$C$7:$C$1492,0),0)),0,OFFSET('HARGA SATUAN'!$I$6,MATCH(RAB!C41,'HARGA SATUAN'!$C$7:$C$1492,0),0))</f>
        <v>71000</v>
      </c>
      <c r="H41" s="361">
        <f t="shared" ca="1" si="32"/>
        <v>0</v>
      </c>
      <c r="I41" s="361">
        <f t="shared" ca="1" si="33"/>
        <v>213000</v>
      </c>
      <c r="J41" s="361">
        <f t="shared" ca="1" si="34"/>
        <v>0</v>
      </c>
      <c r="K41" s="362">
        <f t="shared" ca="1" si="35"/>
        <v>213000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8">
        <v>5</v>
      </c>
      <c r="C42" s="519" t="s">
        <v>629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f>F37*1</f>
        <v>3</v>
      </c>
      <c r="G42" s="360">
        <f ca="1">IF(ISERROR(OFFSET('HARGA SATUAN'!$I$6,MATCH(RAB!C42,'HARGA SATUAN'!$C$7:$C$1492,0),0)),0,OFFSET('HARGA SATUAN'!$I$6,MATCH(RAB!C42,'HARGA SATUAN'!$C$7:$C$1492,0),0))</f>
        <v>29400</v>
      </c>
      <c r="H42" s="361">
        <f t="shared" ca="1" si="32"/>
        <v>0</v>
      </c>
      <c r="I42" s="361">
        <f t="shared" ca="1" si="33"/>
        <v>0</v>
      </c>
      <c r="J42" s="361">
        <f t="shared" ca="1" si="34"/>
        <v>88200</v>
      </c>
      <c r="K42" s="362">
        <f t="shared" ca="1" si="35"/>
        <v>88200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2"/>
      <c r="C43" s="513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32"/>
        <v>0</v>
      </c>
      <c r="I43" s="361">
        <f t="shared" ca="1" si="33"/>
        <v>0</v>
      </c>
      <c r="J43" s="361">
        <f t="shared" ca="1" si="34"/>
        <v>0</v>
      </c>
      <c r="K43" s="362">
        <f t="shared" ca="1" si="35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5" t="s">
        <v>1035</v>
      </c>
      <c r="C44" s="516" t="s">
        <v>1629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5">
        <v>1</v>
      </c>
      <c r="C45" s="516" t="s">
        <v>598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F44*1</f>
        <v>1</v>
      </c>
      <c r="G45" s="360">
        <f ca="1">IF(ISERROR(OFFSET('HARGA SATUAN'!$I$6,MATCH(RAB!C45,'HARGA SATUAN'!$C$7:$C$1492,0),0)),0,OFFSET('HARGA SATUAN'!$I$6,MATCH(RAB!C45,'HARGA SATUAN'!$C$7:$C$1492,0),0))</f>
        <v>3965</v>
      </c>
      <c r="H45" s="361">
        <f t="shared" ca="1" si="28"/>
        <v>0</v>
      </c>
      <c r="I45" s="361">
        <f t="shared" ca="1" si="29"/>
        <v>3965</v>
      </c>
      <c r="J45" s="361">
        <f t="shared" ca="1" si="30"/>
        <v>0</v>
      </c>
      <c r="K45" s="362">
        <f t="shared" ca="1" si="31"/>
        <v>3965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5">
        <v>2</v>
      </c>
      <c r="C46" s="516" t="s">
        <v>474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F44*1</f>
        <v>1</v>
      </c>
      <c r="G46" s="360">
        <f ca="1">IF(ISERROR(OFFSET('HARGA SATUAN'!$I$6,MATCH(RAB!C46,'HARGA SATUAN'!$C$7:$C$1492,0),0)),0,OFFSET('HARGA SATUAN'!$I$6,MATCH(RAB!C46,'HARGA SATUAN'!$C$7:$C$1492,0),0))</f>
        <v>3711.24</v>
      </c>
      <c r="H46" s="361">
        <f t="shared" ca="1" si="28"/>
        <v>0</v>
      </c>
      <c r="I46" s="361">
        <f t="shared" ca="1" si="29"/>
        <v>3711.24</v>
      </c>
      <c r="J46" s="361">
        <f t="shared" ca="1" si="30"/>
        <v>0</v>
      </c>
      <c r="K46" s="362">
        <f t="shared" ca="1" si="31"/>
        <v>3711.24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5">
        <v>3</v>
      </c>
      <c r="C47" s="516" t="s">
        <v>266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1">
        <f>F44*1</f>
        <v>1</v>
      </c>
      <c r="G47" s="360">
        <f ca="1">IF(ISERROR(OFFSET('HARGA SATUAN'!$I$6,MATCH(RAB!C47,'HARGA SATUAN'!$C$7:$C$1492,0),0)),0,OFFSET('HARGA SATUAN'!$I$6,MATCH(RAB!C47,'HARGA SATUAN'!$C$7:$C$1492,0),0))</f>
        <v>23310</v>
      </c>
      <c r="H47" s="361">
        <f t="shared" ca="1" si="28"/>
        <v>0</v>
      </c>
      <c r="I47" s="361">
        <f t="shared" ca="1" si="29"/>
        <v>23310</v>
      </c>
      <c r="J47" s="361">
        <f t="shared" ca="1" si="30"/>
        <v>0</v>
      </c>
      <c r="K47" s="362">
        <f t="shared" ca="1" si="31"/>
        <v>23310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5">
        <v>4</v>
      </c>
      <c r="C48" s="516" t="s">
        <v>35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F44*1</f>
        <v>1</v>
      </c>
      <c r="G48" s="360">
        <f ca="1">IF(ISERROR(OFFSET('HARGA SATUAN'!$I$6,MATCH(RAB!C48,'HARGA SATUAN'!$C$7:$C$1492,0),0)),0,OFFSET('HARGA SATUAN'!$I$6,MATCH(RAB!C48,'HARGA SATUAN'!$C$7:$C$1492,0),0))</f>
        <v>2300</v>
      </c>
      <c r="H48" s="361">
        <f t="shared" ca="1" si="28"/>
        <v>0</v>
      </c>
      <c r="I48" s="361">
        <f t="shared" ca="1" si="29"/>
        <v>2300</v>
      </c>
      <c r="J48" s="361">
        <f t="shared" ca="1" si="30"/>
        <v>0</v>
      </c>
      <c r="K48" s="362">
        <f t="shared" ca="1" si="31"/>
        <v>2300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5">
        <v>5</v>
      </c>
      <c r="C49" s="516" t="s">
        <v>632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f>F44*1</f>
        <v>1</v>
      </c>
      <c r="G49" s="360">
        <f ca="1">IF(ISERROR(OFFSET('HARGA SATUAN'!$I$6,MATCH(RAB!C49,'HARGA SATUAN'!$C$7:$C$1492,0),0)),0,OFFSET('HARGA SATUAN'!$I$6,MATCH(RAB!C49,'HARGA SATUAN'!$C$7:$C$1492,0),0))</f>
        <v>22700</v>
      </c>
      <c r="H49" s="361">
        <f t="shared" ca="1" si="28"/>
        <v>0</v>
      </c>
      <c r="I49" s="361">
        <f t="shared" ca="1" si="29"/>
        <v>0</v>
      </c>
      <c r="J49" s="361">
        <f t="shared" ca="1" si="30"/>
        <v>22700</v>
      </c>
      <c r="K49" s="362">
        <f t="shared" ca="1" si="31"/>
        <v>22700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498"/>
      <c r="C50" s="499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01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8"/>
        <v>0</v>
      </c>
      <c r="I50" s="361">
        <f t="shared" ca="1" si="29"/>
        <v>0</v>
      </c>
      <c r="J50" s="361">
        <f t="shared" ca="1" si="30"/>
        <v>0</v>
      </c>
      <c r="K50" s="362">
        <f t="shared" ca="1" si="31"/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498">
        <v>1</v>
      </c>
      <c r="C51" s="109" t="s">
        <v>1403</v>
      </c>
      <c r="D51" s="358" t="str">
        <f ca="1">IF(ISERROR(OFFSET('HARGA SATUAN'!$D$6,MATCH(RAB!C51,'HARGA SATUAN'!$C$7:$C$1492,0),0)),"",OFFSET('HARGA SATUAN'!$D$6,MATCH(RAB!C51,'HARGA SATUAN'!$C$7:$C$1492,0),0))</f>
        <v>MDU-KD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v>230</v>
      </c>
      <c r="G51" s="360">
        <f ca="1">IF(ISERROR(OFFSET('HARGA SATUAN'!$I$6,MATCH(RAB!C51,'HARGA SATUAN'!$C$7:$C$1492,0),0)),0,OFFSET('HARGA SATUAN'!$I$6,MATCH(RAB!C51,'HARGA SATUAN'!$C$7:$C$1492,0),0))</f>
        <v>30400</v>
      </c>
      <c r="H51" s="361">
        <f t="shared" ref="H51:H54" ca="1" si="36">IF(OR(D51="MDU",D51="MDU-KD"),(IF($O$3="RAB NON MDU","PLN KD",G51*F51)),0)</f>
        <v>6992000</v>
      </c>
      <c r="I51" s="361">
        <f t="shared" ref="I51:I54" ca="1" si="37">IF(D51="HDW",G51*F51,0)</f>
        <v>0</v>
      </c>
      <c r="J51" s="361">
        <f t="shared" ref="J51:J54" ca="1" si="38">IF(D51="JASA",G51*F51,0)</f>
        <v>0</v>
      </c>
      <c r="K51" s="362">
        <f t="shared" ref="K51:K54" ca="1" si="39">SUM(H51:J51)</f>
        <v>6992000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498">
        <v>2</v>
      </c>
      <c r="C52" s="109" t="s">
        <v>346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Per 50 m</v>
      </c>
      <c r="F52" s="501">
        <f>F51/50</f>
        <v>4.5999999999999996</v>
      </c>
      <c r="G52" s="360">
        <f ca="1">IF(ISERROR(OFFSET('HARGA SATUAN'!$I$6,MATCH(RAB!C52,'HARGA SATUAN'!$C$7:$C$1492,0),0)),0,OFFSET('HARGA SATUAN'!$I$6,MATCH(RAB!C52,'HARGA SATUAN'!$C$7:$C$1492,0),0))</f>
        <v>223500</v>
      </c>
      <c r="H52" s="361">
        <f t="shared" ca="1" si="36"/>
        <v>0</v>
      </c>
      <c r="I52" s="361">
        <f t="shared" ca="1" si="37"/>
        <v>0</v>
      </c>
      <c r="J52" s="361">
        <f t="shared" ca="1" si="38"/>
        <v>1028099.9999999999</v>
      </c>
      <c r="K52" s="362">
        <f t="shared" ca="1" si="39"/>
        <v>1028099.9999999999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498"/>
      <c r="C53" s="499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501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36"/>
        <v>0</v>
      </c>
      <c r="I53" s="361">
        <f t="shared" ca="1" si="37"/>
        <v>0</v>
      </c>
      <c r="J53" s="361">
        <f t="shared" ca="1" si="38"/>
        <v>0</v>
      </c>
      <c r="K53" s="362">
        <f t="shared" ca="1" si="39"/>
        <v>0</v>
      </c>
      <c r="L53" s="342"/>
      <c r="M53" s="342"/>
      <c r="N53" s="369"/>
      <c r="O53" s="344"/>
      <c r="P53" s="397"/>
      <c r="Q53" s="344"/>
    </row>
    <row r="54" spans="1:17">
      <c r="B54" s="366" t="s">
        <v>1614</v>
      </c>
      <c r="C54" s="367" t="s">
        <v>1616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1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36"/>
        <v>0</v>
      </c>
      <c r="I54" s="361">
        <f t="shared" ca="1" si="37"/>
        <v>0</v>
      </c>
      <c r="J54" s="361">
        <f t="shared" ca="1" si="38"/>
        <v>0</v>
      </c>
      <c r="K54" s="362">
        <f t="shared" ca="1" si="39"/>
        <v>0</v>
      </c>
    </row>
    <row r="55" spans="1:17">
      <c r="B55" s="494"/>
      <c r="C55" s="497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ref="H55" ca="1" si="40">IF(OR(D55="MDU",D55="MDU-KD"),(IF($O$3="RAB NON MDU","PLN KD",G55*F55)),0)</f>
        <v>0</v>
      </c>
      <c r="I55" s="361">
        <f t="shared" ref="I55" ca="1" si="41">IF(D55="HDW",G55*F55,0)</f>
        <v>0</v>
      </c>
      <c r="J55" s="361">
        <f t="shared" ref="J55" ca="1" si="42">IF(D55="JASA",G55*F55,0)</f>
        <v>0</v>
      </c>
      <c r="K55" s="362">
        <f t="shared" ref="K55" ca="1" si="43">SUM(H55:J55)</f>
        <v>0</v>
      </c>
    </row>
    <row r="56" spans="1:17">
      <c r="B56" s="518" t="s">
        <v>1035</v>
      </c>
      <c r="C56" s="519" t="s">
        <v>1630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2" ca="1" si="44">IF(OR(D56="MDU",D56="MDU-KD"),(IF($O$3="RAB NON MDU","PLN KD",G56*F56)),0)</f>
        <v>0</v>
      </c>
      <c r="I56" s="361">
        <f t="shared" ref="I56:I62" ca="1" si="45">IF(D56="HDW",G56*F56,0)</f>
        <v>0</v>
      </c>
      <c r="J56" s="361">
        <f t="shared" ref="J56:J62" ca="1" si="46">IF(D56="JASA",G56*F56,0)</f>
        <v>0</v>
      </c>
      <c r="K56" s="362">
        <f t="shared" ref="K56:K62" ca="1" si="47">SUM(H56:J56)</f>
        <v>0</v>
      </c>
    </row>
    <row r="57" spans="1:17">
      <c r="B57" s="518">
        <v>1</v>
      </c>
      <c r="C57" s="519" t="s">
        <v>1146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42757200</v>
      </c>
      <c r="H57" s="361">
        <f t="shared" ca="1" si="44"/>
        <v>42757200</v>
      </c>
      <c r="I57" s="361">
        <f t="shared" ca="1" si="45"/>
        <v>0</v>
      </c>
      <c r="J57" s="361">
        <f t="shared" ca="1" si="46"/>
        <v>0</v>
      </c>
      <c r="K57" s="362">
        <f t="shared" ca="1" si="47"/>
        <v>42757200</v>
      </c>
    </row>
    <row r="58" spans="1:17">
      <c r="B58" s="503">
        <v>2</v>
      </c>
      <c r="C58" s="506" t="s">
        <v>1618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7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44"/>
        <v>0</v>
      </c>
      <c r="I58" s="361">
        <f t="shared" ca="1" si="45"/>
        <v>0</v>
      </c>
      <c r="J58" s="361">
        <f t="shared" ca="1" si="46"/>
        <v>0</v>
      </c>
      <c r="K58" s="362">
        <f t="shared" ca="1" si="47"/>
        <v>0</v>
      </c>
    </row>
    <row r="59" spans="1:17">
      <c r="B59" s="518"/>
      <c r="C59" s="506" t="s">
        <v>65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501">
        <f>F56*(3*3)</f>
        <v>9</v>
      </c>
      <c r="G59" s="360">
        <f ca="1">IF(ISERROR(OFFSET('HARGA SATUAN'!$I$6,MATCH(RAB!C59,'HARGA SATUAN'!$C$7:$C$1492,0),0)),0,OFFSET('HARGA SATUAN'!$I$6,MATCH(RAB!C59,'HARGA SATUAN'!$C$7:$C$1492,0),0))</f>
        <v>14200</v>
      </c>
      <c r="H59" s="361">
        <f t="shared" ca="1" si="44"/>
        <v>127800</v>
      </c>
      <c r="I59" s="361">
        <f t="shared" ca="1" si="45"/>
        <v>0</v>
      </c>
      <c r="J59" s="361">
        <f t="shared" ca="1" si="46"/>
        <v>0</v>
      </c>
      <c r="K59" s="362">
        <f t="shared" ca="1" si="47"/>
        <v>127800</v>
      </c>
    </row>
    <row r="60" spans="1:17">
      <c r="B60" s="518"/>
      <c r="C60" s="506" t="s">
        <v>1631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1">
        <f>F56*3</f>
        <v>3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44"/>
        <v>0</v>
      </c>
      <c r="I60" s="361">
        <f t="shared" ca="1" si="45"/>
        <v>0</v>
      </c>
      <c r="J60" s="361">
        <f t="shared" ca="1" si="46"/>
        <v>0</v>
      </c>
      <c r="K60" s="362">
        <f t="shared" ca="1" si="47"/>
        <v>0</v>
      </c>
    </row>
    <row r="61" spans="1:17">
      <c r="B61" s="518">
        <v>3</v>
      </c>
      <c r="C61" s="109" t="s">
        <v>559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F56*3</f>
        <v>3</v>
      </c>
      <c r="G61" s="360">
        <f ca="1">IF(ISERROR(OFFSET('HARGA SATUAN'!$I$6,MATCH(RAB!C61,'HARGA SATUAN'!$C$7:$C$1492,0),0)),0,OFFSET('HARGA SATUAN'!$I$6,MATCH(RAB!C61,'HARGA SATUAN'!$C$7:$C$1492,0),0))</f>
        <v>725900</v>
      </c>
      <c r="H61" s="361">
        <f t="shared" ca="1" si="44"/>
        <v>2177700</v>
      </c>
      <c r="I61" s="361">
        <f t="shared" ca="1" si="45"/>
        <v>0</v>
      </c>
      <c r="J61" s="361">
        <f t="shared" ca="1" si="46"/>
        <v>0</v>
      </c>
      <c r="K61" s="362">
        <f t="shared" ca="1" si="47"/>
        <v>2177700</v>
      </c>
    </row>
    <row r="62" spans="1:17">
      <c r="B62" s="518">
        <v>4</v>
      </c>
      <c r="C62" s="519" t="s">
        <v>535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F56*3</f>
        <v>3</v>
      </c>
      <c r="G62" s="360">
        <f ca="1">IF(ISERROR(OFFSET('HARGA SATUAN'!$I$6,MATCH(RAB!C62,'HARGA SATUAN'!$C$7:$C$1492,0),0)),0,OFFSET('HARGA SATUAN'!$I$6,MATCH(RAB!C62,'HARGA SATUAN'!$C$7:$C$1492,0),0))</f>
        <v>848250</v>
      </c>
      <c r="H62" s="361">
        <f t="shared" ca="1" si="44"/>
        <v>2544750</v>
      </c>
      <c r="I62" s="361">
        <f t="shared" ca="1" si="45"/>
        <v>0</v>
      </c>
      <c r="J62" s="361">
        <f t="shared" ca="1" si="46"/>
        <v>0</v>
      </c>
      <c r="K62" s="362">
        <f t="shared" ca="1" si="47"/>
        <v>2544750</v>
      </c>
    </row>
    <row r="63" spans="1:17">
      <c r="B63" s="518">
        <v>5</v>
      </c>
      <c r="C63" s="519" t="s">
        <v>537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F56*3</f>
        <v>3</v>
      </c>
      <c r="G63" s="360">
        <f ca="1">IF(ISERROR(OFFSET('HARGA SATUAN'!$I$6,MATCH(RAB!C63,'HARGA SATUAN'!$C$7:$C$1492,0),0)),0,OFFSET('HARGA SATUAN'!$I$6,MATCH(RAB!C63,'HARGA SATUAN'!$C$7:$C$1492,0),0))</f>
        <v>17500</v>
      </c>
      <c r="H63" s="361">
        <f t="shared" ref="H63:H75" ca="1" si="48">IF(OR(D63="MDU",D63="MDU-KD"),(IF($O$3="RAB NON MDU","PLN KD",G63*F63)),0)</f>
        <v>0</v>
      </c>
      <c r="I63" s="361">
        <f t="shared" ref="I63:I75" ca="1" si="49">IF(D63="HDW",G63*F63,0)</f>
        <v>52500</v>
      </c>
      <c r="J63" s="361">
        <f t="shared" ref="J63:J75" ca="1" si="50">IF(D63="JASA",G63*F63,0)</f>
        <v>0</v>
      </c>
      <c r="K63" s="362">
        <f t="shared" ref="K63:K75" ca="1" si="51">SUM(H63:J63)</f>
        <v>52500</v>
      </c>
    </row>
    <row r="64" spans="1:17">
      <c r="B64" s="518">
        <v>6</v>
      </c>
      <c r="C64" s="519" t="s">
        <v>1624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1">
        <f>F56*13</f>
        <v>13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48"/>
        <v>0</v>
      </c>
      <c r="I64" s="361">
        <f t="shared" ca="1" si="49"/>
        <v>0</v>
      </c>
      <c r="J64" s="361">
        <f t="shared" ca="1" si="50"/>
        <v>0</v>
      </c>
      <c r="K64" s="362">
        <f t="shared" ca="1" si="51"/>
        <v>0</v>
      </c>
    </row>
    <row r="65" spans="2:11">
      <c r="B65" s="518">
        <v>7</v>
      </c>
      <c r="C65" s="519" t="s">
        <v>163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F56*22</f>
        <v>22</v>
      </c>
      <c r="G65" s="360">
        <f ca="1">IF(ISERROR(OFFSET('HARGA SATUAN'!$I$6,MATCH(RAB!C65,'HARGA SATUAN'!$C$7:$C$1492,0),0)),0,OFFSET('HARGA SATUAN'!$I$6,MATCH(RAB!C65,'HARGA SATUAN'!$C$7:$C$1492,0),0))</f>
        <v>7938</v>
      </c>
      <c r="H65" s="361">
        <f t="shared" ca="1" si="48"/>
        <v>0</v>
      </c>
      <c r="I65" s="361">
        <f t="shared" ca="1" si="49"/>
        <v>174636</v>
      </c>
      <c r="J65" s="361">
        <f t="shared" ca="1" si="50"/>
        <v>0</v>
      </c>
      <c r="K65" s="362">
        <f t="shared" ca="1" si="51"/>
        <v>174636</v>
      </c>
    </row>
    <row r="66" spans="2:11">
      <c r="B66" s="518">
        <v>8</v>
      </c>
      <c r="C66" s="519" t="s">
        <v>176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F56*1</f>
        <v>1</v>
      </c>
      <c r="G66" s="360">
        <f ca="1">IF(ISERROR(OFFSET('HARGA SATUAN'!$I$6,MATCH(RAB!C66,'HARGA SATUAN'!$C$7:$C$1492,0),0)),0,OFFSET('HARGA SATUAN'!$I$6,MATCH(RAB!C66,'HARGA SATUAN'!$C$7:$C$1492,0),0))</f>
        <v>404600</v>
      </c>
      <c r="H66" s="361">
        <f t="shared" ca="1" si="48"/>
        <v>0</v>
      </c>
      <c r="I66" s="361">
        <f t="shared" ca="1" si="49"/>
        <v>404600</v>
      </c>
      <c r="J66" s="361">
        <f t="shared" ca="1" si="50"/>
        <v>0</v>
      </c>
      <c r="K66" s="362">
        <f t="shared" ca="1" si="51"/>
        <v>404600</v>
      </c>
    </row>
    <row r="67" spans="2:11">
      <c r="B67" s="518">
        <v>9</v>
      </c>
      <c r="C67" s="519" t="s">
        <v>184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F56*3</f>
        <v>3</v>
      </c>
      <c r="G67" s="360">
        <f ca="1">IF(ISERROR(OFFSET('HARGA SATUAN'!$I$6,MATCH(RAB!C67,'HARGA SATUAN'!$C$7:$C$1492,0),0)),0,OFFSET('HARGA SATUAN'!$I$6,MATCH(RAB!C67,'HARGA SATUAN'!$C$7:$C$1492,0),0))</f>
        <v>15900</v>
      </c>
      <c r="H67" s="361">
        <f t="shared" ca="1" si="48"/>
        <v>0</v>
      </c>
      <c r="I67" s="361">
        <f t="shared" ca="1" si="49"/>
        <v>47700</v>
      </c>
      <c r="J67" s="361">
        <f t="shared" ca="1" si="50"/>
        <v>0</v>
      </c>
      <c r="K67" s="362">
        <f t="shared" ca="1" si="51"/>
        <v>47700</v>
      </c>
    </row>
    <row r="68" spans="2:11">
      <c r="B68" s="518">
        <v>10</v>
      </c>
      <c r="C68" s="519" t="s">
        <v>592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1">
        <f>F56*5</f>
        <v>5</v>
      </c>
      <c r="G68" s="360">
        <f ca="1">IF(ISERROR(OFFSET('HARGA SATUAN'!$I$6,MATCH(RAB!C68,'HARGA SATUAN'!$C$7:$C$1492,0),0)),0,OFFSET('HARGA SATUAN'!$I$6,MATCH(RAB!C68,'HARGA SATUAN'!$C$7:$C$1492,0),0))</f>
        <v>283100</v>
      </c>
      <c r="H68" s="361">
        <f t="shared" ca="1" si="48"/>
        <v>0</v>
      </c>
      <c r="I68" s="361">
        <f t="shared" ca="1" si="49"/>
        <v>1415500</v>
      </c>
      <c r="J68" s="361">
        <f t="shared" ca="1" si="50"/>
        <v>0</v>
      </c>
      <c r="K68" s="362">
        <f t="shared" ca="1" si="51"/>
        <v>1415500</v>
      </c>
    </row>
    <row r="69" spans="2:11">
      <c r="B69" s="518">
        <v>11</v>
      </c>
      <c r="C69" s="519" t="s">
        <v>593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F56*4</f>
        <v>4</v>
      </c>
      <c r="G69" s="360">
        <f ca="1">IF(ISERROR(OFFSET('HARGA SATUAN'!$I$6,MATCH(RAB!C69,'HARGA SATUAN'!$C$7:$C$1492,0),0)),0,OFFSET('HARGA SATUAN'!$I$6,MATCH(RAB!C69,'HARGA SATUAN'!$C$7:$C$1492,0),0))</f>
        <v>380500</v>
      </c>
      <c r="H69" s="361">
        <f t="shared" ca="1" si="48"/>
        <v>0</v>
      </c>
      <c r="I69" s="361">
        <f t="shared" ca="1" si="49"/>
        <v>1522000</v>
      </c>
      <c r="J69" s="361">
        <f t="shared" ca="1" si="50"/>
        <v>0</v>
      </c>
      <c r="K69" s="362">
        <f t="shared" ca="1" si="51"/>
        <v>1522000</v>
      </c>
    </row>
    <row r="70" spans="2:11">
      <c r="B70" s="518">
        <v>12</v>
      </c>
      <c r="C70" s="519" t="s">
        <v>208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F56*3</f>
        <v>3</v>
      </c>
      <c r="G70" s="360">
        <f ca="1">IF(ISERROR(OFFSET('HARGA SATUAN'!$I$6,MATCH(RAB!C70,'HARGA SATUAN'!$C$7:$C$1492,0),0)),0,OFFSET('HARGA SATUAN'!$I$6,MATCH(RAB!C70,'HARGA SATUAN'!$C$7:$C$1492,0),0))</f>
        <v>173400</v>
      </c>
      <c r="H70" s="361">
        <f t="shared" ca="1" si="48"/>
        <v>0</v>
      </c>
      <c r="I70" s="361">
        <f t="shared" ca="1" si="49"/>
        <v>520200</v>
      </c>
      <c r="J70" s="361">
        <f t="shared" ca="1" si="50"/>
        <v>0</v>
      </c>
      <c r="K70" s="362">
        <f t="shared" ca="1" si="51"/>
        <v>520200</v>
      </c>
    </row>
    <row r="71" spans="2:11">
      <c r="B71" s="518">
        <v>13</v>
      </c>
      <c r="C71" s="519" t="s">
        <v>247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1">
        <f>F56*1</f>
        <v>1</v>
      </c>
      <c r="G71" s="360">
        <f ca="1">IF(ISERROR(OFFSET('HARGA SATUAN'!$I$6,MATCH(RAB!C71,'HARGA SATUAN'!$C$7:$C$1492,0),0)),0,OFFSET('HARGA SATUAN'!$I$6,MATCH(RAB!C71,'HARGA SATUAN'!$C$7:$C$1492,0),0))</f>
        <v>57690</v>
      </c>
      <c r="H71" s="361">
        <f t="shared" ca="1" si="48"/>
        <v>0</v>
      </c>
      <c r="I71" s="361">
        <f t="shared" ca="1" si="49"/>
        <v>57690</v>
      </c>
      <c r="J71" s="361">
        <f t="shared" ca="1" si="50"/>
        <v>0</v>
      </c>
      <c r="K71" s="362">
        <f t="shared" ca="1" si="51"/>
        <v>57690</v>
      </c>
    </row>
    <row r="72" spans="2:11">
      <c r="B72" s="518">
        <v>14</v>
      </c>
      <c r="C72" s="519" t="s">
        <v>234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F56*2</f>
        <v>2</v>
      </c>
      <c r="G72" s="360">
        <f ca="1">IF(ISERROR(OFFSET('HARGA SATUAN'!$I$6,MATCH(RAB!C72,'HARGA SATUAN'!$C$7:$C$1492,0),0)),0,OFFSET('HARGA SATUAN'!$I$6,MATCH(RAB!C72,'HARGA SATUAN'!$C$7:$C$1492,0),0))</f>
        <v>67500</v>
      </c>
      <c r="H72" s="361">
        <f t="shared" ca="1" si="48"/>
        <v>0</v>
      </c>
      <c r="I72" s="361">
        <f t="shared" ca="1" si="49"/>
        <v>135000</v>
      </c>
      <c r="J72" s="361">
        <f t="shared" ca="1" si="50"/>
        <v>0</v>
      </c>
      <c r="K72" s="362">
        <f t="shared" ca="1" si="51"/>
        <v>135000</v>
      </c>
    </row>
    <row r="73" spans="2:11">
      <c r="B73" s="518">
        <v>15</v>
      </c>
      <c r="C73" s="519" t="s">
        <v>267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F56*2</f>
        <v>2</v>
      </c>
      <c r="G73" s="360">
        <f ca="1">IF(ISERROR(OFFSET('HARGA SATUAN'!$I$6,MATCH(RAB!C73,'HARGA SATUAN'!$C$7:$C$1492,0),0)),0,OFFSET('HARGA SATUAN'!$I$6,MATCH(RAB!C73,'HARGA SATUAN'!$C$7:$C$1492,0),0))</f>
        <v>129000</v>
      </c>
      <c r="H73" s="361">
        <f t="shared" ca="1" si="48"/>
        <v>0</v>
      </c>
      <c r="I73" s="361">
        <f t="shared" ca="1" si="49"/>
        <v>258000</v>
      </c>
      <c r="J73" s="361">
        <f t="shared" ca="1" si="50"/>
        <v>0</v>
      </c>
      <c r="K73" s="362">
        <f t="shared" ca="1" si="51"/>
        <v>258000</v>
      </c>
    </row>
    <row r="74" spans="2:11">
      <c r="B74" s="518">
        <v>16</v>
      </c>
      <c r="C74" s="519" t="s">
        <v>607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1">
        <f>F56*4</f>
        <v>4</v>
      </c>
      <c r="G74" s="360">
        <f ca="1">IF(ISERROR(OFFSET('HARGA SATUAN'!$I$6,MATCH(RAB!C74,'HARGA SATUAN'!$C$7:$C$1492,0),0)),0,OFFSET('HARGA SATUAN'!$I$6,MATCH(RAB!C74,'HARGA SATUAN'!$C$7:$C$1492,0),0))</f>
        <v>250000</v>
      </c>
      <c r="H74" s="361">
        <f t="shared" ca="1" si="48"/>
        <v>0</v>
      </c>
      <c r="I74" s="361">
        <f t="shared" ca="1" si="49"/>
        <v>1000000</v>
      </c>
      <c r="J74" s="361">
        <f t="shared" ca="1" si="50"/>
        <v>0</v>
      </c>
      <c r="K74" s="362">
        <f t="shared" ca="1" si="51"/>
        <v>1000000</v>
      </c>
    </row>
    <row r="75" spans="2:11">
      <c r="B75" s="518">
        <v>17</v>
      </c>
      <c r="C75" s="519" t="s">
        <v>783</v>
      </c>
      <c r="D75" s="358" t="str">
        <f ca="1">IF(ISERROR(OFFSET('HARGA SATUAN'!$D$6,MATCH(RAB!C75,'HARGA SATUAN'!$C$7:$C$1492,0),0)),"",OFFSET('HARGA SATUAN'!$D$6,MATCH(RAB!C75,'HARGA SATUAN'!$C$7:$C$1492,0),0))</f>
        <v>JASA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01">
        <f>F56*1</f>
        <v>1</v>
      </c>
      <c r="G75" s="360">
        <f ca="1">IF(ISERROR(OFFSET('HARGA SATUAN'!$I$6,MATCH(RAB!C75,'HARGA SATUAN'!$C$7:$C$1492,0),0)),0,OFFSET('HARGA SATUAN'!$I$6,MATCH(RAB!C75,'HARGA SATUAN'!$C$7:$C$1492,0),0))</f>
        <v>1182800</v>
      </c>
      <c r="H75" s="361">
        <f t="shared" ca="1" si="48"/>
        <v>0</v>
      </c>
      <c r="I75" s="361">
        <f t="shared" ca="1" si="49"/>
        <v>0</v>
      </c>
      <c r="J75" s="361">
        <f t="shared" ca="1" si="50"/>
        <v>1182800</v>
      </c>
      <c r="K75" s="362">
        <f t="shared" ca="1" si="51"/>
        <v>1182800</v>
      </c>
    </row>
    <row r="76" spans="2:11">
      <c r="B76" s="508"/>
      <c r="C76" s="109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01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ref="H76" ca="1" si="52">IF(OR(D76="MDU",D76="MDU-KD"),(IF($O$3="RAB NON MDU","PLN KD",G76*F76)),0)</f>
        <v>0</v>
      </c>
      <c r="I76" s="361">
        <f t="shared" ref="I76" ca="1" si="53">IF(D76="HDW",G76*F76,0)</f>
        <v>0</v>
      </c>
      <c r="J76" s="361">
        <f t="shared" ref="J76" ca="1" si="54">IF(D76="JASA",G76*F76,0)</f>
        <v>0</v>
      </c>
      <c r="K76" s="362">
        <f t="shared" ref="K76" ca="1" si="55">SUM(H76:J76)</f>
        <v>0</v>
      </c>
    </row>
    <row r="77" spans="2:11">
      <c r="B77" s="503" t="s">
        <v>1035</v>
      </c>
      <c r="C77" s="504" t="s">
        <v>1619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1">
        <v>2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87" ca="1" si="56">IF(OR(D77="MDU",D77="MDU-KD"),(IF($O$3="RAB NON MDU","PLN KD",G77*F77)),0)</f>
        <v>0</v>
      </c>
      <c r="I77" s="361">
        <f t="shared" ref="I77:I87" ca="1" si="57">IF(D77="HDW",G77*F77,0)</f>
        <v>0</v>
      </c>
      <c r="J77" s="361">
        <f t="shared" ref="J77:J87" ca="1" si="58">IF(D77="JASA",G77*F77,0)</f>
        <v>0</v>
      </c>
      <c r="K77" s="362">
        <f t="shared" ref="K77:K87" ca="1" si="59">SUM(H77:J77)</f>
        <v>0</v>
      </c>
    </row>
    <row r="78" spans="2:11">
      <c r="B78" s="503">
        <v>1</v>
      </c>
      <c r="C78" s="505" t="s">
        <v>29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F77*1</f>
        <v>2</v>
      </c>
      <c r="G78" s="360">
        <f ca="1">IF(ISERROR(OFFSET('HARGA SATUAN'!$I$6,MATCH(RAB!C78,'HARGA SATUAN'!$C$7:$C$1492,0),0)),0,OFFSET('HARGA SATUAN'!$I$6,MATCH(RAB!C78,'HARGA SATUAN'!$C$7:$C$1492,0),0))</f>
        <v>185200</v>
      </c>
      <c r="H78" s="361">
        <f t="shared" ca="1" si="56"/>
        <v>0</v>
      </c>
      <c r="I78" s="361">
        <f t="shared" ca="1" si="57"/>
        <v>370400</v>
      </c>
      <c r="J78" s="361">
        <f t="shared" ca="1" si="58"/>
        <v>0</v>
      </c>
      <c r="K78" s="362">
        <f t="shared" ca="1" si="59"/>
        <v>370400</v>
      </c>
    </row>
    <row r="79" spans="2:11">
      <c r="B79" s="498">
        <v>2</v>
      </c>
      <c r="C79" s="499" t="s">
        <v>30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1">
        <f>F77*1</f>
        <v>2</v>
      </c>
      <c r="G79" s="360">
        <f ca="1">IF(ISERROR(OFFSET('HARGA SATUAN'!$I$6,MATCH(RAB!C79,'HARGA SATUAN'!$C$7:$C$1492,0),0)),0,OFFSET('HARGA SATUAN'!$I$6,MATCH(RAB!C79,'HARGA SATUAN'!$C$7:$C$1492,0),0))</f>
        <v>47459</v>
      </c>
      <c r="H79" s="361">
        <f t="shared" ca="1" si="56"/>
        <v>0</v>
      </c>
      <c r="I79" s="361">
        <f t="shared" ca="1" si="57"/>
        <v>94918</v>
      </c>
      <c r="J79" s="361">
        <f t="shared" ca="1" si="58"/>
        <v>0</v>
      </c>
      <c r="K79" s="362">
        <f t="shared" ca="1" si="59"/>
        <v>94918</v>
      </c>
    </row>
    <row r="80" spans="2:11">
      <c r="B80" s="498">
        <v>3</v>
      </c>
      <c r="C80" s="499" t="s">
        <v>31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1">
        <f>F77*1</f>
        <v>2</v>
      </c>
      <c r="G80" s="360">
        <f ca="1">IF(ISERROR(OFFSET('HARGA SATUAN'!$I$6,MATCH(RAB!C80,'HARGA SATUAN'!$C$7:$C$1492,0),0)),0,OFFSET('HARGA SATUAN'!$I$6,MATCH(RAB!C80,'HARGA SATUAN'!$C$7:$C$1492,0),0))</f>
        <v>4880</v>
      </c>
      <c r="H80" s="361">
        <f t="shared" ca="1" si="56"/>
        <v>0</v>
      </c>
      <c r="I80" s="361">
        <f t="shared" ca="1" si="57"/>
        <v>9760</v>
      </c>
      <c r="J80" s="361">
        <f t="shared" ca="1" si="58"/>
        <v>0</v>
      </c>
      <c r="K80" s="362">
        <f t="shared" ca="1" si="59"/>
        <v>9760</v>
      </c>
    </row>
    <row r="81" spans="2:11">
      <c r="B81" s="498">
        <v>4</v>
      </c>
      <c r="C81" s="499" t="s">
        <v>32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501">
        <f>F77*10</f>
        <v>20</v>
      </c>
      <c r="G81" s="360">
        <f ca="1">IF(ISERROR(OFFSET('HARGA SATUAN'!$I$6,MATCH(RAB!C81,'HARGA SATUAN'!$C$7:$C$1492,0),0)),0,OFFSET('HARGA SATUAN'!$I$6,MATCH(RAB!C81,'HARGA SATUAN'!$C$7:$C$1492,0),0))</f>
        <v>30000</v>
      </c>
      <c r="H81" s="361">
        <f t="shared" ca="1" si="56"/>
        <v>0</v>
      </c>
      <c r="I81" s="361">
        <f t="shared" ca="1" si="57"/>
        <v>600000</v>
      </c>
      <c r="J81" s="361">
        <f t="shared" ca="1" si="58"/>
        <v>0</v>
      </c>
      <c r="K81" s="362">
        <f t="shared" ca="1" si="59"/>
        <v>600000</v>
      </c>
    </row>
    <row r="82" spans="2:11">
      <c r="B82" s="498">
        <v>5</v>
      </c>
      <c r="C82" s="499" t="s">
        <v>33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1">
        <f>F77*2</f>
        <v>4</v>
      </c>
      <c r="G82" s="360">
        <f ca="1">IF(ISERROR(OFFSET('HARGA SATUAN'!$I$6,MATCH(RAB!C82,'HARGA SATUAN'!$C$7:$C$1492,0),0)),0,OFFSET('HARGA SATUAN'!$I$6,MATCH(RAB!C82,'HARGA SATUAN'!$C$7:$C$1492,0),0))</f>
        <v>9500</v>
      </c>
      <c r="H82" s="361">
        <f t="shared" ca="1" si="56"/>
        <v>0</v>
      </c>
      <c r="I82" s="361">
        <f t="shared" ca="1" si="57"/>
        <v>38000</v>
      </c>
      <c r="J82" s="361">
        <f t="shared" ca="1" si="58"/>
        <v>0</v>
      </c>
      <c r="K82" s="362">
        <f t="shared" ca="1" si="59"/>
        <v>38000</v>
      </c>
    </row>
    <row r="83" spans="2:11">
      <c r="B83" s="498">
        <v>6</v>
      </c>
      <c r="C83" s="499" t="s">
        <v>34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F77*5.5</f>
        <v>11</v>
      </c>
      <c r="G83" s="360">
        <f ca="1">IF(ISERROR(OFFSET('HARGA SATUAN'!$I$6,MATCH(RAB!C83,'HARGA SATUAN'!$C$7:$C$1492,0),0)),0,OFFSET('HARGA SATUAN'!$I$6,MATCH(RAB!C83,'HARGA SATUAN'!$C$7:$C$1492,0),0))</f>
        <v>6100</v>
      </c>
      <c r="H83" s="361">
        <f t="shared" ca="1" si="56"/>
        <v>0</v>
      </c>
      <c r="I83" s="361">
        <f t="shared" ca="1" si="57"/>
        <v>67100</v>
      </c>
      <c r="J83" s="361">
        <f t="shared" ca="1" si="58"/>
        <v>0</v>
      </c>
      <c r="K83" s="362">
        <f t="shared" ca="1" si="59"/>
        <v>67100</v>
      </c>
    </row>
    <row r="84" spans="2:11">
      <c r="B84" s="498">
        <v>7</v>
      </c>
      <c r="C84" s="499" t="s">
        <v>35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1">
        <f>F77*6</f>
        <v>12</v>
      </c>
      <c r="G84" s="360">
        <f ca="1">IF(ISERROR(OFFSET('HARGA SATUAN'!$I$6,MATCH(RAB!C84,'HARGA SATUAN'!$C$7:$C$1492,0),0)),0,OFFSET('HARGA SATUAN'!$I$6,MATCH(RAB!C84,'HARGA SATUAN'!$C$7:$C$1492,0),0))</f>
        <v>2300</v>
      </c>
      <c r="H84" s="361">
        <f t="shared" ca="1" si="56"/>
        <v>0</v>
      </c>
      <c r="I84" s="361">
        <f t="shared" ca="1" si="57"/>
        <v>27600</v>
      </c>
      <c r="J84" s="361">
        <f t="shared" ca="1" si="58"/>
        <v>0</v>
      </c>
      <c r="K84" s="362">
        <f t="shared" ca="1" si="59"/>
        <v>27600</v>
      </c>
    </row>
    <row r="85" spans="2:11">
      <c r="B85" s="498">
        <v>8</v>
      </c>
      <c r="C85" s="499" t="s">
        <v>1620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501">
        <f>F77*4.8</f>
        <v>9.6</v>
      </c>
      <c r="G85" s="360">
        <f ca="1">IF(ISERROR(OFFSET('HARGA SATUAN'!$I$6,MATCH(RAB!C85,'HARGA SATUAN'!$C$7:$C$1492,0),0)),0,OFFSET('HARGA SATUAN'!$I$6,MATCH(RAB!C85,'HARGA SATUAN'!$C$7:$C$1492,0),0))</f>
        <v>23310</v>
      </c>
      <c r="H85" s="361">
        <f t="shared" ca="1" si="56"/>
        <v>0</v>
      </c>
      <c r="I85" s="361">
        <f t="shared" ca="1" si="57"/>
        <v>223776</v>
      </c>
      <c r="J85" s="361">
        <f t="shared" ca="1" si="58"/>
        <v>0</v>
      </c>
      <c r="K85" s="362">
        <f t="shared" ca="1" si="59"/>
        <v>223776</v>
      </c>
    </row>
    <row r="86" spans="2:11">
      <c r="B86" s="498">
        <v>9</v>
      </c>
      <c r="C86" s="499" t="s">
        <v>736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1">
        <f>F77*1</f>
        <v>2</v>
      </c>
      <c r="G86" s="360">
        <f ca="1">IF(ISERROR(OFFSET('HARGA SATUAN'!$I$6,MATCH(RAB!C86,'HARGA SATUAN'!$C$7:$C$1492,0),0)),0,OFFSET('HARGA SATUAN'!$I$6,MATCH(RAB!C86,'HARGA SATUAN'!$C$7:$C$1492,0),0))</f>
        <v>65400</v>
      </c>
      <c r="H86" s="361">
        <f t="shared" ca="1" si="56"/>
        <v>0</v>
      </c>
      <c r="I86" s="361">
        <f t="shared" ca="1" si="57"/>
        <v>0</v>
      </c>
      <c r="J86" s="361">
        <f t="shared" ca="1" si="58"/>
        <v>130800</v>
      </c>
      <c r="K86" s="362">
        <f t="shared" ca="1" si="59"/>
        <v>130800</v>
      </c>
    </row>
    <row r="87" spans="2:11">
      <c r="B87" s="494"/>
      <c r="C87" s="497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2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56"/>
        <v>0</v>
      </c>
      <c r="I87" s="361">
        <f t="shared" ca="1" si="57"/>
        <v>0</v>
      </c>
      <c r="J87" s="361">
        <f t="shared" ca="1" si="58"/>
        <v>0</v>
      </c>
      <c r="K87" s="362">
        <f t="shared" ca="1" si="59"/>
        <v>0</v>
      </c>
    </row>
    <row r="88" spans="2:11">
      <c r="B88" s="495" t="s">
        <v>1615</v>
      </c>
      <c r="C88" s="500" t="s">
        <v>1621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ref="H88:H94" ca="1" si="60">IF(OR(D88="MDU",D88="MDU-KD"),(IF($O$3="RAB NON MDU","PLN KD",G88*F88)),0)</f>
        <v>0</v>
      </c>
      <c r="I88" s="361">
        <f t="shared" ref="I88:I94" ca="1" si="61">IF(D88="HDW",G88*F88,0)</f>
        <v>0</v>
      </c>
      <c r="J88" s="361">
        <f t="shared" ref="J88:J94" ca="1" si="62">IF(D88="JASA",G88*F88,0)</f>
        <v>0</v>
      </c>
      <c r="K88" s="362">
        <f t="shared" ref="K88:K94" ca="1" si="63">SUM(H88:J88)</f>
        <v>0</v>
      </c>
    </row>
    <row r="89" spans="2:11">
      <c r="B89" s="495"/>
      <c r="C89" s="496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10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60"/>
        <v>0</v>
      </c>
      <c r="I89" s="361">
        <f t="shared" ca="1" si="61"/>
        <v>0</v>
      </c>
      <c r="J89" s="361">
        <f t="shared" ca="1" si="62"/>
        <v>0</v>
      </c>
      <c r="K89" s="362">
        <f t="shared" ca="1" si="63"/>
        <v>0</v>
      </c>
    </row>
    <row r="90" spans="2:11">
      <c r="B90" s="495" t="s">
        <v>1035</v>
      </c>
      <c r="C90" s="496" t="s">
        <v>1633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11">
        <v>1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60"/>
        <v>0</v>
      </c>
      <c r="I90" s="361">
        <f t="shared" ca="1" si="61"/>
        <v>0</v>
      </c>
      <c r="J90" s="361">
        <f t="shared" ca="1" si="62"/>
        <v>0</v>
      </c>
      <c r="K90" s="362">
        <f t="shared" ca="1" si="63"/>
        <v>0</v>
      </c>
    </row>
    <row r="91" spans="2:11" ht="30">
      <c r="B91" s="717">
        <v>1</v>
      </c>
      <c r="C91" s="109" t="s">
        <v>1197</v>
      </c>
      <c r="D91" s="358" t="str">
        <f ca="1">IF(ISERROR(OFFSET('HARGA SATUAN'!$D$6,MATCH(RAB!C91,'HARGA SATUAN'!$C$7:$C$1492,0),0)),"",OFFSET('HARGA SATUAN'!$D$6,MATCH(RAB!C91,'HARGA SATUAN'!$C$7:$C$1492,0),0))</f>
        <v>MDU-KD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11">
        <f>F90*1</f>
        <v>1</v>
      </c>
      <c r="G91" s="360">
        <f ca="1">IF(ISERROR(OFFSET('HARGA SATUAN'!$I$6,MATCH(RAB!C91,'HARGA SATUAN'!$C$7:$C$1492,0),0)),0,OFFSET('HARGA SATUAN'!$I$6,MATCH(RAB!C91,'HARGA SATUAN'!$C$7:$C$1492,0),0))</f>
        <v>1427400</v>
      </c>
      <c r="H91" s="361">
        <f t="shared" ca="1" si="60"/>
        <v>1427400</v>
      </c>
      <c r="I91" s="361">
        <f t="shared" ca="1" si="61"/>
        <v>0</v>
      </c>
      <c r="J91" s="361">
        <f t="shared" ca="1" si="62"/>
        <v>0</v>
      </c>
      <c r="K91" s="362">
        <f t="shared" ca="1" si="63"/>
        <v>1427400</v>
      </c>
    </row>
    <row r="92" spans="2:11">
      <c r="B92" s="717">
        <v>2</v>
      </c>
      <c r="C92" s="718" t="s">
        <v>511</v>
      </c>
      <c r="D92" s="358" t="str">
        <f ca="1">IF(ISERROR(OFFSET('HARGA SATUAN'!$D$6,MATCH(RAB!C92,'HARGA SATUAN'!$C$7:$C$1492,0),0)),"",OFFSET('HARGA SATUAN'!$D$6,MATCH(RAB!C92,'HARGA SATUAN'!$C$7:$C$1492,0),0))</f>
        <v>MDU-KD</v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511">
        <f>F90*1</f>
        <v>1</v>
      </c>
      <c r="G92" s="360">
        <f ca="1">IF(ISERROR(OFFSET('HARGA SATUAN'!$I$6,MATCH(RAB!C92,'HARGA SATUAN'!$C$7:$C$1492,0),0)),0,OFFSET('HARGA SATUAN'!$I$6,MATCH(RAB!C92,'HARGA SATUAN'!$C$7:$C$1492,0),0))</f>
        <v>3564900</v>
      </c>
      <c r="H92" s="361">
        <f t="shared" ca="1" si="60"/>
        <v>3564900</v>
      </c>
      <c r="I92" s="361">
        <f t="shared" ca="1" si="61"/>
        <v>0</v>
      </c>
      <c r="J92" s="361">
        <f t="shared" ca="1" si="62"/>
        <v>0</v>
      </c>
      <c r="K92" s="362">
        <f t="shared" ca="1" si="63"/>
        <v>3564900</v>
      </c>
    </row>
    <row r="93" spans="2:11">
      <c r="B93" s="717">
        <v>3</v>
      </c>
      <c r="C93" s="718" t="s">
        <v>77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511">
        <f>F90*35</f>
        <v>35</v>
      </c>
      <c r="G93" s="360">
        <f ca="1">IF(ISERROR(OFFSET('HARGA SATUAN'!$I$6,MATCH(RAB!C93,'HARGA SATUAN'!$C$7:$C$1492,0),0)),0,OFFSET('HARGA SATUAN'!$I$6,MATCH(RAB!C93,'HARGA SATUAN'!$C$7:$C$1492,0),0))</f>
        <v>13500</v>
      </c>
      <c r="H93" s="361">
        <f t="shared" ca="1" si="60"/>
        <v>472500</v>
      </c>
      <c r="I93" s="361">
        <f t="shared" ca="1" si="61"/>
        <v>0</v>
      </c>
      <c r="J93" s="361">
        <f t="shared" ca="1" si="62"/>
        <v>0</v>
      </c>
      <c r="K93" s="362">
        <f t="shared" ca="1" si="63"/>
        <v>472500</v>
      </c>
    </row>
    <row r="94" spans="2:11">
      <c r="B94" s="717">
        <v>4</v>
      </c>
      <c r="C94" s="718" t="s">
        <v>799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11">
        <f>F90*1</f>
        <v>1</v>
      </c>
      <c r="G94" s="360">
        <f ca="1">IF(ISERROR(OFFSET('HARGA SATUAN'!$I$6,MATCH(RAB!C94,'HARGA SATUAN'!$C$7:$C$1492,0),0)),0,OFFSET('HARGA SATUAN'!$I$6,MATCH(RAB!C94,'HARGA SATUAN'!$C$7:$C$1492,0),0))</f>
        <v>106400</v>
      </c>
      <c r="H94" s="361">
        <f t="shared" ca="1" si="60"/>
        <v>0</v>
      </c>
      <c r="I94" s="361">
        <f t="shared" ca="1" si="61"/>
        <v>0</v>
      </c>
      <c r="J94" s="361">
        <f t="shared" ca="1" si="62"/>
        <v>106400</v>
      </c>
      <c r="K94" s="362">
        <f t="shared" ca="1" si="63"/>
        <v>106400</v>
      </c>
    </row>
    <row r="95" spans="2:11">
      <c r="B95" s="374"/>
      <c r="C95" s="509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368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:H96" ca="1" si="64">IF(OR(D95="MDU",D95="MDU-KD"),(IF($O$3="RAB NON MDU","PLN KD",G95*F95)),0)</f>
        <v>0</v>
      </c>
      <c r="I95" s="361">
        <f t="shared" ref="I95:I96" ca="1" si="65">IF(D95="HDW",G95*F95,0)</f>
        <v>0</v>
      </c>
      <c r="J95" s="361">
        <f t="shared" ref="J95:J96" ca="1" si="66">IF(D95="JASA",G95*F95,0)</f>
        <v>0</v>
      </c>
      <c r="K95" s="362">
        <f t="shared" ref="K95:K96" ca="1" si="67">SUM(H95:J95)</f>
        <v>0</v>
      </c>
    </row>
    <row r="96" spans="2:11">
      <c r="B96" s="717" t="s">
        <v>1035</v>
      </c>
      <c r="C96" s="718" t="s">
        <v>1635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>Unit</v>
      </c>
      <c r="F96" s="720">
        <v>1</v>
      </c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64"/>
        <v>0</v>
      </c>
      <c r="I96" s="361">
        <f t="shared" ca="1" si="65"/>
        <v>0</v>
      </c>
      <c r="J96" s="361">
        <f t="shared" ca="1" si="66"/>
        <v>0</v>
      </c>
      <c r="K96" s="362">
        <f t="shared" ca="1" si="67"/>
        <v>0</v>
      </c>
    </row>
    <row r="97" spans="2:11">
      <c r="B97" s="717">
        <v>1</v>
      </c>
      <c r="C97" s="718" t="s">
        <v>115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Set</v>
      </c>
      <c r="F97" s="720">
        <f>F96*1</f>
        <v>1</v>
      </c>
      <c r="G97" s="360">
        <f ca="1">IF(ISERROR(OFFSET('HARGA SATUAN'!$I$6,MATCH(RAB!C97,'HARGA SATUAN'!$C$7:$C$1492,0),0)),0,OFFSET('HARGA SATUAN'!$I$6,MATCH(RAB!C97,'HARGA SATUAN'!$C$7:$C$1492,0),0))</f>
        <v>11500</v>
      </c>
      <c r="H97" s="361">
        <f t="shared" ref="H97:H105" ca="1" si="68">IF(OR(D97="MDU",D97="MDU-KD"),(IF($O$3="RAB NON MDU","PLN KD",G97*F97)),0)</f>
        <v>0</v>
      </c>
      <c r="I97" s="361">
        <f t="shared" ref="I97:I105" ca="1" si="69">IF(D97="HDW",G97*F97,0)</f>
        <v>11500</v>
      </c>
      <c r="J97" s="361">
        <f t="shared" ref="J97:J105" ca="1" si="70">IF(D97="JASA",G97*F97,0)</f>
        <v>0</v>
      </c>
      <c r="K97" s="362">
        <f t="shared" ref="K97:K105" ca="1" si="71">SUM(H97:J97)</f>
        <v>11500</v>
      </c>
    </row>
    <row r="98" spans="2:11">
      <c r="B98" s="717">
        <v>2</v>
      </c>
      <c r="C98" s="718" t="s">
        <v>145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Set</v>
      </c>
      <c r="F98" s="720">
        <f>F96*1</f>
        <v>1</v>
      </c>
      <c r="G98" s="360">
        <f ca="1">IF(ISERROR(OFFSET('HARGA SATUAN'!$I$6,MATCH(RAB!C98,'HARGA SATUAN'!$C$7:$C$1492,0),0)),0,OFFSET('HARGA SATUAN'!$I$6,MATCH(RAB!C98,'HARGA SATUAN'!$C$7:$C$1492,0),0))</f>
        <v>6200</v>
      </c>
      <c r="H98" s="361">
        <f t="shared" ca="1" si="68"/>
        <v>0</v>
      </c>
      <c r="I98" s="361">
        <f t="shared" ca="1" si="69"/>
        <v>6200</v>
      </c>
      <c r="J98" s="361">
        <f t="shared" ca="1" si="70"/>
        <v>0</v>
      </c>
      <c r="K98" s="362">
        <f t="shared" ca="1" si="71"/>
        <v>6200</v>
      </c>
    </row>
    <row r="99" spans="2:11">
      <c r="B99" s="717">
        <v>3</v>
      </c>
      <c r="C99" s="718" t="s">
        <v>587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Btg</v>
      </c>
      <c r="F99" s="720">
        <f>F96*1</f>
        <v>1</v>
      </c>
      <c r="G99" s="360">
        <f ca="1">IF(ISERROR(OFFSET('HARGA SATUAN'!$I$6,MATCH(RAB!C99,'HARGA SATUAN'!$C$7:$C$1492,0),0)),0,OFFSET('HARGA SATUAN'!$I$6,MATCH(RAB!C99,'HARGA SATUAN'!$C$7:$C$1492,0),0))</f>
        <v>45796</v>
      </c>
      <c r="H99" s="361">
        <f t="shared" ca="1" si="68"/>
        <v>0</v>
      </c>
      <c r="I99" s="361">
        <f t="shared" ca="1" si="69"/>
        <v>45796</v>
      </c>
      <c r="J99" s="361">
        <f t="shared" ca="1" si="70"/>
        <v>0</v>
      </c>
      <c r="K99" s="362">
        <f t="shared" ca="1" si="71"/>
        <v>45796</v>
      </c>
    </row>
    <row r="100" spans="2:11">
      <c r="B100" s="717">
        <v>4</v>
      </c>
      <c r="C100" s="718" t="s">
        <v>118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Set</v>
      </c>
      <c r="F100" s="720">
        <f>F96*1</f>
        <v>1</v>
      </c>
      <c r="G100" s="360">
        <f ca="1">IF(ISERROR(OFFSET('HARGA SATUAN'!$I$6,MATCH(RAB!C100,'HARGA SATUAN'!$C$7:$C$1492,0),0)),0,OFFSET('HARGA SATUAN'!$I$6,MATCH(RAB!C100,'HARGA SATUAN'!$C$7:$C$1492,0),0))</f>
        <v>5300</v>
      </c>
      <c r="H100" s="361">
        <f t="shared" ca="1" si="68"/>
        <v>0</v>
      </c>
      <c r="I100" s="361">
        <f t="shared" ca="1" si="69"/>
        <v>5300</v>
      </c>
      <c r="J100" s="361">
        <f t="shared" ca="1" si="70"/>
        <v>0</v>
      </c>
      <c r="K100" s="362">
        <f t="shared" ca="1" si="71"/>
        <v>5300</v>
      </c>
    </row>
    <row r="101" spans="2:11">
      <c r="B101" s="717">
        <v>5</v>
      </c>
      <c r="C101" s="718" t="s">
        <v>117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720">
        <f>F96*1</f>
        <v>1</v>
      </c>
      <c r="G101" s="360">
        <f ca="1">IF(ISERROR(OFFSET('HARGA SATUAN'!$I$6,MATCH(RAB!C101,'HARGA SATUAN'!$C$7:$C$1492,0),0)),0,OFFSET('HARGA SATUAN'!$I$6,MATCH(RAB!C101,'HARGA SATUAN'!$C$7:$C$1492,0),0))</f>
        <v>58600</v>
      </c>
      <c r="H101" s="361">
        <f t="shared" ca="1" si="68"/>
        <v>0</v>
      </c>
      <c r="I101" s="361">
        <f t="shared" ca="1" si="69"/>
        <v>58600</v>
      </c>
      <c r="J101" s="361">
        <f t="shared" ca="1" si="70"/>
        <v>0</v>
      </c>
      <c r="K101" s="362">
        <f t="shared" ca="1" si="71"/>
        <v>58600</v>
      </c>
    </row>
    <row r="102" spans="2:11">
      <c r="B102" s="717">
        <v>6</v>
      </c>
      <c r="C102" s="109" t="s">
        <v>1155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Set</v>
      </c>
      <c r="F102" s="720">
        <f>F96*2</f>
        <v>2</v>
      </c>
      <c r="G102" s="360">
        <f ca="1">IF(ISERROR(OFFSET('HARGA SATUAN'!$I$6,MATCH(RAB!C102,'HARGA SATUAN'!$C$7:$C$1492,0),0)),0,OFFSET('HARGA SATUAN'!$I$6,MATCH(RAB!C102,'HARGA SATUAN'!$C$7:$C$1492,0),0))</f>
        <v>2900</v>
      </c>
      <c r="H102" s="361">
        <f t="shared" ca="1" si="68"/>
        <v>0</v>
      </c>
      <c r="I102" s="361">
        <f t="shared" ca="1" si="69"/>
        <v>5800</v>
      </c>
      <c r="J102" s="361">
        <f t="shared" ca="1" si="70"/>
        <v>0</v>
      </c>
      <c r="K102" s="362">
        <f t="shared" ca="1" si="71"/>
        <v>5800</v>
      </c>
    </row>
    <row r="103" spans="2:11">
      <c r="B103" s="717">
        <v>7</v>
      </c>
      <c r="C103" s="718" t="s">
        <v>119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Set</v>
      </c>
      <c r="F103" s="720">
        <f>F96*4</f>
        <v>4</v>
      </c>
      <c r="G103" s="360">
        <f ca="1">IF(ISERROR(OFFSET('HARGA SATUAN'!$I$6,MATCH(RAB!C103,'HARGA SATUAN'!$C$7:$C$1492,0),0)),0,OFFSET('HARGA SATUAN'!$I$6,MATCH(RAB!C103,'HARGA SATUAN'!$C$7:$C$1492,0),0))</f>
        <v>8900</v>
      </c>
      <c r="H103" s="361">
        <f t="shared" ca="1" si="68"/>
        <v>0</v>
      </c>
      <c r="I103" s="361">
        <f t="shared" ca="1" si="69"/>
        <v>35600</v>
      </c>
      <c r="J103" s="361">
        <f t="shared" ca="1" si="70"/>
        <v>0</v>
      </c>
      <c r="K103" s="362">
        <f t="shared" ca="1" si="71"/>
        <v>35600</v>
      </c>
    </row>
    <row r="104" spans="2:11">
      <c r="B104" s="374"/>
      <c r="C104" s="509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368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68"/>
        <v>0</v>
      </c>
      <c r="I104" s="361">
        <f t="shared" ca="1" si="69"/>
        <v>0</v>
      </c>
      <c r="J104" s="361">
        <f t="shared" ca="1" si="70"/>
        <v>0</v>
      </c>
      <c r="K104" s="362">
        <f t="shared" ca="1" si="71"/>
        <v>0</v>
      </c>
    </row>
    <row r="105" spans="2:11">
      <c r="B105" s="366" t="s">
        <v>22</v>
      </c>
      <c r="C105" s="367" t="s">
        <v>1617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368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68"/>
        <v>0</v>
      </c>
      <c r="I105" s="361">
        <f t="shared" ca="1" si="69"/>
        <v>0</v>
      </c>
      <c r="J105" s="361">
        <f t="shared" ca="1" si="70"/>
        <v>0</v>
      </c>
      <c r="K105" s="362">
        <f t="shared" ca="1" si="71"/>
        <v>0</v>
      </c>
    </row>
    <row r="106" spans="2:11">
      <c r="B106" s="374">
        <v>1</v>
      </c>
      <c r="C106" s="109" t="s">
        <v>693</v>
      </c>
      <c r="D106" s="358" t="str">
        <f ca="1">IF(ISERROR(OFFSET('HARGA SATUAN'!$D$6,MATCH(RAB!C106,'HARGA SATUAN'!$C$7:$C$1492,0),0)),"",OFFSET('HARGA SATUAN'!$D$6,MATCH(RAB!C106,'HARGA SATUAN'!$C$7:$C$1492,0),0))</f>
        <v>JASA</v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368">
        <v>1</v>
      </c>
      <c r="G106" s="360">
        <f ca="1">IF(ISERROR(OFFSET('HARGA SATUAN'!$I$6,MATCH(RAB!C106,'HARGA SATUAN'!$C$7:$C$1492,0),0)),0,OFFSET('HARGA SATUAN'!$I$6,MATCH(RAB!C106,'HARGA SATUAN'!$C$7:$C$1492,0),0))</f>
        <v>132200</v>
      </c>
      <c r="H106" s="361">
        <f t="shared" ref="H106:H109" ca="1" si="72">IF(OR(D106="MDU",D106="MDU-KD"),(IF($O$3="RAB NON MDU","PLN KD",G106*F106)),0)</f>
        <v>0</v>
      </c>
      <c r="I106" s="361">
        <f t="shared" ref="I106:I109" ca="1" si="73">IF(D106="HDW",G106*F106,0)</f>
        <v>0</v>
      </c>
      <c r="J106" s="361">
        <f t="shared" ref="J106:J109" ca="1" si="74">IF(D106="JASA",G106*F106,0)</f>
        <v>132200</v>
      </c>
      <c r="K106" s="362">
        <f t="shared" ref="K106:K109" ca="1" si="75">SUM(H106:J106)</f>
        <v>132200</v>
      </c>
    </row>
    <row r="107" spans="2:11">
      <c r="B107" s="374">
        <v>2</v>
      </c>
      <c r="C107" s="109" t="s">
        <v>874</v>
      </c>
      <c r="D107" s="358" t="str">
        <f ca="1">IF(ISERROR(OFFSET('HARGA SATUAN'!$D$6,MATCH(RAB!C107,'HARGA SATUAN'!$C$7:$C$1492,0),0)),"",OFFSET('HARGA SATUAN'!$D$6,MATCH(RAB!C107,'HARGA SATUAN'!$C$7:$C$1492,0),0))</f>
        <v>JASA</v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368">
        <v>1</v>
      </c>
      <c r="G107" s="360">
        <f ca="1">IF(ISERROR(OFFSET('HARGA SATUAN'!$I$6,MATCH(RAB!C107,'HARGA SATUAN'!$C$7:$C$1492,0),0)),0,OFFSET('HARGA SATUAN'!$I$6,MATCH(RAB!C107,'HARGA SATUAN'!$C$7:$C$1492,0),0))</f>
        <v>59940</v>
      </c>
      <c r="H107" s="361">
        <f t="shared" ca="1" si="72"/>
        <v>0</v>
      </c>
      <c r="I107" s="361">
        <f t="shared" ca="1" si="73"/>
        <v>0</v>
      </c>
      <c r="J107" s="361">
        <f t="shared" ca="1" si="74"/>
        <v>59940</v>
      </c>
      <c r="K107" s="362">
        <f t="shared" ca="1" si="75"/>
        <v>59940</v>
      </c>
    </row>
    <row r="108" spans="2:11">
      <c r="B108" s="374"/>
      <c r="C108" s="373"/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/>
      </c>
      <c r="F108" s="368"/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ca="1" si="72"/>
        <v>0</v>
      </c>
      <c r="I108" s="361">
        <f t="shared" ca="1" si="73"/>
        <v>0</v>
      </c>
      <c r="J108" s="361">
        <f t="shared" ca="1" si="74"/>
        <v>0</v>
      </c>
      <c r="K108" s="362">
        <f t="shared" ca="1" si="75"/>
        <v>0</v>
      </c>
    </row>
    <row r="109" spans="2:11">
      <c r="B109" s="375"/>
      <c r="C109" s="376" t="s">
        <v>475</v>
      </c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368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72"/>
        <v>0</v>
      </c>
      <c r="I109" s="361">
        <f t="shared" ca="1" si="73"/>
        <v>0</v>
      </c>
      <c r="J109" s="361">
        <f t="shared" ca="1" si="74"/>
        <v>0</v>
      </c>
      <c r="K109" s="362">
        <f t="shared" ca="1" si="75"/>
        <v>0</v>
      </c>
    </row>
    <row r="110" spans="2:11">
      <c r="B110" s="378">
        <v>1</v>
      </c>
      <c r="C110" s="379" t="s">
        <v>1091</v>
      </c>
      <c r="D110" s="380" t="str">
        <f ca="1">IF(ISERROR(OFFSET('HARGA SATUAN'!$D$6,MATCH(RAB!C110,'HARGA SATUAN'!$C$7:$C$1492,0),0)),"",OFFSET('HARGA SATUAN'!$D$6,MATCH(RAB!C110,'HARGA SATUAN'!$C$7:$C$1492,0),0))</f>
        <v>JASA</v>
      </c>
      <c r="E110" s="381" t="str">
        <f ca="1">IF(ISERROR(OFFSET('HARGA SATUAN'!$E$6,MATCH(RAB!C110,'HARGA SATUAN'!$C$7:$C$1492,0),0)),"",OFFSET('HARGA SATUAN'!$E$6,MATCH(RAB!C110,'HARGA SATUAN'!$C$7:$C$1492,0),0))</f>
        <v>Lot</v>
      </c>
      <c r="F110" s="382">
        <v>1</v>
      </c>
      <c r="G110" s="383">
        <f ca="1">IF(ISERROR(OFFSET('HARGA SATUAN'!$I$6,MATCH(RAB!C110,'HARGA SATUAN'!$C$7:$C$1492,0),0)),0,OFFSET('HARGA SATUAN'!$I$6,MATCH(RAB!C110,'HARGA SATUAN'!$C$7:$C$1492,0),0))</f>
        <v>2.5000000000000001E-2</v>
      </c>
      <c r="H110" s="384">
        <f ca="1">SUM(H14:H109)*G110</f>
        <v>1501606.25</v>
      </c>
      <c r="I110" s="384">
        <f ca="1">SUM(I14:I109)*G110</f>
        <v>655989.30599999998</v>
      </c>
      <c r="J110" s="384">
        <f ca="1">SUM(J14:J109)*G110</f>
        <v>73043.5</v>
      </c>
      <c r="K110" s="385">
        <f ca="1">SUM(H110:J110)</f>
        <v>2230639.0559999999</v>
      </c>
    </row>
    <row r="111" spans="2:11">
      <c r="B111" s="386"/>
      <c r="C111" s="387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IF(ISERROR(OFFSET('HARGA SATUAN'!$E$6,MATCH(RAB!C111,'HARGA SATUAN'!$C$7:$C$1492,0),0)),"",OFFSET('HARGA SATUAN'!$E$6,MATCH(RAB!C111,'HARGA SATUAN'!$C$7:$C$1492,0),0))</f>
        <v/>
      </c>
      <c r="F111" s="377"/>
      <c r="G111" s="360" t="str">
        <f ca="1">IF(ISERROR(OFFSET('HARGA SATUAN'!$I$6,MATCH(RAB!C111,'HARGA SATUAN'!$C$7:$C$1492,0),0)),"",OFFSET('HARGA SATUAN'!$I$6,MATCH(RAB!C111,'HARGA SATUAN'!$C$7:$C$1492,0),0))</f>
        <v/>
      </c>
      <c r="H111" s="361">
        <f ca="1">IF(OR(D111="MDU",D111="MDU-KD"),IF(G111="PLN",0,G111*F111),0)</f>
        <v>0</v>
      </c>
      <c r="I111" s="361">
        <f ca="1">IF(D111="HDW",IF(G111="PLN",0,G111*F111),0)</f>
        <v>0</v>
      </c>
      <c r="J111" s="361">
        <f ca="1">IF(D111="JASA",IF(G111="PLN",0,G111*F111),0)</f>
        <v>0</v>
      </c>
      <c r="K111" s="362">
        <f ca="1">SUM(H111:J111)</f>
        <v>0</v>
      </c>
    </row>
    <row r="112" spans="2:11" ht="15.75" thickBot="1">
      <c r="B112" s="388"/>
      <c r="C112" s="389"/>
      <c r="D112" s="390"/>
      <c r="E112" s="391"/>
      <c r="F112" s="391"/>
      <c r="G112" s="391"/>
      <c r="H112" s="392"/>
      <c r="I112" s="392"/>
      <c r="J112" s="392"/>
      <c r="K112" s="393"/>
    </row>
    <row r="113" spans="2:13">
      <c r="B113" s="394"/>
      <c r="C113" s="638" t="s">
        <v>1008</v>
      </c>
      <c r="D113" s="638"/>
      <c r="E113" s="638"/>
      <c r="F113" s="638"/>
      <c r="G113" s="395" t="s">
        <v>9</v>
      </c>
      <c r="H113" s="396">
        <f ca="1">SUM(H14:H111)</f>
        <v>61565856.25</v>
      </c>
      <c r="I113" s="396">
        <f ca="1">SUM(I14:I111)</f>
        <v>26895561.546</v>
      </c>
      <c r="J113" s="396">
        <f ca="1">SUM(J14:J111)</f>
        <v>2994783.5</v>
      </c>
      <c r="K113" s="396">
        <f ca="1">SUM(K14:K111)</f>
        <v>91456201.295999989</v>
      </c>
    </row>
    <row r="114" spans="2:13">
      <c r="B114" s="398"/>
      <c r="C114" s="621" t="s">
        <v>1457</v>
      </c>
      <c r="D114" s="621"/>
      <c r="E114" s="621"/>
      <c r="F114" s="621"/>
      <c r="G114" s="399" t="s">
        <v>9</v>
      </c>
      <c r="H114" s="400">
        <f ca="1">H113*0.11</f>
        <v>6772244.1875</v>
      </c>
      <c r="I114" s="400">
        <f ca="1">I113*0.11</f>
        <v>2958511.77006</v>
      </c>
      <c r="J114" s="400">
        <f ca="1">J113*0.11</f>
        <v>329426.185</v>
      </c>
      <c r="K114" s="400">
        <f ca="1">K113*0.11</f>
        <v>10060182.14256</v>
      </c>
    </row>
    <row r="115" spans="2:13" ht="15.75" thickBot="1">
      <c r="B115" s="398"/>
      <c r="C115" s="619" t="s">
        <v>463</v>
      </c>
      <c r="D115" s="619"/>
      <c r="E115" s="619"/>
      <c r="F115" s="619"/>
      <c r="G115" s="401" t="s">
        <v>9</v>
      </c>
      <c r="H115" s="402">
        <f ca="1">SUM(H113:H114)</f>
        <v>68338100.4375</v>
      </c>
      <c r="I115" s="402">
        <f ca="1">SUM(I113:I114)</f>
        <v>29854073.316059999</v>
      </c>
      <c r="J115" s="401">
        <f ca="1">SUM(J113:J114)</f>
        <v>3324209.6850000001</v>
      </c>
      <c r="K115" s="401">
        <f ca="1">SUM(K113:K114)</f>
        <v>101516383.43855999</v>
      </c>
      <c r="M115" s="484"/>
    </row>
    <row r="116" spans="2:13">
      <c r="B116" s="622" t="str">
        <f ca="1">"Terbilang : "&amp;PROPER(IF(K115=0,"nol",IF(K115&lt;0,"minus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IF(--MID(TEXT(ABS(K115),"000000000000000"),1,3)=0,"",MID(TEXT(ABS(K115),"000000000000000"),1,1)&amp;" ratus "&amp;MID(TEXT(ABS(K115),"000000000000000"),2,1)&amp;" puluh "&amp;MID(TEXT(ABS(K115),"000000000000000"),3,1)&amp;" trilyun ")&amp; IF(--MID(TEXT(ABS(K115),"000000000000000"),4,3)=0,"",MID(TEXT(ABS(K115),"000000000000000"),4,1)&amp;" ratus "&amp;MID(TEXT(ABS(K115),"000000000000000"),5,1)&amp;" puluh "&amp;MID(TEXT(ABS(K115),"000000000000000"),6,1)&amp;" milyar ")&amp; IF(--MID(TEXT(ABS(K115),"000000000000000"),7,3)=0,"",MID(TEXT(ABS(K115),"000000000000000"),7,1)&amp;" ratus "&amp;MID(TEXT(ABS(K115),"000000000000000"),8,1)&amp;" puluh "&amp;MID(TEXT(ABS(K115),"000000000000000"),9,1)&amp;" juta ")&amp; IF(--MID(TEXT(ABS(K115),"000000000000000"),10,3)=0,"",IF(--MID(TEXT(ABS(K115),"000000000000000"),10,3)=1,"*",MID(TEXT(ABS(K115),"000000000000000"),10,1)&amp;" ratus "&amp;MID(TEXT(ABS(K115),"000000000000000"),11,1)&amp;" puluh ")&amp;MID(TEXT(ABS(K115),"000000000000000"),12,1)&amp;" ribu ")&amp; IF(--MID(TEXT(ABS(K115),"000000000000000"),13,3)=0,"",MID(TEXT(ABS(K115),"000000000000000"),13,1)&amp;" ratus "&amp;MID(TEXT(ABS(K115),"000000000000000"),14,1)&amp;" puluh "&amp;MID(TEXT(ABS(K115),"000000000000000"),15,1)),1,"satu"),2,"dua"),3,"tiga"),4,"empat"),5,"lima"),6,"enam"),7,"tujuh"),8,"delapan"),9,"sembilan"),"0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Satu Juta Lima Ratus Enam Belas Ribu Tiga Ratus Delapan Puluh Tiga Rupiah</v>
      </c>
      <c r="C116" s="623"/>
      <c r="D116" s="623"/>
      <c r="E116" s="623"/>
      <c r="F116" s="623"/>
      <c r="G116" s="623"/>
      <c r="H116" s="623"/>
      <c r="I116" s="623"/>
      <c r="J116" s="623"/>
      <c r="K116" s="624"/>
    </row>
    <row r="117" spans="2:13">
      <c r="B117" s="625"/>
      <c r="C117" s="626"/>
      <c r="D117" s="626"/>
      <c r="E117" s="626"/>
      <c r="F117" s="626"/>
      <c r="G117" s="626"/>
      <c r="H117" s="626"/>
      <c r="I117" s="626"/>
      <c r="J117" s="626"/>
      <c r="K117" s="627"/>
    </row>
    <row r="118" spans="2:13" ht="15.75" thickBot="1">
      <c r="B118" s="403" t="str">
        <f>"Harga yang dipakai adalah "&amp;'HARGA SATUAN'!I5&amp;""</f>
        <v>Harga yang dipakai adalah RAB HSS 2023</v>
      </c>
      <c r="C118" s="404"/>
      <c r="D118" s="405"/>
      <c r="E118" s="405"/>
      <c r="F118" s="405"/>
      <c r="G118" s="406"/>
      <c r="H118" s="406"/>
      <c r="I118" s="406"/>
      <c r="J118" s="406"/>
      <c r="K118" s="407"/>
    </row>
    <row r="119" spans="2:13">
      <c r="C119" s="408"/>
      <c r="E119" s="410"/>
      <c r="F119" s="410"/>
      <c r="G119" s="410"/>
    </row>
    <row r="120" spans="2:13">
      <c r="C120" s="337"/>
      <c r="E120" s="410"/>
      <c r="F120" s="410"/>
      <c r="G120" s="410"/>
      <c r="H120" s="628"/>
      <c r="I120" s="628"/>
      <c r="J120" s="629"/>
      <c r="K120" s="629"/>
    </row>
    <row r="121" spans="2:13">
      <c r="C121" s="337"/>
      <c r="E121" s="410"/>
      <c r="F121" s="410"/>
      <c r="G121" s="410"/>
      <c r="H121" s="411"/>
      <c r="I121" s="618" t="s">
        <v>1610</v>
      </c>
      <c r="J121" s="618"/>
      <c r="K121" s="618"/>
    </row>
    <row r="122" spans="2:13">
      <c r="C122" s="337"/>
      <c r="E122" s="410"/>
      <c r="F122" s="410"/>
      <c r="G122" s="410"/>
      <c r="H122" s="411"/>
      <c r="I122" s="618" t="s">
        <v>1546</v>
      </c>
      <c r="J122" s="618"/>
      <c r="K122" s="618"/>
    </row>
    <row r="123" spans="2:13">
      <c r="C123" s="337"/>
      <c r="E123" s="410"/>
      <c r="F123" s="410"/>
      <c r="G123" s="410"/>
      <c r="H123" s="412"/>
      <c r="I123" s="413"/>
      <c r="J123" s="413"/>
      <c r="K123" s="413"/>
    </row>
    <row r="124" spans="2:13">
      <c r="C124" s="337"/>
      <c r="E124" s="410"/>
      <c r="F124" s="410"/>
      <c r="G124" s="410"/>
      <c r="H124" s="412"/>
      <c r="I124" s="412"/>
      <c r="J124" s="412"/>
      <c r="K124" s="412"/>
    </row>
    <row r="125" spans="2:13">
      <c r="C125" s="337"/>
      <c r="E125" s="410"/>
      <c r="F125" s="410"/>
      <c r="G125" s="410"/>
      <c r="H125" s="412"/>
      <c r="I125" s="412"/>
      <c r="J125" s="412"/>
      <c r="K125" s="412"/>
    </row>
    <row r="126" spans="2:13">
      <c r="C126" s="337"/>
      <c r="E126" s="410"/>
      <c r="F126" s="410"/>
      <c r="G126" s="410"/>
      <c r="H126" s="412"/>
      <c r="I126" s="412"/>
      <c r="J126" s="412"/>
      <c r="K126" s="412"/>
    </row>
    <row r="127" spans="2:13">
      <c r="C127" s="337"/>
      <c r="E127" s="410"/>
      <c r="F127" s="410"/>
      <c r="G127" s="410"/>
      <c r="H127" s="414"/>
      <c r="I127" s="618" t="s">
        <v>1547</v>
      </c>
      <c r="J127" s="618"/>
      <c r="K127" s="618"/>
    </row>
    <row r="128" spans="2:13">
      <c r="C128" s="408"/>
      <c r="E128" s="410"/>
      <c r="F128" s="410"/>
      <c r="G128" s="410"/>
      <c r="H128" s="412"/>
      <c r="I128" s="412"/>
      <c r="J128" s="412"/>
      <c r="K128" s="412"/>
    </row>
    <row r="129" spans="3:11">
      <c r="C129" s="408"/>
      <c r="E129" s="410"/>
      <c r="F129" s="410"/>
      <c r="G129" s="410"/>
      <c r="H129" s="412"/>
      <c r="I129" s="412"/>
      <c r="J129" s="412"/>
      <c r="K129" s="412"/>
    </row>
    <row r="130" spans="3:11">
      <c r="C130" s="408"/>
      <c r="E130" s="410"/>
      <c r="F130" s="410"/>
      <c r="G130" s="410"/>
      <c r="H130" s="412"/>
      <c r="I130" s="412"/>
      <c r="J130" s="412"/>
      <c r="K130" s="412"/>
    </row>
  </sheetData>
  <sheetProtection sort="0" autoFilter="0"/>
  <protectedRanges>
    <protectedRange sqref="B89:B104 B106:B108" name="Range1_1"/>
    <protectedRange sqref="F62 F14:F55 F88:F109" name="Range1_1_2_2"/>
    <protectedRange sqref="C108 C89:C90 C92 C94:C104" name="Range1_1_1"/>
    <protectedRange sqref="B76 B65:C66 B71 B87:C88 B67 B64 B55:C55 B68:C70 B72:C75 B62:C63" name="Range1_6_2"/>
    <protectedRange sqref="C76" name="Range1_1_3_2"/>
    <protectedRange sqref="C71" name="Range1_1_3_3"/>
    <protectedRange sqref="C67" name="Range1_1_3_10"/>
    <protectedRange sqref="C93" name="Range1_1_3_13"/>
    <protectedRange sqref="C17" name="Range1_1_3_14"/>
    <protectedRange sqref="C18:C20" name="Range1_1_3"/>
    <protectedRange sqref="C64" name="Range1_1_3_1"/>
    <protectedRange sqref="C91" name="Range1_1_3_4"/>
    <protectedRange sqref="C52" name="Range1_1_3_6"/>
    <protectedRange sqref="C51" name="Range1_1_3_16"/>
    <protectedRange sqref="C106" name="Range1_1_3_17"/>
    <protectedRange sqref="C107" name="Range1_1_3_18"/>
  </protectedRanges>
  <mergeCells count="22">
    <mergeCell ref="O3:P4"/>
    <mergeCell ref="B4:K4"/>
    <mergeCell ref="C113:F113"/>
    <mergeCell ref="B11:B13"/>
    <mergeCell ref="C11:C13"/>
    <mergeCell ref="D11:D13"/>
    <mergeCell ref="E11:E13"/>
    <mergeCell ref="F11:F13"/>
    <mergeCell ref="G11:G13"/>
    <mergeCell ref="I12:I13"/>
    <mergeCell ref="I122:K122"/>
    <mergeCell ref="I127:K127"/>
    <mergeCell ref="C115:F115"/>
    <mergeCell ref="G6:K6"/>
    <mergeCell ref="I121:K121"/>
    <mergeCell ref="C114:F114"/>
    <mergeCell ref="B116:K117"/>
    <mergeCell ref="H120:K120"/>
    <mergeCell ref="H11:K11"/>
    <mergeCell ref="H12:H13"/>
    <mergeCell ref="J12:J13"/>
    <mergeCell ref="K12:K13"/>
  </mergeCells>
  <phoneticPr fontId="141" type="noConversion"/>
  <conditionalFormatting sqref="C15 C17:C21 C76">
    <cfRule type="cellIs" dxfId="14" priority="516" operator="equal">
      <formula>0</formula>
    </cfRule>
  </conditionalFormatting>
  <conditionalFormatting sqref="C52">
    <cfRule type="cellIs" dxfId="13" priority="10" operator="equal">
      <formula>0</formula>
    </cfRule>
  </conditionalFormatting>
  <conditionalFormatting sqref="C54">
    <cfRule type="cellIs" dxfId="12" priority="141" operator="equal">
      <formula>0</formula>
    </cfRule>
  </conditionalFormatting>
  <conditionalFormatting sqref="C61">
    <cfRule type="cellIs" dxfId="11" priority="14" operator="equal">
      <formula>0</formula>
    </cfRule>
  </conditionalFormatting>
  <conditionalFormatting sqref="C105">
    <cfRule type="cellIs" dxfId="9" priority="8" operator="equal">
      <formula>0</formula>
    </cfRule>
  </conditionalFormatting>
  <conditionalFormatting sqref="E1:E3 G1:G13 E5:E13 H12:I12 O13 S14:V21 E110:G110 H110:K112 E111:H111 E112:F112 E14:K22 E23:E28 G23:K28 E29:K95 E104:K109 E96:E103 G96:K103">
    <cfRule type="cellIs" dxfId="8" priority="1096" stopIfTrue="1" operator="equal">
      <formula>0</formula>
    </cfRule>
  </conditionalFormatting>
  <conditionalFormatting sqref="G111:G65577 E116:E65577">
    <cfRule type="cellIs" dxfId="7" priority="230" stopIfTrue="1" operator="equal">
      <formula>0</formula>
    </cfRule>
  </conditionalFormatting>
  <conditionalFormatting sqref="C91">
    <cfRule type="cellIs" dxfId="6" priority="7" operator="equal">
      <formula>0</formula>
    </cfRule>
  </conditionalFormatting>
  <conditionalFormatting sqref="C51">
    <cfRule type="cellIs" dxfId="5" priority="6" operator="equal">
      <formula>0</formula>
    </cfRule>
  </conditionalFormatting>
  <conditionalFormatting sqref="F23:F28">
    <cfRule type="cellIs" dxfId="4" priority="5" stopIfTrue="1" operator="equal">
      <formula>0</formula>
    </cfRule>
  </conditionalFormatting>
  <conditionalFormatting sqref="C106">
    <cfRule type="cellIs" dxfId="3" priority="4" operator="equal">
      <formula>0</formula>
    </cfRule>
  </conditionalFormatting>
  <conditionalFormatting sqref="C107">
    <cfRule type="cellIs" dxfId="2" priority="3" operator="equal">
      <formula>0</formula>
    </cfRule>
  </conditionalFormatting>
  <conditionalFormatting sqref="C102">
    <cfRule type="cellIs" dxfId="1" priority="2" operator="equal">
      <formula>0</formula>
    </cfRule>
  </conditionalFormatting>
  <conditionalFormatting sqref="F96:F10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58:C60 F30:F87 F23:F28 H14:K11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V44" sqref="V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47" t="s">
        <v>1528</v>
      </c>
      <c r="E4" s="648"/>
      <c r="F4" s="648"/>
      <c r="G4" s="648"/>
      <c r="H4" s="648"/>
      <c r="I4" s="648"/>
      <c r="J4" s="648"/>
      <c r="K4" s="648"/>
      <c r="L4" s="648"/>
      <c r="M4" s="648"/>
      <c r="N4" s="648"/>
      <c r="O4" s="648"/>
      <c r="P4" s="648"/>
      <c r="Q4" s="648"/>
      <c r="R4" s="648"/>
      <c r="S4" s="648"/>
      <c r="T4" s="648"/>
      <c r="U4" s="648"/>
      <c r="V4" s="648"/>
      <c r="W4" s="648"/>
      <c r="X4" s="648"/>
      <c r="Y4" s="648"/>
      <c r="Z4" s="648"/>
      <c r="AA4" s="648"/>
      <c r="AB4" s="648"/>
      <c r="AC4" s="649"/>
      <c r="AD4" s="217"/>
      <c r="AE4" s="216"/>
      <c r="AF4" s="216"/>
    </row>
    <row r="5" spans="2:32" ht="13.5" customHeight="1">
      <c r="B5" s="215"/>
      <c r="C5" s="215"/>
      <c r="D5" s="650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651"/>
      <c r="U5" s="651"/>
      <c r="V5" s="651"/>
      <c r="W5" s="651"/>
      <c r="X5" s="651"/>
      <c r="Y5" s="651"/>
      <c r="Z5" s="651"/>
      <c r="AA5" s="651"/>
      <c r="AB5" s="651"/>
      <c r="AC5" s="652"/>
      <c r="AD5" s="217"/>
      <c r="AE5" s="216"/>
      <c r="AF5" s="216"/>
    </row>
    <row r="6" spans="2:32" ht="12.75" customHeight="1">
      <c r="B6" s="215"/>
      <c r="C6" s="215"/>
      <c r="D6" s="650"/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651"/>
      <c r="U6" s="651"/>
      <c r="V6" s="651"/>
      <c r="W6" s="651"/>
      <c r="X6" s="651"/>
      <c r="Y6" s="651"/>
      <c r="Z6" s="651"/>
      <c r="AA6" s="651"/>
      <c r="AB6" s="651"/>
      <c r="AC6" s="652"/>
      <c r="AE6" s="216"/>
      <c r="AF6" s="216"/>
    </row>
    <row r="7" spans="2:32" ht="12.75" customHeight="1" thickBot="1">
      <c r="B7" s="215"/>
      <c r="C7" s="215"/>
      <c r="D7" s="653"/>
      <c r="E7" s="654"/>
      <c r="F7" s="654"/>
      <c r="G7" s="654"/>
      <c r="H7" s="654"/>
      <c r="I7" s="654"/>
      <c r="J7" s="654"/>
      <c r="K7" s="654"/>
      <c r="L7" s="654"/>
      <c r="M7" s="654"/>
      <c r="N7" s="654"/>
      <c r="O7" s="654"/>
      <c r="P7" s="654"/>
      <c r="Q7" s="654"/>
      <c r="R7" s="654"/>
      <c r="S7" s="654"/>
      <c r="T7" s="654"/>
      <c r="U7" s="654"/>
      <c r="V7" s="654"/>
      <c r="W7" s="654"/>
      <c r="X7" s="654"/>
      <c r="Y7" s="654"/>
      <c r="Z7" s="654"/>
      <c r="AA7" s="654"/>
      <c r="AB7" s="654"/>
      <c r="AC7" s="65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2" zoomScale="145" zoomScaleNormal="115" zoomScaleSheetLayoutView="145" workbookViewId="0">
      <selection activeCell="O46" sqref="O4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10" t="s">
        <v>1439</v>
      </c>
      <c r="X2" s="711"/>
      <c r="Y2" s="711"/>
      <c r="Z2" s="711"/>
      <c r="AA2" s="711"/>
      <c r="AB2" s="711"/>
      <c r="AC2" s="711"/>
      <c r="AD2" s="712"/>
    </row>
    <row r="3" spans="3:30">
      <c r="C3" s="238"/>
      <c r="W3" s="713"/>
      <c r="X3" s="714"/>
      <c r="Y3" s="714"/>
      <c r="Z3" s="714"/>
      <c r="AA3" s="714"/>
      <c r="AB3" s="714"/>
      <c r="AC3" s="714"/>
      <c r="AD3" s="71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238"/>
      <c r="W6" s="241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238"/>
      <c r="E7" s="490" t="str">
        <f>PETA!C6</f>
        <v>KOORDINAT : -6.944725, 110.489730</v>
      </c>
      <c r="W7" s="241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238"/>
      <c r="W8" s="241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>
      <c r="C9" s="238"/>
      <c r="W9" s="241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238"/>
      <c r="W10" s="241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238"/>
      <c r="W11" s="241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238"/>
      <c r="W12" s="241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238"/>
      <c r="W13" s="241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238"/>
      <c r="W14" s="241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238"/>
      <c r="W15" s="241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238"/>
      <c r="W16" s="241">
        <v>11</v>
      </c>
      <c r="X16" s="659" t="s">
        <v>1455</v>
      </c>
      <c r="Y16" s="659"/>
      <c r="Z16" s="659"/>
      <c r="AA16" s="659"/>
      <c r="AB16" s="659"/>
      <c r="AC16" s="659"/>
      <c r="AD16" s="660"/>
    </row>
    <row r="17" spans="3:30">
      <c r="C17" s="238"/>
      <c r="S17" s="242"/>
      <c r="W17" s="241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243"/>
      <c r="D18" s="244"/>
      <c r="E18" s="244"/>
      <c r="W18" s="241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238"/>
      <c r="W19" s="245"/>
      <c r="X19" s="708"/>
      <c r="Y19" s="708"/>
      <c r="Z19" s="708"/>
      <c r="AA19" s="708"/>
      <c r="AB19" s="708"/>
      <c r="AC19" s="708"/>
      <c r="AD19" s="709"/>
    </row>
    <row r="20" spans="3:30">
      <c r="C20" s="238"/>
      <c r="O20" s="517"/>
      <c r="W20" s="695" t="s">
        <v>992</v>
      </c>
      <c r="X20" s="696"/>
      <c r="Y20" s="696"/>
      <c r="Z20" s="696"/>
      <c r="AA20" s="696"/>
      <c r="AB20" s="696"/>
      <c r="AC20" s="696"/>
      <c r="AD20" s="697"/>
    </row>
    <row r="21" spans="3:30">
      <c r="C21" s="238"/>
      <c r="O21" s="517"/>
      <c r="W21" s="698" t="s">
        <v>985</v>
      </c>
      <c r="X21" s="699"/>
      <c r="Y21" s="699"/>
      <c r="Z21" s="700"/>
      <c r="AA21" s="701" t="s">
        <v>986</v>
      </c>
      <c r="AB21" s="702"/>
      <c r="AC21" s="702"/>
      <c r="AD21" s="703"/>
    </row>
    <row r="22" spans="3:30">
      <c r="C22" s="238"/>
      <c r="O22" s="517"/>
      <c r="W22" s="704" t="s">
        <v>1626</v>
      </c>
      <c r="X22" s="705"/>
      <c r="Y22" s="492">
        <v>3</v>
      </c>
      <c r="Z22" s="493"/>
      <c r="AA22" s="706"/>
      <c r="AB22" s="707"/>
      <c r="AC22" s="248"/>
      <c r="AD22" s="249"/>
    </row>
    <row r="23" spans="3:30">
      <c r="C23" s="238"/>
      <c r="O23" s="517"/>
      <c r="W23" s="704"/>
      <c r="X23" s="705"/>
      <c r="Y23" s="492"/>
      <c r="Z23" s="493"/>
      <c r="AA23" s="693"/>
      <c r="AB23" s="694"/>
      <c r="AC23" s="248"/>
      <c r="AD23" s="249"/>
    </row>
    <row r="24" spans="3:30">
      <c r="C24" s="238"/>
      <c r="O24" s="517"/>
      <c r="W24" s="688" t="s">
        <v>1627</v>
      </c>
      <c r="X24" s="690"/>
      <c r="Y24" s="246">
        <v>1</v>
      </c>
      <c r="Z24" s="247"/>
      <c r="AA24" s="691"/>
      <c r="AB24" s="692"/>
      <c r="AC24" s="248"/>
      <c r="AD24" s="249"/>
    </row>
    <row r="25" spans="3:30">
      <c r="C25" s="238"/>
      <c r="O25" s="517"/>
      <c r="W25" s="688" t="s">
        <v>1619</v>
      </c>
      <c r="X25" s="690"/>
      <c r="Y25" s="246">
        <v>2</v>
      </c>
      <c r="Z25" s="247"/>
      <c r="AA25" s="693"/>
      <c r="AB25" s="694"/>
      <c r="AC25" s="248"/>
      <c r="AD25" s="249"/>
    </row>
    <row r="26" spans="3:30">
      <c r="C26" s="238"/>
      <c r="O26" s="517"/>
      <c r="W26" s="480" t="s">
        <v>1625</v>
      </c>
      <c r="X26" s="481"/>
      <c r="Y26" s="246">
        <v>3</v>
      </c>
      <c r="Z26" s="247"/>
      <c r="AA26" s="693"/>
      <c r="AB26" s="694"/>
      <c r="AC26" s="248"/>
      <c r="AD26" s="249"/>
    </row>
    <row r="27" spans="3:30">
      <c r="C27" s="238"/>
      <c r="W27" s="480" t="s">
        <v>1623</v>
      </c>
      <c r="X27" s="481"/>
      <c r="Y27" s="246">
        <v>2</v>
      </c>
      <c r="Z27" s="247"/>
      <c r="AA27" s="687"/>
      <c r="AB27" s="682"/>
      <c r="AC27" s="248"/>
      <c r="AD27" s="249"/>
    </row>
    <row r="28" spans="3:30">
      <c r="C28" s="238"/>
      <c r="W28" s="480"/>
      <c r="X28" s="481"/>
      <c r="Y28" s="246"/>
      <c r="Z28" s="247"/>
      <c r="AA28" s="687"/>
      <c r="AB28" s="682"/>
      <c r="AC28" s="248"/>
      <c r="AD28" s="249"/>
    </row>
    <row r="29" spans="3:30">
      <c r="C29" s="238"/>
      <c r="W29" s="480"/>
      <c r="X29" s="481"/>
      <c r="Y29" s="246"/>
      <c r="Z29" s="247"/>
      <c r="AA29" s="687"/>
      <c r="AB29" s="68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7"/>
      <c r="AB30" s="68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7"/>
      <c r="AB31" s="68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7"/>
      <c r="AB32" s="682"/>
      <c r="AC32" s="248"/>
      <c r="AD32" s="249"/>
    </row>
    <row r="33" spans="3:30">
      <c r="C33" s="238"/>
      <c r="W33" s="480"/>
      <c r="X33" s="481"/>
      <c r="Y33" s="246"/>
      <c r="Z33" s="247"/>
      <c r="AA33" s="687"/>
      <c r="AB33" s="682"/>
      <c r="AC33" s="248"/>
      <c r="AD33" s="249"/>
    </row>
    <row r="34" spans="3:30">
      <c r="C34" s="238"/>
      <c r="W34" s="480"/>
      <c r="X34" s="481"/>
      <c r="Y34" s="246"/>
      <c r="Z34" s="247"/>
      <c r="AA34" s="687"/>
      <c r="AB34" s="682"/>
      <c r="AC34" s="248"/>
      <c r="AD34" s="249"/>
    </row>
    <row r="35" spans="3:30">
      <c r="C35" s="238"/>
      <c r="W35" s="688"/>
      <c r="X35" s="689"/>
      <c r="Y35" s="246"/>
      <c r="Z35" s="247"/>
      <c r="AA35" s="687"/>
      <c r="AB35" s="682"/>
      <c r="AC35" s="248"/>
      <c r="AD35" s="249"/>
    </row>
    <row r="36" spans="3:30">
      <c r="C36" s="238"/>
      <c r="W36" s="679"/>
      <c r="X36" s="680"/>
      <c r="Y36" s="246"/>
      <c r="Z36" s="251"/>
      <c r="AA36" s="681"/>
      <c r="AB36" s="682"/>
      <c r="AC36" s="248"/>
      <c r="AD36" s="249"/>
    </row>
    <row r="37" spans="3:30" ht="12.75" customHeight="1">
      <c r="C37" s="238"/>
      <c r="W37" s="683"/>
      <c r="X37" s="684"/>
      <c r="Y37" s="246"/>
      <c r="Z37" s="251"/>
      <c r="AA37" s="685"/>
      <c r="AB37" s="686"/>
      <c r="AC37" s="252"/>
      <c r="AD37" s="253"/>
    </row>
    <row r="38" spans="3:30" ht="12.75" customHeight="1">
      <c r="C38" s="238"/>
      <c r="W38" s="683"/>
      <c r="X38" s="68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4"/>
      <c r="W39" s="683"/>
      <c r="X39" s="684"/>
      <c r="Y39" s="254"/>
      <c r="Z39" s="257"/>
      <c r="AA39" s="675"/>
      <c r="AB39" s="676"/>
      <c r="AC39" s="252"/>
      <c r="AD39" s="253"/>
    </row>
    <row r="40" spans="3:30" ht="12" customHeight="1">
      <c r="C40" s="238"/>
      <c r="D40" s="514"/>
      <c r="W40" s="671"/>
      <c r="X40" s="672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4"/>
      <c r="W41" s="673"/>
      <c r="X41" s="674"/>
      <c r="Y41" s="260"/>
      <c r="Z41" s="261"/>
      <c r="AA41" s="675"/>
      <c r="AB41" s="676"/>
      <c r="AC41" s="252"/>
      <c r="AD41" s="253"/>
    </row>
    <row r="42" spans="3:30" ht="12" customHeight="1">
      <c r="C42" s="238"/>
      <c r="D42" s="514"/>
      <c r="W42" s="677" t="s">
        <v>1456</v>
      </c>
      <c r="X42" s="678"/>
      <c r="Y42" s="678"/>
      <c r="Z42" s="678"/>
      <c r="AA42" s="262"/>
      <c r="AB42" s="262"/>
      <c r="AC42" s="262"/>
      <c r="AD42" s="263"/>
    </row>
    <row r="43" spans="3:30" ht="12" customHeight="1">
      <c r="C43" s="238"/>
      <c r="D43" s="514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4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6" t="s">
        <v>11</v>
      </c>
      <c r="X44" s="657"/>
      <c r="Y44" s="659"/>
      <c r="Z44" s="659"/>
      <c r="AA44" s="659"/>
      <c r="AB44" s="659"/>
      <c r="AC44" s="659"/>
      <c r="AD44" s="660"/>
    </row>
    <row r="45" spans="3:30">
      <c r="C45" s="268"/>
      <c r="D45" s="514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6" t="s">
        <v>984</v>
      </c>
      <c r="X45" s="657"/>
      <c r="Y45" s="659">
        <v>1</v>
      </c>
      <c r="Z45" s="659"/>
      <c r="AA45" s="659"/>
      <c r="AB45" s="659" t="s">
        <v>12</v>
      </c>
      <c r="AC45" s="65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6" t="s">
        <v>15</v>
      </c>
      <c r="X46" s="657"/>
      <c r="Y46" s="670"/>
      <c r="Z46" s="670"/>
      <c r="AA46" s="670"/>
      <c r="AB46" s="659" t="s">
        <v>16</v>
      </c>
      <c r="AC46" s="65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4" t="s">
        <v>17</v>
      </c>
      <c r="X47" s="664"/>
      <c r="Y47" s="664"/>
      <c r="Z47" s="664"/>
      <c r="AA47" s="664"/>
      <c r="AB47" s="664"/>
      <c r="AC47" s="664"/>
      <c r="AD47" s="66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6" t="str">
        <f>RAB!G6</f>
        <v>IWANTORO</v>
      </c>
      <c r="X48" s="666"/>
      <c r="Y48" s="666"/>
      <c r="Z48" s="666"/>
      <c r="AA48" s="666"/>
      <c r="AB48" s="666"/>
      <c r="AC48" s="666"/>
      <c r="AD48" s="66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6"/>
      <c r="X49" s="666"/>
      <c r="Y49" s="666"/>
      <c r="Z49" s="666"/>
      <c r="AA49" s="666"/>
      <c r="AB49" s="666"/>
      <c r="AC49" s="666"/>
      <c r="AD49" s="66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6"/>
      <c r="X50" s="666"/>
      <c r="Y50" s="666"/>
      <c r="Z50" s="666"/>
      <c r="AA50" s="666"/>
      <c r="AB50" s="666"/>
      <c r="AC50" s="666"/>
      <c r="AD50" s="66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8"/>
      <c r="X51" s="668"/>
      <c r="Y51" s="668"/>
      <c r="Z51" s="668"/>
      <c r="AA51" s="668"/>
      <c r="AB51" s="668"/>
      <c r="AC51" s="668"/>
      <c r="AD51" s="66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6" t="s">
        <v>18</v>
      </c>
      <c r="X52" s="657"/>
      <c r="Y52" s="659" t="s">
        <v>1549</v>
      </c>
      <c r="Z52" s="659"/>
      <c r="AA52" s="659"/>
      <c r="AB52" s="659"/>
      <c r="AC52" s="659"/>
      <c r="AD52" s="66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6" t="s">
        <v>19</v>
      </c>
      <c r="X53" s="657"/>
      <c r="Y53" s="659" t="s">
        <v>1549</v>
      </c>
      <c r="Z53" s="659"/>
      <c r="AA53" s="659"/>
      <c r="AB53" s="659"/>
      <c r="AC53" s="659"/>
      <c r="AD53" s="66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6" t="s">
        <v>20</v>
      </c>
      <c r="X54" s="657"/>
      <c r="Y54" s="658" t="s">
        <v>1550</v>
      </c>
      <c r="Z54" s="658"/>
      <c r="AA54" s="658"/>
      <c r="AB54" s="659"/>
      <c r="AC54" s="659"/>
      <c r="AD54" s="66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1" t="s">
        <v>21</v>
      </c>
      <c r="X55" s="662"/>
      <c r="Y55" s="658" t="s">
        <v>1551</v>
      </c>
      <c r="Z55" s="658"/>
      <c r="AA55" s="658"/>
      <c r="AB55" s="658"/>
      <c r="AC55" s="658"/>
      <c r="AD55" s="663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tabSelected="1" view="pageBreakPreview" zoomScale="70" zoomScaleNormal="40" zoomScaleSheetLayoutView="70" workbookViewId="0">
      <selection activeCell="V26" sqref="V26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51" t="s">
        <v>1527</v>
      </c>
      <c r="D3" s="651"/>
      <c r="E3" s="651"/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651"/>
      <c r="Q3" s="651"/>
      <c r="R3" s="651"/>
      <c r="S3" s="651"/>
      <c r="T3" s="651"/>
      <c r="U3" s="651"/>
      <c r="V3" s="651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651"/>
      <c r="D4" s="651"/>
      <c r="E4" s="651"/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651"/>
      <c r="Q4" s="651"/>
      <c r="R4" s="651"/>
      <c r="S4" s="651"/>
      <c r="T4" s="651"/>
      <c r="U4" s="651"/>
      <c r="V4" s="651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6" t="s">
        <v>1632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8"/>
      <c r="Z6" s="428"/>
      <c r="AA6" s="428"/>
      <c r="AB6" s="429"/>
      <c r="AC6" s="429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SLD</vt:lpstr>
      <vt:lpstr>GAMBAR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2024-05-04T03:29:18Z</dcterms:modified>
</cp:coreProperties>
</file>