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ABD2EBA3-2CE5-4421-84D1-8A610309637C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9" i="11" l="1"/>
  <c r="G80" i="11"/>
  <c r="D79" i="11"/>
  <c r="H79" i="11" s="1"/>
  <c r="E79" i="11"/>
  <c r="D80" i="11"/>
  <c r="J80" i="11" s="1"/>
  <c r="E80" i="11"/>
  <c r="F78" i="11"/>
  <c r="F77" i="11"/>
  <c r="F76" i="11"/>
  <c r="F75" i="11"/>
  <c r="F74" i="11"/>
  <c r="F70" i="11"/>
  <c r="F69" i="11"/>
  <c r="F68" i="11"/>
  <c r="F67" i="11"/>
  <c r="F66" i="11"/>
  <c r="F65" i="11"/>
  <c r="F64" i="11"/>
  <c r="F63" i="11"/>
  <c r="F62" i="11"/>
  <c r="D64" i="11"/>
  <c r="H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I70" i="11" s="1"/>
  <c r="E70" i="11"/>
  <c r="G70" i="11"/>
  <c r="D71" i="11"/>
  <c r="J71" i="11" s="1"/>
  <c r="E71" i="11"/>
  <c r="G71" i="11"/>
  <c r="D72" i="11"/>
  <c r="J72" i="11" s="1"/>
  <c r="E72" i="11"/>
  <c r="G72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1" i="11"/>
  <c r="D39" i="11"/>
  <c r="H39" i="11" s="1"/>
  <c r="E39" i="11"/>
  <c r="G39" i="11"/>
  <c r="D40" i="11"/>
  <c r="J40" i="11" s="1"/>
  <c r="E40" i="11"/>
  <c r="G40" i="11"/>
  <c r="D41" i="1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E59" i="11"/>
  <c r="G59" i="11"/>
  <c r="D60" i="11"/>
  <c r="J60" i="11" s="1"/>
  <c r="E60" i="11"/>
  <c r="G60" i="11"/>
  <c r="D61" i="11"/>
  <c r="H61" i="11" s="1"/>
  <c r="E61" i="11"/>
  <c r="G61" i="11"/>
  <c r="D62" i="11"/>
  <c r="H62" i="11" s="1"/>
  <c r="E62" i="11"/>
  <c r="G62" i="11"/>
  <c r="D63" i="11"/>
  <c r="H63" i="11" s="1"/>
  <c r="E63" i="11"/>
  <c r="G63" i="11"/>
  <c r="G37" i="11"/>
  <c r="G38" i="11"/>
  <c r="G73" i="11"/>
  <c r="D37" i="11"/>
  <c r="H37" i="11" s="1"/>
  <c r="E37" i="11"/>
  <c r="D38" i="11"/>
  <c r="J38" i="11" s="1"/>
  <c r="E38" i="11"/>
  <c r="F35" i="11"/>
  <c r="F31" i="11"/>
  <c r="F30" i="11"/>
  <c r="F29" i="11"/>
  <c r="F28" i="11"/>
  <c r="F27" i="11"/>
  <c r="F24" i="11"/>
  <c r="F23" i="11"/>
  <c r="F22" i="11"/>
  <c r="F21" i="11"/>
  <c r="F20" i="11"/>
  <c r="I80" i="11" l="1"/>
  <c r="H80" i="11"/>
  <c r="K80" i="11" s="1"/>
  <c r="J79" i="11"/>
  <c r="I79" i="11"/>
  <c r="K79" i="11" s="1"/>
  <c r="I64" i="11"/>
  <c r="J67" i="11"/>
  <c r="J66" i="11"/>
  <c r="J64" i="11"/>
  <c r="H70" i="11"/>
  <c r="I69" i="11"/>
  <c r="I68" i="11"/>
  <c r="J70" i="11"/>
  <c r="I72" i="11"/>
  <c r="I71" i="11"/>
  <c r="I67" i="11"/>
  <c r="I66" i="11"/>
  <c r="H71" i="11"/>
  <c r="H72" i="11"/>
  <c r="H68" i="11"/>
  <c r="I65" i="11"/>
  <c r="H69" i="11"/>
  <c r="H65" i="11"/>
  <c r="J59" i="11"/>
  <c r="J55" i="11"/>
  <c r="I43" i="11"/>
  <c r="H46" i="11"/>
  <c r="H41" i="11"/>
  <c r="J39" i="11"/>
  <c r="J63" i="11"/>
  <c r="J57" i="11"/>
  <c r="I59" i="11"/>
  <c r="J61" i="11"/>
  <c r="H59" i="11"/>
  <c r="I57" i="11"/>
  <c r="I56" i="11"/>
  <c r="I63" i="11"/>
  <c r="I55" i="11"/>
  <c r="I51" i="11"/>
  <c r="I39" i="11"/>
  <c r="I47" i="11"/>
  <c r="I61" i="11"/>
  <c r="I60" i="11"/>
  <c r="J54" i="11"/>
  <c r="J53" i="11"/>
  <c r="H51" i="11"/>
  <c r="J50" i="11"/>
  <c r="J49" i="11"/>
  <c r="H47" i="11"/>
  <c r="K47" i="11" s="1"/>
  <c r="J46" i="11"/>
  <c r="H43" i="11"/>
  <c r="J42" i="11"/>
  <c r="J41" i="11"/>
  <c r="J58" i="11"/>
  <c r="I62" i="11"/>
  <c r="I58" i="11"/>
  <c r="I54" i="11"/>
  <c r="I50" i="11"/>
  <c r="I46" i="11"/>
  <c r="H45" i="11"/>
  <c r="I42" i="11"/>
  <c r="I53" i="11"/>
  <c r="I52" i="11"/>
  <c r="I49" i="11"/>
  <c r="I48" i="11"/>
  <c r="I45" i="11"/>
  <c r="I44" i="11"/>
  <c r="I41" i="11"/>
  <c r="I40" i="11"/>
  <c r="J62" i="11"/>
  <c r="H56" i="11"/>
  <c r="H52" i="11"/>
  <c r="H48" i="11"/>
  <c r="K48" i="11" s="1"/>
  <c r="H44" i="11"/>
  <c r="H40" i="11"/>
  <c r="H60" i="11"/>
  <c r="J37" i="11"/>
  <c r="H38" i="11"/>
  <c r="I37" i="11"/>
  <c r="I38" i="11"/>
  <c r="K68" i="11" l="1"/>
  <c r="K66" i="11"/>
  <c r="K67" i="11"/>
  <c r="K64" i="11"/>
  <c r="K59" i="11"/>
  <c r="K72" i="11"/>
  <c r="K70" i="11"/>
  <c r="K44" i="11"/>
  <c r="K65" i="11"/>
  <c r="K71" i="11"/>
  <c r="K69" i="11"/>
  <c r="K63" i="11"/>
  <c r="K55" i="11"/>
  <c r="K54" i="11"/>
  <c r="K57" i="11"/>
  <c r="K58" i="11"/>
  <c r="K51" i="11"/>
  <c r="K61" i="11"/>
  <c r="K39" i="11"/>
  <c r="K62" i="11"/>
  <c r="K46" i="11"/>
  <c r="K43" i="11"/>
  <c r="K60" i="11"/>
  <c r="K50" i="11"/>
  <c r="K56" i="11"/>
  <c r="K53" i="11"/>
  <c r="K42" i="11"/>
  <c r="K40" i="11"/>
  <c r="K41" i="11"/>
  <c r="K49" i="11"/>
  <c r="K45" i="11"/>
  <c r="K52" i="11"/>
  <c r="K37" i="11"/>
  <c r="K38" i="11"/>
  <c r="D17" i="11" l="1"/>
  <c r="J17" i="11" s="1"/>
  <c r="E17" i="11"/>
  <c r="G17" i="11"/>
  <c r="D18" i="11"/>
  <c r="J18" i="11" s="1"/>
  <c r="E18" i="11"/>
  <c r="G18" i="11"/>
  <c r="D19" i="11"/>
  <c r="H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E24" i="11"/>
  <c r="G24" i="11"/>
  <c r="D25" i="11"/>
  <c r="J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E36" i="11"/>
  <c r="G36" i="11"/>
  <c r="F88" i="11"/>
  <c r="F87" i="11"/>
  <c r="F86" i="11"/>
  <c r="F85" i="11"/>
  <c r="F84" i="11"/>
  <c r="F83" i="11"/>
  <c r="F82" i="11"/>
  <c r="J36" i="11" l="1"/>
  <c r="J24" i="11"/>
  <c r="I33" i="11"/>
  <c r="I36" i="11"/>
  <c r="H36" i="11"/>
  <c r="J35" i="11"/>
  <c r="H33" i="11"/>
  <c r="K33" i="11" s="1"/>
  <c r="J32" i="11"/>
  <c r="I24" i="11"/>
  <c r="H24" i="11"/>
  <c r="J23" i="11"/>
  <c r="J19" i="11"/>
  <c r="J31" i="11"/>
  <c r="I31" i="11"/>
  <c r="I30" i="11"/>
  <c r="J29" i="11"/>
  <c r="J21" i="11"/>
  <c r="I32" i="11"/>
  <c r="I17" i="11"/>
  <c r="I25" i="11"/>
  <c r="I29" i="11"/>
  <c r="I28" i="11"/>
  <c r="J27" i="11"/>
  <c r="H25" i="11"/>
  <c r="K25" i="11" s="1"/>
  <c r="I23" i="11"/>
  <c r="I22" i="11"/>
  <c r="I21" i="11"/>
  <c r="I20" i="11"/>
  <c r="H17" i="11"/>
  <c r="H28" i="11"/>
  <c r="H20" i="11"/>
  <c r="I35" i="11"/>
  <c r="I34" i="11"/>
  <c r="I27" i="11"/>
  <c r="I26" i="11"/>
  <c r="I19" i="11"/>
  <c r="I18" i="11"/>
  <c r="H34" i="11"/>
  <c r="H30" i="11"/>
  <c r="H26" i="11"/>
  <c r="H22" i="11"/>
  <c r="H18" i="11"/>
  <c r="G78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D78" i="11"/>
  <c r="H78" i="11" s="1"/>
  <c r="E78" i="11"/>
  <c r="D81" i="11"/>
  <c r="J81" i="11" s="1"/>
  <c r="E81" i="11"/>
  <c r="D82" i="11"/>
  <c r="E82" i="11"/>
  <c r="D83" i="11"/>
  <c r="H83" i="11" s="1"/>
  <c r="E83" i="11"/>
  <c r="D84" i="11"/>
  <c r="H84" i="11" s="1"/>
  <c r="E84" i="11"/>
  <c r="D85" i="11"/>
  <c r="J85" i="11" s="1"/>
  <c r="E85" i="11"/>
  <c r="D86" i="11"/>
  <c r="E86" i="11"/>
  <c r="D87" i="11"/>
  <c r="H87" i="11" s="1"/>
  <c r="E87" i="11"/>
  <c r="D88" i="11"/>
  <c r="H88" i="11" s="1"/>
  <c r="E88" i="11"/>
  <c r="D89" i="11"/>
  <c r="J89" i="11" s="1"/>
  <c r="E89" i="11"/>
  <c r="D90" i="11"/>
  <c r="J90" i="11" s="1"/>
  <c r="E90" i="11"/>
  <c r="D91" i="11"/>
  <c r="I91" i="11" s="1"/>
  <c r="E91" i="11"/>
  <c r="D92" i="11"/>
  <c r="H92" i="11" s="1"/>
  <c r="E92" i="11"/>
  <c r="K32" i="11" l="1"/>
  <c r="K23" i="11"/>
  <c r="K19" i="11"/>
  <c r="K29" i="11"/>
  <c r="K28" i="11"/>
  <c r="K27" i="11"/>
  <c r="K35" i="11"/>
  <c r="K31" i="11"/>
  <c r="K26" i="11"/>
  <c r="K36" i="11"/>
  <c r="K24" i="11"/>
  <c r="K20" i="11"/>
  <c r="K30" i="11"/>
  <c r="K22" i="11"/>
  <c r="K21" i="11"/>
  <c r="K17" i="11"/>
  <c r="K18" i="11"/>
  <c r="K34" i="11"/>
  <c r="I86" i="11"/>
  <c r="I82" i="11"/>
  <c r="I88" i="11"/>
  <c r="J78" i="11"/>
  <c r="H91" i="11"/>
  <c r="J84" i="11"/>
  <c r="H82" i="11"/>
  <c r="I78" i="11"/>
  <c r="J88" i="11"/>
  <c r="H86" i="11"/>
  <c r="I84" i="11"/>
  <c r="I90" i="11"/>
  <c r="I89" i="11"/>
  <c r="I85" i="11"/>
  <c r="I81" i="11"/>
  <c r="J92" i="11"/>
  <c r="H90" i="11"/>
  <c r="H89" i="11"/>
  <c r="J87" i="11"/>
  <c r="H85" i="11"/>
  <c r="J83" i="11"/>
  <c r="H81" i="11"/>
  <c r="I92" i="11"/>
  <c r="J91" i="11"/>
  <c r="I87" i="11"/>
  <c r="J86" i="11"/>
  <c r="I83" i="11"/>
  <c r="J82" i="11"/>
  <c r="K89" i="11" l="1"/>
  <c r="K84" i="11"/>
  <c r="K86" i="11"/>
  <c r="K83" i="11"/>
  <c r="K92" i="11"/>
  <c r="K81" i="11"/>
  <c r="K90" i="11"/>
  <c r="K88" i="11"/>
  <c r="K87" i="11"/>
  <c r="K82" i="11"/>
  <c r="K78" i="11"/>
  <c r="K91" i="11"/>
  <c r="K85" i="11"/>
  <c r="D73" i="11" l="1"/>
  <c r="D74" i="11"/>
  <c r="D75" i="11"/>
  <c r="D76" i="11"/>
  <c r="D77" i="11"/>
  <c r="E7" i="64"/>
  <c r="D15" i="11"/>
  <c r="J15" i="11" s="1"/>
  <c r="E15" i="11"/>
  <c r="G15" i="11"/>
  <c r="D16" i="11"/>
  <c r="J16" i="11" s="1"/>
  <c r="E16" i="11"/>
  <c r="G16" i="11"/>
  <c r="H73" i="11" l="1"/>
  <c r="J73" i="11"/>
  <c r="I73" i="11"/>
  <c r="I15" i="11"/>
  <c r="H15" i="11"/>
  <c r="I16" i="11"/>
  <c r="H16" i="11"/>
  <c r="K73" i="11" l="1"/>
  <c r="K15" i="11"/>
  <c r="K16" i="11"/>
  <c r="G6" i="11" l="1"/>
  <c r="E73" i="11"/>
  <c r="J74" i="11"/>
  <c r="E74" i="11"/>
  <c r="G74" i="11"/>
  <c r="J75" i="11"/>
  <c r="E75" i="11"/>
  <c r="G75" i="11"/>
  <c r="E76" i="11"/>
  <c r="G76" i="11"/>
  <c r="E77" i="11"/>
  <c r="G77" i="11"/>
  <c r="H77" i="11" s="1"/>
  <c r="D20" i="60"/>
  <c r="H76" i="11" l="1"/>
  <c r="J77" i="11"/>
  <c r="J76" i="11"/>
  <c r="I74" i="11"/>
  <c r="H74" i="11"/>
  <c r="I76" i="11"/>
  <c r="H75" i="11"/>
  <c r="I75" i="11"/>
  <c r="I77" i="11"/>
  <c r="D14" i="11"/>
  <c r="J14" i="11" s="1"/>
  <c r="E14" i="11"/>
  <c r="G14" i="11"/>
  <c r="K19" i="60"/>
  <c r="D19" i="60"/>
  <c r="K74" i="11" l="1"/>
  <c r="K76" i="11"/>
  <c r="K77" i="11"/>
  <c r="K75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9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3" i="11"/>
  <c r="D94" i="11"/>
  <c r="H94" i="11" s="1"/>
  <c r="E9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4" i="11"/>
  <c r="I9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9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6" i="11"/>
  <c r="H97" i="11" s="1"/>
  <c r="I96" i="11"/>
  <c r="I9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6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8" i="11"/>
  <c r="I98" i="11"/>
  <c r="F364" i="29"/>
  <c r="F69" i="39"/>
  <c r="F72" i="39"/>
  <c r="F367" i="29"/>
  <c r="J93" i="11"/>
  <c r="K9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6" i="11" l="1"/>
  <c r="K97" i="11" s="1"/>
  <c r="K98" i="11" s="1"/>
  <c r="B9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6" i="11"/>
  <c r="J9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6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<sst xmlns="http://schemas.openxmlformats.org/spreadsheetml/2006/main" count="4763" uniqueCount="1635">
  <si>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</si>
  <si>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</si>
  <si>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</si>
  <si>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</si>
  <si>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</si>
  <si>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</si>
  <si>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</si>
  <si>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</si>
  <si>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</si>
  <si>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</si>
  <si>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</si>
  <si>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</si>
  <si>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</si>
  <si>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</si>
  <si>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</si>
  <si>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</si>
  <si>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</si>
  <si>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</si>
  <si>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</si>
  <si>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</si>
  <si>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</si>
  <si>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</si>
  <si>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</si>
  <si>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</si>
  <si>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</si>
  <si>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</si>
  <si>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</si>
  <si>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</si>
  <si>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</si>
  <si>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</si>
  <si>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</si>
  <si>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</si>
  <si>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</si>
  <si>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</si>
  <si>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</si>
  <si>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</si>
  <si>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</si>
  <si>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</si>
  <si>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</si>
  <si>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</si>
  <si>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</si>
  <si>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</si>
  <si>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</si>
  <si>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</si>
  <si>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</si>
  <si>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</si>
  <si>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</si>
  <si>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</si>
  <si>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</si>
  <si>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</si>
  <si>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</si>
  <si>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</si>
  <si>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</si>
  <si>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</si>
  <si>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</si>
  <si>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</si>
  <si>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</si>
  <si>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</si>
  <si>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</si>
  <si>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</si>
  <si>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</si>
  <si>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</si>
  <si>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</si>
  <si>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</si>
  <si>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</si>
  <si>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</si>
  <si>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</si>
  <si>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</si>
  <si>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</si>
  <si>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</si>
  <si>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</si>
  <si>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</si>
  <si>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</si>
  <si>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</si>
  <si>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</si>
  <si>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</si>
  <si>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</si>
  <si>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</si>
  <si>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</si>
  <si>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</si>
  <si>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</si>
  <si>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</si>
  <si>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</si>
  <si>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</si>
  <si>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</si>
  <si>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</si>
  <si>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</si>
  <si>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</si>
  <si>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</si>
  <si>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</si>
  <si>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</si>
  <si>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</si>
  <si>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</si>
  <si>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</si>
  <si>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</si>
  <si>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</si>
  <si>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</si>
  <si>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</si>
  <si>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</si>
  <si>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</si>
  <si>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</si>
  <si>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</si>
  <si>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</si>
  <si>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</si>
  <si>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</si>
  <si>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</si>
  <si>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</si>
  <si>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</si>
  <si>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</si>
  <si>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</si>
  <si>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</si>
  <si>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</si>
  <si>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</si>
  <si>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</si>
  <si>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</si>
  <si>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</si>
  <si>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</si>
  <si>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</si>
  <si>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</si>
  <si>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</si>
  <si>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</si>
  <si>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</si>
  <si>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</si>
  <si>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</si>
  <si>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</si>
  <si>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</si>
  <si>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</si>
  <si>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</si>
  <si>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</si>
  <si>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</si>
  <si>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</si>
  <si>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</si>
  <si>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</si>
  <si>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</si>
  <si>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</si>
  <si>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</si>
  <si>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</si>
  <si>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</si>
  <si>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</si>
  <si>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</si>
  <si>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</si>
  <si>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</si>
  <si>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</si>
  <si>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</si>
  <si>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</si>
  <si>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</si>
  <si>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</si>
  <si>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</si>
  <si>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</si>
  <si>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</si>
  <si>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</si>
  <si>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</si>
  <si>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</si>
  <si>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</si>
  <si>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</si>
  <si>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</si>
  <si>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</si>
  <si>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</si>
  <si>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</si>
  <si>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</si>
  <si>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</si>
  <si>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</si>
  <si>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</si>
  <si>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</si>
  <si>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</si>
  <si>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</si>
  <si>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</si>
  <si>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</si>
  <si>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</si>
  <si>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</si>
  <si>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</si>
  <si>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</si>
  <si>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</si>
  <si>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</si>
  <si>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</si>
  <si>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</si>
  <si>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</si>
  <si>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</si>
  <si>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</si>
  <si>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</si>
  <si>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</si>
  <si>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</si>
  <si>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</si>
  <si>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</si>
  <si>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</si>
  <si>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</si>
  <si>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</si>
  <si>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</si>
  <si>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</si>
  <si>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</si>
  <si>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</si>
  <si>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</si>
  <si>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</si>
  <si>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</si>
  <si>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</si>
  <si>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</si>
  <si>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</si>
  <si>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</si>
  <si>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</si>
  <si>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</si>
  <si>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</si>
  <si>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</si>
  <si>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</si>
  <si>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</si>
  <si>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</si>
  <si>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</si>
  <si>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</si>
  <si>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</si>
  <si>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</si>
  <si>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</si>
  <si>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</si>
  <si>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</si>
  <si>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</si>
  <si>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</si>
  <si>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</si>
  <si>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</si>
  <si>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</si>
  <si>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</si>
  <si>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</si>
  <si>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</si>
  <si>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</si>
  <si>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</si>
  <si>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</si>
  <si>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</si>
  <si>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</si>
  <si>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</si>
  <si>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</si>
  <si>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</si>
  <si>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</si>
  <si>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</si>
  <si>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</si>
  <si>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</si>
  <si>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</si>
  <si>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</si>
  <si>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</si>
  <si>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</si>
  <si>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</si>
  <si>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</si>
  <si>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</si>
  <si>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</si>
  <si>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</si>
  <si>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</si>
  <si>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</si>
  <si>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</si>
  <si>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</si>
  <si>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</si>
  <si>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</si>
  <si>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</si>
  <si>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</si>
  <si>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</si>
  <si>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</si>
  <si>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</si>
  <si>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</si>
  <si>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</si>
  <si>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</si>
  <si>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</si>
  <si>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</si>
  <si>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</si>
  <si>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</si>
  <si>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</si>
  <si>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</si>
  <si>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</si>
  <si>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</si>
  <si>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</si>
  <si>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</si>
  <si>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</si>
  <si>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</si>
  <si>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</si>
  <si>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</si>
  <si>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</si>
  <si>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</si>
  <si>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</si>
  <si>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</si>
  <si>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</si>
  <si>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</si>
  <si>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</si>
  <si>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</si>
  <si>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</si>
  <si>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</si>
  <si>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</si>
  <si>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</si>
  <si>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</si>
  <si>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</si>
  <si>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</si>
  <si>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</si>
  <si>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</si>
  <si>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</si>
  <si>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</si>
  <si>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</si>
  <si>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</si>
  <si>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</si>
  <si>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</si>
  <si>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</si>
  <si>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</si>
  <si>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</si>
  <si>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</si>
  <si>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</si>
  <si>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</si>
  <si>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</si>
  <si>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</si>
  <si>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</si>
  <si>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</si>
  <si>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</si>
  <si>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</si>
  <si>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</si>
  <si>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</si>
  <si>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</si>
  <si>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</si>
  <si>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</si>
  <si>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</si>
  <si>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</si>
  <si>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</si>
  <si>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</si>
  <si>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</si>
  <si>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</si>
  <si>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</si>
  <si>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</si>
  <si>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</si>
  <si>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</si>
  <si>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</si>
  <si>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</si>
  <si>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</si>
  <si>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</si>
  <si>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</si>
  <si>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</si>
  <si>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</si>
  <si>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</si>
  <si>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</si>
  <si>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</si>
  <si>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</si>
  <si>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</si>
  <si>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</si>
  <si>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</si>
  <si>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</si>
  <si>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</si>
  <si>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</si>
  <si>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</si>
  <si>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</si>
  <si>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</si>
  <si>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</si>
  <si>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</si>
  <si>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</si>
  <si>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</si>
  <si>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</si>
  <si>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</si>
  <si>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</si>
  <si>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</si>
  <si>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</si>
  <si>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</si>
  <si>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</si>
  <si>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</si>
  <si>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</si>
  <si>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</si>
  <si>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</si>
  <si>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</si>
  <si>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</si>
  <si>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</si>
  <si>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</si>
  <si>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</si>
  <si>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</si>
  <si>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</si>
  <si>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</si>
  <si>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</si>
  <si>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</si>
  <si>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</si>
  <si>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</si>
  <si>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</si>
  <si>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</si>
  <si>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</si>
  <si>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</si>
  <si>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</si>
  <si>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</si>
  <si>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</si>
  <si>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</si>
  <si>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</si>
  <si>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</si>
  <si>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</si>
  <si>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</si>
  <si>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</si>
  <si>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</si>
  <si>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</si>
  <si>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</si>
  <si>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</si>
  <si>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</si>
  <si>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</si>
  <si>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</si>
  <si>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</si>
  <si>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</si>
  <si>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</si>
  <si>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</si>
  <si>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</si>
  <si>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</si>
  <si>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</si>
  <si>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</si>
  <si>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</si>
  <si>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</si>
  <si>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</si>
  <si>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</si>
  <si>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</si>
  <si>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</si>
  <si>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</si>
  <si>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</si>
  <si>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</si>
  <si>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</si>
  <si>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</si>
  <si>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</si>
  <si>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</si>
  <si>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</si>
  <si>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</si>
  <si>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</si>
  <si>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</si>
  <si>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</si>
  <si>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</si>
  <si>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</si>
  <si>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</si>
  <si>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</si>
  <si>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</si>
  <si>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</si>
  <si>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</si>
  <si>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</si>
  <si>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</si>
  <si>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</si>
  <si>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</si>
  <si>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</si>
  <si>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</si>
  <si>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</si>
  <si>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</si>
  <si>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</si>
  <si>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</si>
  <si>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</si>
  <si>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</si>
  <si>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</si>
  <si>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</si>
  <si>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</si>
  <si>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</si>
  <si>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</si>
  <si>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</si>
  <si>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</si>
  <si>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</si>
  <si>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</si>
  <si>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</si>
  <si>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</si>
  <si>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</si>
  <si>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</si>
  <si>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</si>
  <si>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</si>
  <si>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</si>
  <si>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</si>
  <si>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</si>
  <si>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</si>
  <si>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</si>
  <si>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</si>
  <si>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</si>
  <si>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</si>
  <si>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</si>
  <si>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</si>
  <si>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</si>
  <si>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</si>
  <si>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</si>
  <si>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</si>
  <si>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</si>
  <si>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</si>
  <si>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</si>
  <si>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</si>
  <si>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</si>
  <si>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</si>
  <si>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</si>
  <si>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</si>
  <si>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</si>
  <si>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</si>
  <si>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</si>
  <si>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</si>
  <si>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</si>
  <si>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</si>
  <si>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</si>
  <si>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</si>
  <si>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</si>
  <si>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</si>
  <si>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</si>
  <si>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</si>
  <si>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</si>
  <si>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</si>
  <si>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</si>
  <si>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</si>
  <si>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</si>
  <si>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</si>
  <si>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</si>
  <si>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</si>
  <si>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</si>
  <si>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</si>
  <si>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</si>
  <si>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</si>
  <si>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</si>
  <si>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</si>
  <si>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</si>
  <si>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</si>
  <si>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</si>
  <si>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</si>
  <si>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</si>
  <si>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</si>
  <si>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</si>
  <si>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</si>
  <si>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</si>
  <si>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</si>
  <si>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</si>
  <si>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</si>
  <si>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</si>
  <si>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</si>
  <si>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</si>
  <si>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</si>
  <si>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</si>
  <si>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</si>
  <si>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</si>
  <si>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</si>
  <si>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</si>
  <si>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</si>
  <si>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</si>
  <si>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</si>
  <si>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</si>
  <si>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</si>
  <si>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</si>
  <si>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</si>
  <si>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</si>
  <si>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</si>
  <si>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</si>
  <si>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</si>
  <si>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</si>
  <si>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</si>
  <si>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</si>
  <si>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</si>
  <si>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</si>
  <si>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</si>
  <si>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</si>
  <si>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</si>
  <si>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</si>
  <si>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</si>
  <si>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</si>
  <si>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</si>
  <si>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</si>
  <si>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</si>
  <si>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</si>
  <si>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</si>
  <si>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</si>
  <si>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</si>
  <si>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</si>
  <si>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</si>
  <si>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</si>
  <si>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</si>
  <si>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</si>
  <si>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</si>
  <si>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</si>
  <si>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</si>
  <si>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</si>
  <si>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</si>
  <si>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</si>
  <si>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</si>
  <si>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</si>
  <si>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</si>
  <si>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</si>
  <si>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</si>
  <si>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</si>
  <si>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</si>
  <si>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</si>
  <si>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</si>
  <si>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</si>
  <si>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</si>
  <si>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</si>
  <si>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</si>
  <si>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</si>
  <si>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</si>
  <si>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</si>
  <si>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</si>
  <si>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</si>
  <si>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</si>
  <si>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</si>
  <si>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</si>
  <si>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</si>
  <si>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</si>
  <si>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</si>
  <si>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</si>
  <si>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</si>
  <si>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</si>
  <si>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</si>
  <si>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</si>
  <si>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</si>
  <si>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</si>
  <si>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</si>
  <si>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</si>
  <si>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</si>
  <si>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</si>
  <si>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</si>
  <si>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</si>
  <si>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</si>
  <si>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</si>
  <si>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</si>
  <si>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</si>
  <si>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</si>
  <si>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</si>
  <si>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</si>
  <si>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</si>
  <si>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</si>
  <si>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</si>
  <si>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</si>
  <si>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</si>
  <si>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</si>
  <si>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</si>
  <si>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</si>
  <si>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</si>
  <si>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</si>
  <si>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</si>
  <si>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</si>
  <si>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</si>
  <si>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</si>
  <si>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</si>
  <si>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</si>
  <si>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</si>
  <si>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</si>
  <si>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</si>
  <si>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</si>
  <si>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</si>
  <si>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</si>
  <si>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</si>
  <si>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</si>
  <si>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</si>
  <si>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</si>
  <si>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</si>
  <si>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</si>
  <si>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</si>
  <si>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</si>
  <si>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</si>
  <si>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</si>
  <si>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</si>
  <si>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</si>
  <si>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</si>
  <si>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</si>
  <si>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</si>
  <si>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</si>
  <si>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</si>
  <si>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</si>
  <si>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</si>
  <si>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</si>
  <si>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</si>
  <si>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</si>
  <si>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</si>
  <si>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</si>
  <si>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</si>
  <si>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</si>
  <si>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</si>
  <si>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</si>
  <si>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</si>
  <si>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</si>
  <si>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</si>
  <si>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</si>
  <si>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</si>
  <si>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</si>
  <si>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</si>
  <si>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</si>
  <si>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</si>
  <si>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</si>
  <si>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</si>
  <si>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</si>
  <si>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</si>
  <si>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</si>
  <si>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</si>
  <si>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</si>
  <si>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</si>
  <si>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</si>
  <si>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</si>
  <si>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</si>
  <si>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</si>
  <si>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</si>
  <si>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</si>
  <si>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</si>
  <si>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</si>
  <si>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</si>
  <si>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</si>
  <si>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</si>
  <si>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</si>
  <si>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</si>
  <si>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</si>
  <si>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</si>
  <si>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</si>
  <si>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</si>
  <si>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</si>
  <si>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</si>
  <si>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</si>
  <si>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</si>
  <si>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</si>
  <si>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</si>
  <si>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</si>
  <si>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</si>
  <si>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</si>
  <si>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</si>
  <si>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</si>
  <si>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</si>
  <si>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</si>
  <si>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</si>
  <si>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</si>
  <si>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</si>
  <si>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</si>
  <si>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</si>
  <si>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</si>
  <si>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</si>
  <si>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</si>
  <si>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</si>
  <si>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</si>
  <si>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</si>
  <si>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</si>
  <si>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</si>
  <si>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</si>
  <si>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</si>
  <si>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</si>
  <si>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</si>
  <si>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</si>
  <si>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</si>
  <si>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</si>
  <si>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</si>
  <si>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</si>
  <si>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</si>
  <si>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</si>
  <si>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</si>
  <si>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</si>
  <si>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</si>
  <si>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</si>
  <si>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</si>
  <si>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</si>
  <si>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</si>
  <si>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</si>
  <si>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</si>
  <si>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</si>
  <si>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</si>
  <si>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</si>
  <si>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</si>
  <si>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</si>
  <si>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</si>
  <si>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</si>
  <si>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</si>
  <si>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</si>
  <si>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</si>
  <si>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</si>
  <si>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</si>
  <si>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</si>
  <si>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</si>
  <si>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</si>
  <si>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</si>
  <si>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</si>
  <si>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</si>
  <si>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</si>
  <si>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</si>
  <si>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</si>
  <si>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</si>
  <si>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</si>
  <si>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</si>
  <si>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</si>
  <si>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</si>
  <si>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</si>
  <si>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</si>
  <si>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</si>
  <si>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</si>
  <si>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</si>
  <si>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</si>
  <si>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</si>
  <si>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</si>
  <si>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</si>
  <si>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</si>
  <si>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</si>
  <si>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</si>
  <si>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</si>
  <si>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</si>
  <si>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</si>
  <si>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</si>
  <si>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</si>
  <si>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</si>
  <si>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</si>
  <si>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</si>
  <si>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</si>
  <si>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</si>
  <si>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</si>
  <si>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</si>
  <si>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</si>
  <si>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</si>
  <si>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</si>
  <si>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</si>
  <si>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</si>
  <si>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</si>
  <si>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</si>
  <si>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</si>
  <si>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</si>
  <si>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</si>
  <si>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</si>
  <si>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</si>
  <si>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</si>
  <si>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</si>
  <si>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</si>
  <si>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</si>
  <si>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</si>
  <si>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</si>
  <si>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</si>
  <si>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</si>
  <si>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</si>
  <si>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</si>
  <si>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</si>
  <si>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</si>
  <si>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</si>
  <si>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</si>
  <si>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</si>
  <si>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</si>
  <si>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</si>
  <si>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</si>
  <si>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</si>
  <si>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</si>
  <si>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</si>
  <si>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</si>
  <si>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</si>
  <si>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</si>
  <si>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</si>
  <si>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</si>
  <si>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</si>
  <si>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</si>
  <si>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</si>
  <si>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</si>
  <si>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</si>
  <si>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</si>
  <si>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</si>
  <si>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</si>
  <si>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</si>
  <si>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</si>
  <si>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</si>
  <si>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</si>
  <si>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</si>
  <si>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</si>
  <si>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</si>
  <si>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</si>
  <si>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</si>
  <si>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</si>
  <si>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</si>
  <si>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</si>
  <si>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</si>
  <si>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</si>
  <si>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</si>
  <si>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</si>
  <si>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</si>
  <si>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</si>
  <si>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</si>
  <si>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</si>
  <si>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</si>
  <si>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</si>
  <si>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</si>
  <si>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</si>
  <si>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</si>
  <si>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</si>
  <si>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</si>
  <si>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</si>
  <si>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</si>
  <si>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</si>
  <si>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</si>
  <si>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</si>
  <si>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</si>
  <si>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</si>
  <si>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</si>
  <si>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</si>
  <si>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</si>
  <si>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</si>
  <si>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</si>
  <si>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</si>
  <si>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</si>
  <si>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</si>
  <si>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</si>
  <si>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</si>
  <si>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</si>
  <si>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</si>
  <si>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</si>
  <si>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</si>
  <si>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</si>
  <si>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</si>
  <si>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</si>
  <si>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</si>
  <si>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</si>
  <si>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</si>
  <si>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</si>
  <si>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</si>
  <si>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</si>
  <si>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</si>
  <si>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</si>
  <si>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</si>
  <si>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</si>
  <si>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</si>
  <si>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</si>
  <si>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</si>
  <si>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</si>
  <si>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</si>
  <si>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</si>
  <si>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</si>
  <si>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</si>
  <si>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</si>
  <si>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</si>
  <si>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</si>
  <si>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</si>
  <si>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</si>
  <si>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</si>
  <si>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</si>
  <si>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</si>
  <si>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</si>
  <si>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</si>
  <si>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</si>
  <si>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</si>
  <si>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</si>
  <si>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</si>
  <si>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</si>
  <si>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</si>
  <si>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</si>
  <si>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</si>
  <si>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</si>
  <si>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</si>
  <si>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</si>
  <si>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</si>
  <si>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</si>
  <si>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</si>
  <si>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</si>
  <si>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</si>
  <si>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</si>
  <si>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</si>
  <si>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</si>
  <si>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</si>
  <si>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</si>
  <si>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</si>
  <si>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</si>
  <si>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</si>
  <si>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</si>
  <si>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</si>
  <si>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</si>
  <si>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</si>
  <si>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</si>
  <si>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</si>
  <si>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</si>
  <si>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</si>
  <si>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</si>
  <si>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</si>
  <si>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</si>
  <si>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</si>
  <si>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</si>
  <si>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</si>
  <si>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</si>
  <si>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</si>
  <si>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</si>
  <si>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</si>
  <si>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</si>
  <si>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</si>
  <si>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</si>
  <si>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</si>
  <si>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</si>
  <si>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</si>
  <si>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</si>
  <si>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</si>
  <si>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</si>
  <si>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</si>
  <si>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</si>
  <si>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</si>
  <si>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</si>
  <si>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</si>
  <si>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</si>
  <si>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</si>
  <si>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</si>
  <si>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</si>
  <si>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</si>
  <si>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</si>
  <si>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</si>
  <si>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</si>
  <si>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</si>
  <si>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</si>
  <si>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</si>
  <si>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</si>
  <si>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</si>
  <si>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</si>
  <si>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</si>
  <si>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</si>
  <si>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</si>
  <si>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</si>
  <si>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</si>
  <si>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</si>
  <si>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</si>
  <si>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</si>
  <si>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</si>
  <si>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</si>
  <si>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</si>
  <si>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</si>
  <si>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</si>
  <si>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</si>
  <si>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</si>
  <si>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</si>
  <si>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</si>
  <si>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</si>
  <si>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</si>
  <si>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</si>
  <si>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</si>
  <si>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</si>
  <si>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</si>
  <si>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</si>
  <si>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</si>
  <si>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</si>
  <si>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</si>
  <si>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</si>
  <si>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</si>
  <si>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</si>
  <si>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</si>
  <si>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</si>
  <si>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</si>
  <si>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</si>
  <si>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</si>
  <si>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</si>
  <si>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</si>
  <si>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</si>
  <si>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</si>
  <si>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</si>
  <si>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</si>
  <si>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</si>
  <si>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</si>
  <si>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</si>
  <si>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</si>
  <si>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</si>
  <si>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</si>
  <si>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</si>
  <si>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</si>
  <si>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</si>
  <si>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</si>
  <si>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</si>
  <si>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</si>
  <si>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</si>
  <si>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</si>
  <si>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</si>
  <si>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</si>
  <si>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</si>
  <si>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</si>
  <si>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</si>
  <si>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</si>
  <si>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</si>
  <si>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</si>
  <si>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</si>
  <si>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</si>
  <si>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</si>
  <si>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</si>
  <si>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</si>
  <si>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</si>
  <si>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</si>
  <si>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</si>
  <si>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</si>
  <si>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</si>
  <si>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</si>
  <si>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</si>
  <si>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</si>
  <si>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</si>
  <si>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</si>
  <si>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</si>
  <si>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</si>
  <si>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</si>
  <si>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</si>
  <si>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</si>
  <si>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</si>
  <si>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</si>
  <si>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</si>
  <si>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</si>
  <si>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</si>
  <si>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</si>
  <si>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</si>
  <si>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</si>
  <si>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</si>
  <si>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</si>
  <si>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</si>
  <si>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</si>
  <si>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</si>
  <si>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</si>
  <si>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</si>
  <si>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</si>
  <si>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</si>
  <si>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</si>
  <si>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</si>
  <si>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</si>
  <si>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</si>
  <si>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</si>
  <si>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</si>
  <si>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</si>
  <si>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</si>
  <si>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</si>
  <si>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</si>
  <si>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</si>
  <si>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</si>
  <si>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</si>
  <si>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</si>
  <si>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</si>
  <si>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</si>
  <si>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</si>
  <si>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</si>
  <si>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</si>
  <si>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</si>
  <si>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</si>
  <si>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</si>
  <si>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</si>
  <si>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</si>
  <si>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</si>
  <si>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</si>
  <si>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</si>
  <si>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</si>
  <si>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</si>
  <si>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</si>
  <si>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</si>
  <si>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</si>
  <si>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</si>
  <si>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</si>
  <si>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</si>
  <si>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</si>
  <si>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</si>
  <si>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</si>
  <si>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</si>
  <si>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</si>
  <si>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</si>
  <si>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</si>
  <si>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</si>
  <si>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</si>
  <si>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</si>
  <si>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</si>
  <si>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</si>
  <si>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</si>
  <si>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</si>
  <si>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</si>
  <si>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</si>
  <si>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</si>
  <si>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</si>
  <si>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</si>
  <si>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</si>
  <si>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</si>
  <si>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</si>
  <si>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</si>
  <si>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</si>
  <si>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</si>
  <si>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</si>
  <si>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</si>
  <si>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</si>
  <si>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</si>
  <si>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</si>
  <si>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</si>
  <si>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</si>
  <si>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</si>
  <si>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</si>
  <si>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</si>
  <si>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</si>
  <si>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</si>
  <si>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</si>
  <si>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</si>
  <si>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</si>
  <si>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</si>
  <si>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</si>
  <si>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</si>
  <si>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</si>
  <si>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</si>
  <si>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</si>
  <si>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</si>
  <si>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</si>
  <si>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</si>
  <si>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</si>
  <si>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</si>
  <si>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</si>
  <si>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</si>
  <si>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</si>
  <si>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</si>
  <si>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</si>
  <si>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</si>
  <si>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</si>
  <si>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</si>
  <si>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</si>
  <si>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</si>
  <si>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</si>
  <si>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</si>
  <si>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</si>
  <si>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</si>
  <si>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</si>
  <si>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</si>
  <si>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</si>
  <si>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</si>
  <si>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</si>
  <si>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</si>
  <si>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</si>
  <si>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</si>
  <si>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</si>
  <si>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</si>
  <si>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</si>
  <si>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</si>
  <si>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</si>
  <si>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</si>
  <si>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</si>
  <si>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</si>
  <si>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</si>
  <si>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</si>
  <si>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</si>
  <si>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</si>
  <si>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</si>
  <si>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</si>
  <si>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</si>
  <si>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</si>
  <si>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</si>
  <si>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</si>
  <si>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</si>
  <si>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</si>
  <si>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</si>
  <si>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</si>
  <si>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</si>
  <si>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</si>
  <si>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</si>
  <si>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</si>
  <si>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</si>
  <si>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</si>
  <si>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</si>
  <si>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</si>
  <si>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</si>
  <si>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</si>
  <si>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</si>
  <si>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</si>
  <si>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</si>
  <si>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</si>
  <si>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</si>
  <si>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</si>
  <si>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</si>
  <si>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</si>
  <si>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</si>
  <si>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</si>
  <si>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</si>
  <si>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</si>
  <si>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</si>
  <si>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</si>
  <si>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</si>
  <si>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</si>
  <si>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</si>
  <si>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</si>
  <si>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</si>
  <si>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</si>
  <si>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</si>
  <si>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</si>
  <si>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</si>
  <si>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</si>
  <si>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</si>
  <si>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</si>
  <si>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</si>
  <si>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</si>
  <si>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</si>
  <si>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</si>
  <si>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</si>
  <si>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</si>
  <si>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</si>
  <si>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</si>
  <si>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</si>
  <si>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</si>
  <si>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</si>
  <si>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</si>
  <si>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</si>
  <si>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</si>
  <si>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</si>
  <si>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</si>
  <si>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</si>
  <si>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</si>
  <si>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</si>
  <si>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</si>
  <si>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</si>
  <si>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</si>
  <si>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</si>
  <si>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</si>
  <si>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</si>
  <si>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</si>
  <si>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</si>
  <si>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</si>
  <si>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</si>
  <si>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</si>
  <si>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</si>
  <si>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</si>
  <si>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</si>
  <si>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</si>
  <si>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</si>
  <si>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</si>
  <si>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</si>
  <si>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</si>
  <si>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</si>
  <si>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</si>
  <si>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</si>
  <si>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</si>
  <si>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</si>
  <si>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</si>
  <si>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</si>
  <si>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</si>
  <si>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</si>
  <si>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</si>
  <si>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</si>
  <si>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</si>
  <si>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</si>
  <si>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</si>
  <si>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</si>
  <si>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</si>
  <si>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</si>
  <si>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</si>
  <si>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</si>
  <si>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</si>
  <si>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</si>
  <si>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</si>
  <si>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</si>
  <si>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</si>
  <si>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</si>
  <si>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</si>
  <si>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</si>
  <si>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</si>
  <si>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</si>
  <si>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</si>
  <si>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</si>
  <si>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</si>
  <si>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</si>
  <si>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</si>
  <si>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</si>
  <si>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</si>
  <si>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</si>
  <si>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</si>
  <si>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</si>
  <si>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</si>
  <si>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</si>
  <si>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</si>
  <si>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</si>
  <si>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</si>
  <si>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</si>
  <si>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</si>
  <si>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</si>
  <si>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</si>
  <si>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</si>
  <si>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</si>
  <si>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</si>
  <si>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</si>
  <si>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</si>
  <si>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</si>
  <si>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</si>
  <si>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</si>
  <si>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</si>
  <si>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</si>
  <si>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</si>
  <si>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</si>
  <si>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</si>
  <si>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</si>
  <si>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</si>
  <si>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</si>
  <si>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</si>
  <si>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</si>
  <si>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</si>
  <si>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</si>
  <si>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</si>
  <si>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</si>
  <si>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</si>
  <si>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</si>
  <si>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</si>
  <si>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</si>
  <si>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</si>
  <si>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</si>
  <si>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</si>
  <si>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</si>
  <si>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</si>
  <si>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</si>
  <si>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</si>
  <si>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</si>
  <si>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</si>
  <si>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</si>
  <si>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</si>
  <si>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</si>
  <si>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</si>
  <si>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</si>
  <si>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</si>
  <si>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</si>
  <si>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</si>
  <si>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</si>
  <si>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</si>
  <si>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</si>
  <si>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</si>
  <si>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</si>
  <si>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</si>
  <si>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</si>
  <si>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</si>
  <si>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</si>
  <si>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</si>
  <si>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</si>
  <si>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</si>
  <si>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</si>
  <si>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</si>
  <si>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</si>
  <si>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</si>
  <si>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</si>
  <si>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</si>
  <si>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</si>
  <si>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</si>
  <si>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</si>
  <si>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</si>
  <si>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</si>
  <si>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</si>
  <si>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</si>
  <si>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</si>
  <si>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</si>
  <si>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</si>
  <si>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</si>
  <si>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</si>
  <si>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</si>
  <si>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</si>
  <si>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</si>
  <si>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</si>
  <si>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</si>
  <si>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</si>
  <si>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</si>
  <si>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</si>
  <si>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</si>
  <si>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</si>
  <si>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</si>
  <si>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</si>
  <si>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</si>
  <si>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</si>
  <si>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</si>
  <si>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</si>
  <si>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</si>
  <si>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</si>
  <si>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</si>
  <si>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</si>
  <si>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</si>
  <si>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</si>
  <si>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</si>
  <si>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</si>
  <si>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</si>
  <si>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</si>
  <si>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</si>
  <si>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</si>
  <si>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</si>
  <si>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</si>
  <si>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</si>
  <si>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</si>
  <si>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</si>
  <si>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</si>
  <si>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</si>
  <si>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</si>
  <si>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</si>
  <si>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</si>
  <si>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</si>
  <si>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</si>
  <si>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</si>
  <si>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</si>
  <si>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</si>
  <si>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</si>
  <si>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</si>
  <si>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</si>
  <si>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</si>
  <si>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</si>
  <si>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</si>
  <si>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</si>
  <si>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</si>
  <si>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</si>
  <si>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</si>
  <si>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</si>
  <si>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</si>
  <si>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</si>
  <si>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</si>
  <si>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</si>
  <si>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</si>
  <si>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</si>
  <si>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</si>
  <si>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</si>
  <si>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</si>
  <si>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</si>
  <si>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</si>
  <si>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</si>
  <si>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</si>
  <si>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</si>
  <si>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</si>
  <si>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</si>
  <si>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</si>
  <si>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</si>
  <si>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</si>
  <si>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</si>
  <si>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</si>
  <si>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</si>
  <si>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</si>
  <si>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</si>
  <si>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</si>
  <si>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</si>
  <si>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</si>
  <si>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</si>
  <si>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</si>
  <si>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</si>
  <si>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</si>
  <si>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</si>
  <si>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</si>
  <si>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</si>
  <si>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</si>
  <si>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</si>
  <si>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</si>
  <si>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</si>
  <si>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</si>
  <si>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</si>
  <si>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</si>
  <si>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</si>
  <si>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</si>
  <si>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</si>
  <si>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</si>
  <si>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</si>
  <si>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</si>
  <si>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</si>
  <si>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</si>
  <si>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</si>
  <si>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</si>
  <si>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</si>
  <si>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</si>
  <si>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</si>
  <si>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</si>
  <si>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</si>
  <si>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</si>
  <si>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</si>
  <si>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</si>
  <si>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</si>
  <si>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</si>
  <si>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</si>
  <si>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</si>
  <si>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</si>
  <si>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</si>
  <si>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</si>
  <si>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</si>
  <si>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</si>
  <si>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</si>
  <si>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</si>
  <si>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</si>
  <si>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</si>
  <si>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</si>
  <si>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</si>
  <si>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</si>
  <si>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</si>
  <si>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</si>
  <si>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</si>
  <si>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</si>
  <si>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</si>
  <si>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</si>
  <si>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</si>
  <si>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</si>
  <si>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</si>
  <si>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</si>
  <si>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</si>
  <si>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</si>
  <si>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</si>
  <si>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</si>
  <si>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</si>
  <si>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</si>
  <si>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</si>
  <si>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</si>
  <si>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</si>
  <si>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</si>
  <si>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</si>
  <si>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</si>
  <si>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</si>
  <si>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</si>
  <si>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</si>
  <si>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</si>
  <si>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</si>
  <si>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</si>
  <si>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</si>
  <si>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</si>
  <si>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</si>
  <si>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</si>
  <si>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</si>
  <si>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</si>
  <si>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</si>
  <si>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</si>
  <si>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</si>
  <si>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</si>
  <si>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</si>
  <si>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</si>
  <si>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</si>
  <si>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</si>
  <si>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</si>
  <si>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</si>
  <si>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</si>
  <si>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</si>
  <si>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</si>
  <si>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</si>
  <si>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</si>
  <si>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</si>
  <si>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</si>
  <si>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</si>
  <si>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</si>
  <si>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</si>
  <si>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</si>
  <si>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</si>
  <si>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</si>
  <si>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</si>
  <si>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</si>
  <si>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</si>
  <si>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</si>
  <si>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</si>
  <si>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</si>
  <si>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</si>
  <si>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</si>
  <si>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</si>
  <si>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</si>
  <si>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</si>
  <si>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</si>
  <si>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</si>
  <si>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</si>
  <si>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</si>
  <si>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</si>
  <si>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</si>
  <si>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</si>
  <si>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</si>
  <si>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</si>
  <si>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</si>
  <si>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</si>
  <si>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</si>
  <si>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</si>
  <si>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</si>
  <si>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</si>
  <si>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</si>
  <si>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</si>
  <si>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</si>
  <si>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IV</t>
  </si>
  <si>
    <t>PEKERJAAN LAIN-LAIN</t>
  </si>
  <si>
    <t>CM2-11M</t>
  </si>
  <si>
    <t xml:space="preserve">Pemasangan APP </t>
  </si>
  <si>
    <t>CJ6-T</t>
  </si>
  <si>
    <t>Pemasangan APP 1 Fasa Di Bangunan</t>
  </si>
  <si>
    <t>CJ5-T</t>
  </si>
  <si>
    <t>C12-200</t>
  </si>
  <si>
    <t>CA1</t>
  </si>
  <si>
    <t>CG105</t>
  </si>
  <si>
    <t>KONSTRUKSI JARINGAN</t>
  </si>
  <si>
    <t>KANTOR DIPENDA (DINAS PERTANIAN DAN PANGAN)</t>
  </si>
  <si>
    <t>P1</t>
  </si>
  <si>
    <t>JLSULTAN HADIWIJAYA, MANGUNJIWAN KEC. DEMAK</t>
  </si>
  <si>
    <t>KOORDINAT : -6.900297, 110.628473</t>
  </si>
  <si>
    <t>CONDUKTOR</t>
  </si>
  <si>
    <t>UPGRADING TRAFO</t>
  </si>
  <si>
    <t>Trafo 3 Fasa 50 KVA 1 Tiang (G312-A)</t>
  </si>
  <si>
    <t xml:space="preserve">Jumper Wire : </t>
  </si>
  <si>
    <t>Stainless Steel Strap 20 X 0.7 mm</t>
  </si>
  <si>
    <t>Daya 33.000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</si>
</sst>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5" fillId="0" borderId="0"/>
    <xf numFmtId="165" fontId="21" fillId="0" borderId="0" applyFont="0" applyFill="0" applyBorder="0" applyAlignment="0" applyProtection="0"/>
    <xf numFmtId="0" fontId="5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166" fontId="21" fillId="0" borderId="0" applyFont="0" applyFill="0" applyBorder="0" applyAlignment="0" applyProtection="0"/>
  </cellStyleXfs>
  <cellXfs count="717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43" fontId="141" fillId="40" borderId="85" xfId="2672" applyFont="1" applyFill="1" applyBorder="1" applyAlignment="1" applyProtection="1">
      <alignment horizontal="right" vertical="center" wrapText="1"/>
      <protection locked="0"/>
    </xf>
    <xf numFmtId="43" fontId="141" fillId="40" borderId="87" xfId="2672" applyFont="1" applyFill="1" applyBorder="1" applyAlignment="1" applyProtection="1">
      <alignment horizontal="right" vertical="center"/>
      <protection locked="0"/>
    </xf>
    <xf numFmtId="168" fontId="141" fillId="40" borderId="87" xfId="2672" applyNumberFormat="1" applyFont="1" applyFill="1" applyBorder="1" applyAlignment="1" applyProtection="1">
      <alignment horizontal="right" vertical="center"/>
      <protection locked="0"/>
    </xf>
    <xf numFmtId="168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76" fillId="33" borderId="0" xfId="0" applyFont="1" applyFill="1" applyAlignment="1">
      <alignment horizontal="left"/>
    </xf>
    <xf numFmtId="0" fontId="120" fillId="33" borderId="0" xfId="0" applyFont="1" applyFill="1" applyAlignment="1">
      <alignment horizontal="left"/>
    </xf>
    <xf numFmtId="0" fontId="116" fillId="33" borderId="0" xfId="0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28" fillId="48" borderId="21" xfId="1652" applyFont="1" applyFill="1" applyBorder="1" applyAlignment="1">
      <alignment horizontal="left"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7" fontId="120" fillId="0" borderId="73" xfId="1450" applyNumberFormat="1" applyFont="1" applyBorder="1" applyAlignment="1">
      <alignment horizontal="left" vertical="center"/>
    </xf>
    <xf numFmtId="207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6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6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108</xdr:row>
      <xdr:rowOff>81642</xdr:rowOff>
    </xdr:from>
    <xdr:to>
      <xdr:col>12</xdr:col>
      <xdr:colOff>41108</xdr:colOff>
      <xdr:row>111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67234</xdr:colOff>
      <xdr:row>22</xdr:row>
      <xdr:rowOff>11205</xdr:rowOff>
    </xdr:from>
    <xdr:to>
      <xdr:col>15</xdr:col>
      <xdr:colOff>324970</xdr:colOff>
      <xdr:row>31</xdr:row>
      <xdr:rowOff>22411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1142999" y="3462617"/>
          <a:ext cx="4448736" cy="141194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07297" y="823885"/>
          <a:ext cx="1489754" cy="181259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14</xdr:col>
      <xdr:colOff>199722</xdr:colOff>
      <xdr:row>32</xdr:row>
      <xdr:rowOff>71328</xdr:rowOff>
    </xdr:from>
    <xdr:to>
      <xdr:col>14</xdr:col>
      <xdr:colOff>285620</xdr:colOff>
      <xdr:row>33</xdr:row>
      <xdr:rowOff>27367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5075331" y="5030281"/>
          <a:ext cx="85898" cy="1108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238185</xdr:colOff>
      <xdr:row>21</xdr:row>
      <xdr:rowOff>144956</xdr:rowOff>
    </xdr:from>
    <xdr:to>
      <xdr:col>12</xdr:col>
      <xdr:colOff>133948</xdr:colOff>
      <xdr:row>26</xdr:row>
      <xdr:rowOff>8936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17813843">
          <a:off x="3796644" y="3576382"/>
          <a:ext cx="633307" cy="276763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ysClr val="windowText" lastClr="000000"/>
              </a:solidFill>
            </a:rPr>
            <a:t>MIXUE</a:t>
          </a:r>
        </a:p>
      </xdr:txBody>
    </xdr:sp>
    <xdr:clientData/>
  </xdr:twoCellAnchor>
  <xdr:twoCellAnchor>
    <xdr:from>
      <xdr:col>14</xdr:col>
      <xdr:colOff>315250</xdr:colOff>
      <xdr:row>19</xdr:row>
      <xdr:rowOff>108390</xdr:rowOff>
    </xdr:from>
    <xdr:to>
      <xdr:col>15</xdr:col>
      <xdr:colOff>22616</xdr:colOff>
      <xdr:row>20</xdr:row>
      <xdr:rowOff>54373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5190859" y="3067093"/>
          <a:ext cx="88366" cy="1007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98205</xdr:colOff>
      <xdr:row>24</xdr:row>
      <xdr:rowOff>65309</xdr:rowOff>
    </xdr:from>
    <xdr:to>
      <xdr:col>13</xdr:col>
      <xdr:colOff>186571</xdr:colOff>
      <xdr:row>25</xdr:row>
      <xdr:rowOff>14604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4592814" y="3797918"/>
          <a:ext cx="88366" cy="1040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365447</xdr:colOff>
      <xdr:row>16</xdr:row>
      <xdr:rowOff>86885</xdr:rowOff>
    </xdr:from>
    <xdr:to>
      <xdr:col>12</xdr:col>
      <xdr:colOff>72813</xdr:colOff>
      <xdr:row>17</xdr:row>
      <xdr:rowOff>32867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E0994C96-1360-4FCD-B953-09CD11F4341F}"/>
            </a:ext>
          </a:extLst>
        </xdr:cNvPr>
        <xdr:cNvGrpSpPr/>
      </xdr:nvGrpSpPr>
      <xdr:grpSpPr>
        <a:xfrm>
          <a:off x="4098056" y="2581244"/>
          <a:ext cx="88366" cy="1007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A4F32670-51BB-A89C-80E1-C6982B10DE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75DFD8BA-77A3-B611-CC34-B2CF8E12E9F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A5DBBC6D-B51B-7A35-6F9E-4EE2E7C2D7DD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359433</xdr:colOff>
      <xdr:row>16</xdr:row>
      <xdr:rowOff>95219</xdr:rowOff>
    </xdr:from>
    <xdr:to>
      <xdr:col>16</xdr:col>
      <xdr:colOff>364633</xdr:colOff>
      <xdr:row>19</xdr:row>
      <xdr:rowOff>108390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75F6835-F7F2-44BD-B4FE-514C01C56ED6}"/>
            </a:ext>
          </a:extLst>
        </xdr:cNvPr>
        <xdr:cNvCxnSpPr>
          <a:stCxn id="195" idx="0"/>
          <a:endCxn id="49" idx="1"/>
        </xdr:cNvCxnSpPr>
      </xdr:nvCxnSpPr>
      <xdr:spPr>
        <a:xfrm flipV="1">
          <a:off x="5239164" y="2579046"/>
          <a:ext cx="767200" cy="474767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267218</xdr:colOff>
      <xdr:row>23</xdr:row>
      <xdr:rowOff>116801</xdr:rowOff>
    </xdr:from>
    <xdr:to>
      <xdr:col>13</xdr:col>
      <xdr:colOff>25429</xdr:colOff>
      <xdr:row>24</xdr:row>
      <xdr:rowOff>109474</xdr:rowOff>
    </xdr:to>
    <xdr:sp macro="" textlink="">
      <xdr:nvSpPr>
        <xdr:cNvPr id="2" name="Isosceles Triangle 1">
          <a:extLst>
            <a:ext uri="{FF2B5EF4-FFF2-40B4-BE49-F238E27FC236}">
              <a16:creationId xmlns:a16="http://schemas.microsoft.com/office/drawing/2014/main" id="{910A1ADD-9071-4955-B112-1F4B94D51645}"/>
            </a:ext>
          </a:extLst>
        </xdr:cNvPr>
        <xdr:cNvSpPr/>
      </xdr:nvSpPr>
      <xdr:spPr>
        <a:xfrm>
          <a:off x="4390983" y="3725095"/>
          <a:ext cx="139211" cy="14955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198688</xdr:colOff>
      <xdr:row>18</xdr:row>
      <xdr:rowOff>3880</xdr:rowOff>
    </xdr:from>
    <xdr:to>
      <xdr:col>19</xdr:col>
      <xdr:colOff>30169</xdr:colOff>
      <xdr:row>22</xdr:row>
      <xdr:rowOff>69822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3277A72-67B4-4971-8FDD-E34F6E158963}"/>
            </a:ext>
          </a:extLst>
        </xdr:cNvPr>
        <xdr:cNvSpPr/>
      </xdr:nvSpPr>
      <xdr:spPr>
        <a:xfrm rot="19901841">
          <a:off x="5840419" y="2795438"/>
          <a:ext cx="974481" cy="681403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DINAS PERTANIAN</a:t>
          </a:r>
        </a:p>
      </xdr:txBody>
    </xdr:sp>
    <xdr:clientData/>
  </xdr:twoCellAnchor>
  <xdr:twoCellAnchor editAs="oneCell">
    <xdr:from>
      <xdr:col>15</xdr:col>
      <xdr:colOff>332483</xdr:colOff>
      <xdr:row>46</xdr:row>
      <xdr:rowOff>80596</xdr:rowOff>
    </xdr:from>
    <xdr:to>
      <xdr:col>21</xdr:col>
      <xdr:colOff>95250</xdr:colOff>
      <xdr:row>54</xdr:row>
      <xdr:rowOff>39081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E2BFCD-DCDA-4FF0-A265-319415812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3214" y="7187711"/>
          <a:ext cx="2048767" cy="1299312"/>
        </a:xfrm>
        <a:prstGeom prst="rect">
          <a:avLst/>
        </a:prstGeom>
      </xdr:spPr>
    </xdr:pic>
    <xdr:clientData/>
  </xdr:twoCellAnchor>
  <xdr:twoCellAnchor>
    <xdr:from>
      <xdr:col>12</xdr:col>
      <xdr:colOff>291353</xdr:colOff>
      <xdr:row>12</xdr:row>
      <xdr:rowOff>160734</xdr:rowOff>
    </xdr:from>
    <xdr:to>
      <xdr:col>17</xdr:col>
      <xdr:colOff>347382</xdr:colOff>
      <xdr:row>44</xdr:row>
      <xdr:rowOff>33618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BC08018E-810C-49BE-82F7-4D0E4B008FE5}"/>
            </a:ext>
          </a:extLst>
        </xdr:cNvPr>
        <xdr:cNvCxnSpPr>
          <a:cxnSpLocks/>
        </xdr:cNvCxnSpPr>
      </xdr:nvCxnSpPr>
      <xdr:spPr>
        <a:xfrm flipH="1" flipV="1">
          <a:off x="4404962" y="2030015"/>
          <a:ext cx="1961029" cy="483183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257735</xdr:colOff>
      <xdr:row>23</xdr:row>
      <xdr:rowOff>78441</xdr:rowOff>
    </xdr:from>
    <xdr:to>
      <xdr:col>14</xdr:col>
      <xdr:colOff>168088</xdr:colOff>
      <xdr:row>28</xdr:row>
      <xdr:rowOff>134470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9FEC997-57B0-4B6C-ADE8-AA00600948A8}"/>
            </a:ext>
          </a:extLst>
        </xdr:cNvPr>
        <xdr:cNvCxnSpPr>
          <a:cxnSpLocks/>
        </xdr:cNvCxnSpPr>
      </xdr:nvCxnSpPr>
      <xdr:spPr>
        <a:xfrm flipV="1">
          <a:off x="4381500" y="3686735"/>
          <a:ext cx="672353" cy="84044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280147</xdr:colOff>
      <xdr:row>40</xdr:row>
      <xdr:rowOff>78441</xdr:rowOff>
    </xdr:from>
    <xdr:to>
      <xdr:col>15</xdr:col>
      <xdr:colOff>366045</xdr:colOff>
      <xdr:row>41</xdr:row>
      <xdr:rowOff>31463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B0D4D2A3-FBD6-4213-B8B6-4A00BE79EC5B}"/>
            </a:ext>
          </a:extLst>
        </xdr:cNvPr>
        <xdr:cNvGrpSpPr/>
      </xdr:nvGrpSpPr>
      <xdr:grpSpPr>
        <a:xfrm>
          <a:off x="5536756" y="6287550"/>
          <a:ext cx="85898" cy="1078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DCF7320A-7B00-9A91-472D-45AE94D417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AE047C54-CDF6-9DED-8DD0-DE4789D5B4CB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D0151C79-20B2-74A7-4952-ABE0D864636F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352687</xdr:colOff>
      <xdr:row>14</xdr:row>
      <xdr:rowOff>146557</xdr:rowOff>
    </xdr:from>
    <xdr:to>
      <xdr:col>16</xdr:col>
      <xdr:colOff>186189</xdr:colOff>
      <xdr:row>43</xdr:row>
      <xdr:rowOff>119386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FB31FB8-2F4D-4B4E-ABC5-47E73ACCE0B8}"/>
            </a:ext>
          </a:extLst>
        </xdr:cNvPr>
        <xdr:cNvCxnSpPr/>
      </xdr:nvCxnSpPr>
      <xdr:spPr>
        <a:xfrm>
          <a:off x="4089418" y="2322653"/>
          <a:ext cx="1738502" cy="4442252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347382</xdr:colOff>
      <xdr:row>32</xdr:row>
      <xdr:rowOff>22412</xdr:rowOff>
    </xdr:from>
    <xdr:to>
      <xdr:col>14</xdr:col>
      <xdr:colOff>105593</xdr:colOff>
      <xdr:row>33</xdr:row>
      <xdr:rowOff>15084</xdr:rowOff>
    </xdr:to>
    <xdr:sp macro="" textlink="">
      <xdr:nvSpPr>
        <xdr:cNvPr id="21" name="Isosceles Triangle 20">
          <a:extLst>
            <a:ext uri="{FF2B5EF4-FFF2-40B4-BE49-F238E27FC236}">
              <a16:creationId xmlns:a16="http://schemas.microsoft.com/office/drawing/2014/main" id="{9EC9F3EA-8D06-497F-91E7-9C05EA159C7E}"/>
            </a:ext>
          </a:extLst>
        </xdr:cNvPr>
        <xdr:cNvSpPr/>
      </xdr:nvSpPr>
      <xdr:spPr>
        <a:xfrm>
          <a:off x="4852147" y="5031441"/>
          <a:ext cx="139211" cy="14955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230455</xdr:colOff>
      <xdr:row>16</xdr:row>
      <xdr:rowOff>77050</xdr:rowOff>
    </xdr:from>
    <xdr:to>
      <xdr:col>11</xdr:col>
      <xdr:colOff>369666</xdr:colOff>
      <xdr:row>17</xdr:row>
      <xdr:rowOff>69723</xdr:rowOff>
    </xdr:to>
    <xdr:sp macro="" textlink="">
      <xdr:nvSpPr>
        <xdr:cNvPr id="22" name="Isosceles Triangle 21">
          <a:extLst>
            <a:ext uri="{FF2B5EF4-FFF2-40B4-BE49-F238E27FC236}">
              <a16:creationId xmlns:a16="http://schemas.microsoft.com/office/drawing/2014/main" id="{2FCF5895-ECBD-48A6-892F-E73A208B04B7}"/>
            </a:ext>
          </a:extLst>
        </xdr:cNvPr>
        <xdr:cNvSpPr/>
      </xdr:nvSpPr>
      <xdr:spPr>
        <a:xfrm>
          <a:off x="3968196" y="2533843"/>
          <a:ext cx="139211" cy="14375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45983</xdr:colOff>
      <xdr:row>16</xdr:row>
      <xdr:rowOff>39413</xdr:rowOff>
    </xdr:from>
    <xdr:to>
      <xdr:col>11</xdr:col>
      <xdr:colOff>378773</xdr:colOff>
      <xdr:row>17</xdr:row>
      <xdr:rowOff>81605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F3946CB-66B8-409A-AAC9-2314A727C8E5}"/>
            </a:ext>
          </a:extLst>
        </xdr:cNvPr>
        <xdr:cNvSpPr/>
      </xdr:nvSpPr>
      <xdr:spPr>
        <a:xfrm rot="21299299">
          <a:off x="3783724" y="2496206"/>
          <a:ext cx="332790" cy="193278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1P</a:t>
          </a:r>
        </a:p>
      </xdr:txBody>
    </xdr:sp>
    <xdr:clientData/>
  </xdr:twoCellAnchor>
  <xdr:twoCellAnchor>
    <xdr:from>
      <xdr:col>12</xdr:col>
      <xdr:colOff>52551</xdr:colOff>
      <xdr:row>23</xdr:row>
      <xdr:rowOff>39412</xdr:rowOff>
    </xdr:from>
    <xdr:to>
      <xdr:col>13</xdr:col>
      <xdr:colOff>4341</xdr:colOff>
      <xdr:row>24</xdr:row>
      <xdr:rowOff>81604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E47835F6-36CF-44CA-B380-FE8E3DAF6D79}"/>
            </a:ext>
          </a:extLst>
        </xdr:cNvPr>
        <xdr:cNvSpPr/>
      </xdr:nvSpPr>
      <xdr:spPr>
        <a:xfrm rot="21299299">
          <a:off x="4171292" y="3553809"/>
          <a:ext cx="332790" cy="193278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3P</a:t>
          </a:r>
        </a:p>
      </xdr:txBody>
    </xdr:sp>
    <xdr:clientData/>
  </xdr:twoCellAnchor>
  <xdr:twoCellAnchor>
    <xdr:from>
      <xdr:col>13</xdr:col>
      <xdr:colOff>157654</xdr:colOff>
      <xdr:row>31</xdr:row>
      <xdr:rowOff>118243</xdr:rowOff>
    </xdr:from>
    <xdr:to>
      <xdr:col>14</xdr:col>
      <xdr:colOff>109444</xdr:colOff>
      <xdr:row>33</xdr:row>
      <xdr:rowOff>9348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D04953BB-9BF5-4C5B-A30A-823B828B4A1C}"/>
            </a:ext>
          </a:extLst>
        </xdr:cNvPr>
        <xdr:cNvSpPr/>
      </xdr:nvSpPr>
      <xdr:spPr>
        <a:xfrm rot="21299299">
          <a:off x="4657395" y="4834760"/>
          <a:ext cx="332790" cy="193278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3P</a:t>
          </a:r>
        </a:p>
      </xdr:txBody>
    </xdr:sp>
    <xdr:clientData/>
  </xdr:twoCellAnchor>
  <xdr:twoCellAnchor>
    <xdr:from>
      <xdr:col>12</xdr:col>
      <xdr:colOff>80596</xdr:colOff>
      <xdr:row>26</xdr:row>
      <xdr:rowOff>124558</xdr:rowOff>
    </xdr:from>
    <xdr:to>
      <xdr:col>12</xdr:col>
      <xdr:colOff>168962</xdr:colOff>
      <xdr:row>27</xdr:row>
      <xdr:rowOff>70541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E042639F-2EEF-4D5E-B947-FF7ED77B1074}"/>
            </a:ext>
          </a:extLst>
        </xdr:cNvPr>
        <xdr:cNvGrpSpPr/>
      </xdr:nvGrpSpPr>
      <xdr:grpSpPr>
        <a:xfrm>
          <a:off x="4194205" y="4166730"/>
          <a:ext cx="88366" cy="100764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E7146DDB-C51D-E0A0-A386-3B1C6FD8A73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43966CB3-E530-3A9B-3034-0D247A62C263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CE9CF620-06B2-13DD-B180-90E7FC799BA6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315058</xdr:colOff>
      <xdr:row>25</xdr:row>
      <xdr:rowOff>1</xdr:rowOff>
    </xdr:from>
    <xdr:to>
      <xdr:col>10</xdr:col>
      <xdr:colOff>22424</xdr:colOff>
      <xdr:row>25</xdr:row>
      <xdr:rowOff>99849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97C9DA70-E067-4EC8-A115-5B20A2FD0BBD}"/>
            </a:ext>
          </a:extLst>
        </xdr:cNvPr>
        <xdr:cNvGrpSpPr/>
      </xdr:nvGrpSpPr>
      <xdr:grpSpPr>
        <a:xfrm>
          <a:off x="3285667" y="3887392"/>
          <a:ext cx="88366" cy="99848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0920C263-391F-06B0-D656-A260DD54A53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EEB1AD71-2ECF-6DC5-E3BB-52BE4DFC122D}"/>
              </a:ext>
            </a:extLst>
          </xdr:cNvPr>
          <xdr:cNvCxnSpPr>
            <a:stCxn id="38" idx="1"/>
            <a:endCxn id="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A14DF5D6-8BB3-1BB1-1E78-484DD90DD0D0}"/>
              </a:ext>
            </a:extLst>
          </xdr:cNvPr>
          <xdr:cNvCxnSpPr>
            <a:stCxn id="38" idx="3"/>
            <a:endCxn id="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183173</xdr:colOff>
      <xdr:row>23</xdr:row>
      <xdr:rowOff>14654</xdr:rowOff>
    </xdr:from>
    <xdr:to>
      <xdr:col>7</xdr:col>
      <xdr:colOff>271539</xdr:colOff>
      <xdr:row>23</xdr:row>
      <xdr:rowOff>114502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17981BEC-9F90-4C7A-8A73-37C8FCD2C5E2}"/>
            </a:ext>
          </a:extLst>
        </xdr:cNvPr>
        <xdr:cNvGrpSpPr/>
      </xdr:nvGrpSpPr>
      <xdr:grpSpPr>
        <a:xfrm>
          <a:off x="2391782" y="3592482"/>
          <a:ext cx="88366" cy="99848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42" name="Oval 41">
            <a:extLst>
              <a:ext uri="{FF2B5EF4-FFF2-40B4-BE49-F238E27FC236}">
                <a16:creationId xmlns:a16="http://schemas.microsoft.com/office/drawing/2014/main" id="{BF30CDC5-77DF-6252-0DAD-0AFC608204B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69BFA85D-EDBF-F108-69F1-F61F01F774C2}"/>
              </a:ext>
            </a:extLst>
          </xdr:cNvPr>
          <xdr:cNvCxnSpPr>
            <a:stCxn id="42" idx="1"/>
            <a:endCxn id="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FE9EF1DE-AD58-3E7E-1F2D-757A0820C3C5}"/>
              </a:ext>
            </a:extLst>
          </xdr:cNvPr>
          <xdr:cNvCxnSpPr>
            <a:stCxn id="42" idx="3"/>
            <a:endCxn id="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72212</xdr:colOff>
      <xdr:row>19</xdr:row>
      <xdr:rowOff>71959</xdr:rowOff>
    </xdr:from>
    <xdr:to>
      <xdr:col>9</xdr:col>
      <xdr:colOff>250036</xdr:colOff>
      <xdr:row>22</xdr:row>
      <xdr:rowOff>127004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B308189E-D818-4B6E-A6ED-A3AF695898F2}"/>
            </a:ext>
          </a:extLst>
        </xdr:cNvPr>
        <xdr:cNvSpPr/>
      </xdr:nvSpPr>
      <xdr:spPr>
        <a:xfrm rot="1055825">
          <a:off x="2665943" y="3017382"/>
          <a:ext cx="558824" cy="516641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ysClr val="windowText" lastClr="000000"/>
              </a:solidFill>
            </a:rPr>
            <a:t>INDOMART</a:t>
          </a:r>
        </a:p>
      </xdr:txBody>
    </xdr:sp>
    <xdr:clientData/>
  </xdr:twoCellAnchor>
  <xdr:twoCellAnchor>
    <xdr:from>
      <xdr:col>5</xdr:col>
      <xdr:colOff>91185</xdr:colOff>
      <xdr:row>28</xdr:row>
      <xdr:rowOff>79942</xdr:rowOff>
    </xdr:from>
    <xdr:to>
      <xdr:col>13</xdr:col>
      <xdr:colOff>70005</xdr:colOff>
      <xdr:row>38</xdr:row>
      <xdr:rowOff>103236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ACD6088D-38AA-4653-8E41-95877350B329}"/>
            </a:ext>
          </a:extLst>
        </xdr:cNvPr>
        <xdr:cNvSpPr/>
      </xdr:nvSpPr>
      <xdr:spPr>
        <a:xfrm rot="1003473">
          <a:off x="1541916" y="4410154"/>
          <a:ext cx="3026820" cy="1569274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>
              <a:solidFill>
                <a:sysClr val="windowText" lastClr="000000"/>
              </a:solidFill>
            </a:rPr>
            <a:t>STADION</a:t>
          </a:r>
        </a:p>
      </xdr:txBody>
    </xdr:sp>
    <xdr:clientData/>
  </xdr:twoCellAnchor>
  <xdr:twoCellAnchor>
    <xdr:from>
      <xdr:col>16</xdr:col>
      <xdr:colOff>351692</xdr:colOff>
      <xdr:row>16</xdr:row>
      <xdr:rowOff>80597</xdr:rowOff>
    </xdr:from>
    <xdr:to>
      <xdr:col>17</xdr:col>
      <xdr:colOff>59058</xdr:colOff>
      <xdr:row>17</xdr:row>
      <xdr:rowOff>26580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4938CC82-E560-4DDD-8308-C9F01E9BEC44}"/>
            </a:ext>
          </a:extLst>
        </xdr:cNvPr>
        <xdr:cNvGrpSpPr/>
      </xdr:nvGrpSpPr>
      <xdr:grpSpPr>
        <a:xfrm>
          <a:off x="5989301" y="2574956"/>
          <a:ext cx="88366" cy="100765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54BFD469-780D-01D1-F3E0-E263DBF5D8B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4E643A8-CB6A-27D5-495D-DA93549131CE}"/>
              </a:ext>
            </a:extLst>
          </xdr:cNvPr>
          <xdr:cNvCxnSpPr>
            <a:stCxn id="49" idx="1"/>
            <a:endCxn id="4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5D1EBEC0-81CC-7BBB-FD87-6F3969449943}"/>
              </a:ext>
            </a:extLst>
          </xdr:cNvPr>
          <xdr:cNvCxnSpPr>
            <a:stCxn id="49" idx="3"/>
            <a:endCxn id="4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49823</xdr:colOff>
      <xdr:row>14</xdr:row>
      <xdr:rowOff>64478</xdr:rowOff>
    </xdr:from>
    <xdr:to>
      <xdr:col>19</xdr:col>
      <xdr:colOff>138189</xdr:colOff>
      <xdr:row>15</xdr:row>
      <xdr:rowOff>10460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0B0DE987-3F2C-498F-87E7-0F179D489723}"/>
            </a:ext>
          </a:extLst>
        </xdr:cNvPr>
        <xdr:cNvGrpSpPr/>
      </xdr:nvGrpSpPr>
      <xdr:grpSpPr>
        <a:xfrm>
          <a:off x="6830432" y="2249275"/>
          <a:ext cx="88366" cy="100763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53" name="Oval 52">
            <a:extLst>
              <a:ext uri="{FF2B5EF4-FFF2-40B4-BE49-F238E27FC236}">
                <a16:creationId xmlns:a16="http://schemas.microsoft.com/office/drawing/2014/main" id="{6C300CBF-2DB3-8543-EF65-446389256B4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5E74A8C4-0B82-B56D-0333-77A33CEB72D0}"/>
              </a:ext>
            </a:extLst>
          </xdr:cNvPr>
          <xdr:cNvCxnSpPr>
            <a:stCxn id="53" idx="1"/>
            <a:endCxn id="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BC8579A5-1F31-63E0-685E-EE8B86538ECE}"/>
              </a:ext>
            </a:extLst>
          </xdr:cNvPr>
          <xdr:cNvCxnSpPr>
            <a:stCxn id="53" idx="3"/>
            <a:endCxn id="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14875</xdr:colOff>
      <xdr:row>14</xdr:row>
      <xdr:rowOff>79100</xdr:rowOff>
    </xdr:from>
    <xdr:to>
      <xdr:col>19</xdr:col>
      <xdr:colOff>62764</xdr:colOff>
      <xdr:row>16</xdr:row>
      <xdr:rowOff>80597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BA294779-0E1E-499B-848D-FDA08BA14C8D}"/>
            </a:ext>
          </a:extLst>
        </xdr:cNvPr>
        <xdr:cNvCxnSpPr>
          <a:stCxn id="49" idx="0"/>
          <a:endCxn id="53" idx="1"/>
        </xdr:cNvCxnSpPr>
      </xdr:nvCxnSpPr>
      <xdr:spPr>
        <a:xfrm flipV="1">
          <a:off x="6037606" y="2255196"/>
          <a:ext cx="809889" cy="30922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271539</xdr:colOff>
      <xdr:row>23</xdr:row>
      <xdr:rowOff>64578</xdr:rowOff>
    </xdr:from>
    <xdr:to>
      <xdr:col>12</xdr:col>
      <xdr:colOff>80596</xdr:colOff>
      <xdr:row>27</xdr:row>
      <xdr:rowOff>20617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3044EC73-4958-42A9-90B6-11115F981EB5}"/>
            </a:ext>
          </a:extLst>
        </xdr:cNvPr>
        <xdr:cNvCxnSpPr>
          <a:stCxn id="42" idx="6"/>
          <a:endCxn id="32" idx="2"/>
        </xdr:cNvCxnSpPr>
      </xdr:nvCxnSpPr>
      <xdr:spPr>
        <a:xfrm>
          <a:off x="2484270" y="3625463"/>
          <a:ext cx="1714057" cy="57150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156021</xdr:colOff>
      <xdr:row>24</xdr:row>
      <xdr:rowOff>153362</xdr:rowOff>
    </xdr:from>
    <xdr:to>
      <xdr:col>13</xdr:col>
      <xdr:colOff>111146</xdr:colOff>
      <xdr:row>26</xdr:row>
      <xdr:rowOff>139180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37C430DB-73A7-4EAA-8168-9915393707A0}"/>
            </a:ext>
          </a:extLst>
        </xdr:cNvPr>
        <xdr:cNvCxnSpPr>
          <a:stCxn id="32" idx="7"/>
          <a:endCxn id="199" idx="3"/>
        </xdr:cNvCxnSpPr>
      </xdr:nvCxnSpPr>
      <xdr:spPr>
        <a:xfrm flipV="1">
          <a:off x="4273752" y="3868112"/>
          <a:ext cx="336125" cy="293549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97672</xdr:colOff>
      <xdr:row>19</xdr:row>
      <xdr:rowOff>19555</xdr:rowOff>
    </xdr:from>
    <xdr:to>
      <xdr:col>12</xdr:col>
      <xdr:colOff>293729</xdr:colOff>
      <xdr:row>21</xdr:row>
      <xdr:rowOff>44614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B42F0DE8-5234-4913-A52A-19EBE93CE3B2}"/>
            </a:ext>
          </a:extLst>
        </xdr:cNvPr>
        <xdr:cNvSpPr/>
      </xdr:nvSpPr>
      <xdr:spPr>
        <a:xfrm rot="4086898">
          <a:off x="4147037" y="3033344"/>
          <a:ext cx="332790" cy="196057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11</xdr:col>
      <xdr:colOff>307260</xdr:colOff>
      <xdr:row>15</xdr:row>
      <xdr:rowOff>86475</xdr:rowOff>
    </xdr:from>
    <xdr:to>
      <xdr:col>13</xdr:col>
      <xdr:colOff>111146</xdr:colOff>
      <xdr:row>24</xdr:row>
      <xdr:rowOff>153362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FDB0FF0-B6A5-4C3D-9E8F-C279DA70558F}"/>
            </a:ext>
          </a:extLst>
        </xdr:cNvPr>
        <xdr:cNvCxnSpPr>
          <a:endCxn id="199" idx="3"/>
        </xdr:cNvCxnSpPr>
      </xdr:nvCxnSpPr>
      <xdr:spPr>
        <a:xfrm>
          <a:off x="4043991" y="2416437"/>
          <a:ext cx="565886" cy="145167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70431</xdr:colOff>
      <xdr:row>17</xdr:row>
      <xdr:rowOff>93614</xdr:rowOff>
    </xdr:from>
    <xdr:to>
      <xdr:col>14</xdr:col>
      <xdr:colOff>22221</xdr:colOff>
      <xdr:row>18</xdr:row>
      <xdr:rowOff>135805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74FD5F76-91E7-4069-8DCA-55F44699613F}"/>
            </a:ext>
          </a:extLst>
        </xdr:cNvPr>
        <xdr:cNvSpPr/>
      </xdr:nvSpPr>
      <xdr:spPr>
        <a:xfrm rot="1685573">
          <a:off x="4570544" y="2692322"/>
          <a:ext cx="332790" cy="19315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10</xdr:col>
      <xdr:colOff>205155</xdr:colOff>
      <xdr:row>25</xdr:row>
      <xdr:rowOff>80595</xdr:rowOff>
    </xdr:from>
    <xdr:to>
      <xdr:col>11</xdr:col>
      <xdr:colOff>156945</xdr:colOff>
      <xdr:row>26</xdr:row>
      <xdr:rowOff>122786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1EF73296-29F7-4DAD-9D72-29958246B018}"/>
            </a:ext>
          </a:extLst>
        </xdr:cNvPr>
        <xdr:cNvSpPr/>
      </xdr:nvSpPr>
      <xdr:spPr>
        <a:xfrm rot="1195636">
          <a:off x="3560886" y="3949210"/>
          <a:ext cx="332790" cy="196057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8</xdr:col>
      <xdr:colOff>234461</xdr:colOff>
      <xdr:row>24</xdr:row>
      <xdr:rowOff>1</xdr:rowOff>
    </xdr:from>
    <xdr:to>
      <xdr:col>9</xdr:col>
      <xdr:colOff>186251</xdr:colOff>
      <xdr:row>25</xdr:row>
      <xdr:rowOff>42193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C59022DC-C24A-4233-8436-008D9EC6209B}"/>
            </a:ext>
          </a:extLst>
        </xdr:cNvPr>
        <xdr:cNvSpPr/>
      </xdr:nvSpPr>
      <xdr:spPr>
        <a:xfrm rot="1195636">
          <a:off x="2828192" y="3714751"/>
          <a:ext cx="332790" cy="196057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12</xdr:col>
      <xdr:colOff>59872</xdr:colOff>
      <xdr:row>17</xdr:row>
      <xdr:rowOff>18110</xdr:rowOff>
    </xdr:from>
    <xdr:to>
      <xdr:col>14</xdr:col>
      <xdr:colOff>328191</xdr:colOff>
      <xdr:row>20</xdr:row>
      <xdr:rowOff>39616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337BE9C5-1D2E-448E-819D-DFE8073D2BC3}"/>
            </a:ext>
          </a:extLst>
        </xdr:cNvPr>
        <xdr:cNvCxnSpPr>
          <a:stCxn id="24" idx="5"/>
          <a:endCxn id="195" idx="3"/>
        </xdr:cNvCxnSpPr>
      </xdr:nvCxnSpPr>
      <xdr:spPr>
        <a:xfrm>
          <a:off x="4173481" y="2667251"/>
          <a:ext cx="1030319" cy="48584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9675</xdr:colOff>
      <xdr:row>17</xdr:row>
      <xdr:rowOff>26580</xdr:rowOff>
    </xdr:from>
    <xdr:to>
      <xdr:col>17</xdr:col>
      <xdr:colOff>14875</xdr:colOff>
      <xdr:row>20</xdr:row>
      <xdr:rowOff>39751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E4EBBF21-97A6-4713-B569-707FA67E79DD}"/>
            </a:ext>
          </a:extLst>
        </xdr:cNvPr>
        <xdr:cNvCxnSpPr>
          <a:stCxn id="195" idx="5"/>
          <a:endCxn id="49" idx="4"/>
        </xdr:cNvCxnSpPr>
      </xdr:nvCxnSpPr>
      <xdr:spPr>
        <a:xfrm flipV="1">
          <a:off x="5270406" y="2664272"/>
          <a:ext cx="767200" cy="47476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46117</xdr:colOff>
      <xdr:row>15</xdr:row>
      <xdr:rowOff>10460</xdr:rowOff>
    </xdr:from>
    <xdr:to>
      <xdr:col>19</xdr:col>
      <xdr:colOff>94006</xdr:colOff>
      <xdr:row>17</xdr:row>
      <xdr:rowOff>11958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869A4D2-3EB0-4278-9AD7-F395D8E1D8DD}"/>
            </a:ext>
          </a:extLst>
        </xdr:cNvPr>
        <xdr:cNvCxnSpPr>
          <a:stCxn id="49" idx="5"/>
          <a:endCxn id="53" idx="4"/>
        </xdr:cNvCxnSpPr>
      </xdr:nvCxnSpPr>
      <xdr:spPr>
        <a:xfrm flipV="1">
          <a:off x="6068848" y="2340422"/>
          <a:ext cx="809889" cy="30922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183174</xdr:colOff>
      <xdr:row>17</xdr:row>
      <xdr:rowOff>95251</xdr:rowOff>
    </xdr:from>
    <xdr:to>
      <xdr:col>16</xdr:col>
      <xdr:colOff>134964</xdr:colOff>
      <xdr:row>18</xdr:row>
      <xdr:rowOff>137442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488C2BAC-45B6-4446-A9E4-C5B809DB2995}"/>
            </a:ext>
          </a:extLst>
        </xdr:cNvPr>
        <xdr:cNvSpPr/>
      </xdr:nvSpPr>
      <xdr:spPr>
        <a:xfrm rot="20074456">
          <a:off x="5443905" y="2732943"/>
          <a:ext cx="332790" cy="196057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17</xdr:col>
      <xdr:colOff>322384</xdr:colOff>
      <xdr:row>14</xdr:row>
      <xdr:rowOff>117229</xdr:rowOff>
    </xdr:from>
    <xdr:to>
      <xdr:col>18</xdr:col>
      <xdr:colOff>274174</xdr:colOff>
      <xdr:row>16</xdr:row>
      <xdr:rowOff>5555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7C7DD44E-A07C-4D20-84ED-6B831B21DF43}"/>
            </a:ext>
          </a:extLst>
        </xdr:cNvPr>
        <xdr:cNvSpPr/>
      </xdr:nvSpPr>
      <xdr:spPr>
        <a:xfrm rot="20470234">
          <a:off x="6345115" y="2293325"/>
          <a:ext cx="332790" cy="196057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15</xdr:col>
      <xdr:colOff>278423</xdr:colOff>
      <xdr:row>28</xdr:row>
      <xdr:rowOff>65942</xdr:rowOff>
    </xdr:from>
    <xdr:to>
      <xdr:col>19</xdr:col>
      <xdr:colOff>337038</xdr:colOff>
      <xdr:row>30</xdr:row>
      <xdr:rowOff>129299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C0924A30-02CB-4598-89FE-902EB57D6F5B}"/>
            </a:ext>
          </a:extLst>
        </xdr:cNvPr>
        <xdr:cNvCxnSpPr>
          <a:cxnSpLocks/>
        </xdr:cNvCxnSpPr>
      </xdr:nvCxnSpPr>
      <xdr:spPr>
        <a:xfrm flipV="1">
          <a:off x="5539154" y="4396154"/>
          <a:ext cx="1582615" cy="36376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65943</xdr:colOff>
      <xdr:row>29</xdr:row>
      <xdr:rowOff>7326</xdr:rowOff>
    </xdr:from>
    <xdr:to>
      <xdr:col>16</xdr:col>
      <xdr:colOff>151841</xdr:colOff>
      <xdr:row>29</xdr:row>
      <xdr:rowOff>117231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34632E2C-4C8F-42A7-84B4-AED15DA39FC4}"/>
            </a:ext>
          </a:extLst>
        </xdr:cNvPr>
        <xdr:cNvGrpSpPr/>
      </xdr:nvGrpSpPr>
      <xdr:grpSpPr>
        <a:xfrm>
          <a:off x="5703552" y="4513842"/>
          <a:ext cx="85898" cy="10990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5" name="Oval 164">
            <a:extLst>
              <a:ext uri="{FF2B5EF4-FFF2-40B4-BE49-F238E27FC236}">
                <a16:creationId xmlns:a16="http://schemas.microsoft.com/office/drawing/2014/main" id="{5334C4D8-5F85-731C-1B41-F3C0DA5ADD2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7BB63FCD-4852-C614-9527-112D1203C18C}"/>
              </a:ext>
            </a:extLst>
          </xdr:cNvPr>
          <xdr:cNvCxnSpPr>
            <a:stCxn id="165" idx="1"/>
            <a:endCxn id="16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AD4312DE-0C8E-CB4A-3B69-4C0B02E6D3FE}"/>
              </a:ext>
            </a:extLst>
          </xdr:cNvPr>
          <xdr:cNvCxnSpPr>
            <a:stCxn id="165" idx="3"/>
            <a:endCxn id="16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285620</xdr:colOff>
      <xdr:row>29</xdr:row>
      <xdr:rowOff>62279</xdr:rowOff>
    </xdr:from>
    <xdr:to>
      <xdr:col>16</xdr:col>
      <xdr:colOff>65943</xdr:colOff>
      <xdr:row>32</xdr:row>
      <xdr:rowOff>126281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18868C19-DB2A-4544-93EB-63FE649D8071}"/>
            </a:ext>
          </a:extLst>
        </xdr:cNvPr>
        <xdr:cNvCxnSpPr>
          <a:stCxn id="165" idx="2"/>
          <a:endCxn id="63" idx="6"/>
        </xdr:cNvCxnSpPr>
      </xdr:nvCxnSpPr>
      <xdr:spPr>
        <a:xfrm flipH="1">
          <a:off x="5165351" y="4546356"/>
          <a:ext cx="542323" cy="51827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14654</xdr:colOff>
      <xdr:row>30</xdr:row>
      <xdr:rowOff>87924</xdr:rowOff>
    </xdr:from>
    <xdr:to>
      <xdr:col>15</xdr:col>
      <xdr:colOff>347444</xdr:colOff>
      <xdr:row>31</xdr:row>
      <xdr:rowOff>130115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E2F55F63-A700-4F65-8EB3-227BC5E950DB}"/>
            </a:ext>
          </a:extLst>
        </xdr:cNvPr>
        <xdr:cNvSpPr/>
      </xdr:nvSpPr>
      <xdr:spPr>
        <a:xfrm rot="19677472">
          <a:off x="5275385" y="4718539"/>
          <a:ext cx="332790" cy="196057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18</xdr:col>
      <xdr:colOff>124558</xdr:colOff>
      <xdr:row>27</xdr:row>
      <xdr:rowOff>87924</xdr:rowOff>
    </xdr:from>
    <xdr:to>
      <xdr:col>18</xdr:col>
      <xdr:colOff>210456</xdr:colOff>
      <xdr:row>28</xdr:row>
      <xdr:rowOff>43963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EECDB212-3E2F-490B-B204-79B4B1F3278B}"/>
            </a:ext>
          </a:extLst>
        </xdr:cNvPr>
        <xdr:cNvGrpSpPr/>
      </xdr:nvGrpSpPr>
      <xdr:grpSpPr>
        <a:xfrm>
          <a:off x="6524167" y="4284877"/>
          <a:ext cx="85898" cy="1108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3" name="Oval 172">
            <a:extLst>
              <a:ext uri="{FF2B5EF4-FFF2-40B4-BE49-F238E27FC236}">
                <a16:creationId xmlns:a16="http://schemas.microsoft.com/office/drawing/2014/main" id="{E48F3A7C-2ACC-8FA3-B495-C30B2676D2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58BA539D-86DE-EC59-36B7-FC28E4EFC5EE}"/>
              </a:ext>
            </a:extLst>
          </xdr:cNvPr>
          <xdr:cNvCxnSpPr>
            <a:stCxn id="173" idx="1"/>
            <a:endCxn id="1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72952764-B430-46E4-BBD8-032710D5175E}"/>
              </a:ext>
            </a:extLst>
          </xdr:cNvPr>
          <xdr:cNvCxnSpPr>
            <a:stCxn id="173" idx="3"/>
            <a:endCxn id="1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108892</xdr:colOff>
      <xdr:row>27</xdr:row>
      <xdr:rowOff>21981</xdr:rowOff>
    </xdr:from>
    <xdr:to>
      <xdr:col>19</xdr:col>
      <xdr:colOff>36634</xdr:colOff>
      <xdr:row>29</xdr:row>
      <xdr:rowOff>7326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87EB5068-BB4B-4319-922A-0EB6F5281AFF}"/>
            </a:ext>
          </a:extLst>
        </xdr:cNvPr>
        <xdr:cNvCxnSpPr>
          <a:endCxn id="165" idx="0"/>
        </xdr:cNvCxnSpPr>
      </xdr:nvCxnSpPr>
      <xdr:spPr>
        <a:xfrm flipH="1">
          <a:off x="5750623" y="4198327"/>
          <a:ext cx="1070742" cy="293076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14654</xdr:colOff>
      <xdr:row>27</xdr:row>
      <xdr:rowOff>117231</xdr:rowOff>
    </xdr:from>
    <xdr:to>
      <xdr:col>17</xdr:col>
      <xdr:colOff>347444</xdr:colOff>
      <xdr:row>29</xdr:row>
      <xdr:rowOff>5557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9F7D303A-19B8-43E1-8DD7-D2D537D02693}"/>
            </a:ext>
          </a:extLst>
        </xdr:cNvPr>
        <xdr:cNvSpPr/>
      </xdr:nvSpPr>
      <xdr:spPr>
        <a:xfrm rot="21032217">
          <a:off x="6037385" y="4293577"/>
          <a:ext cx="332790" cy="196057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13</xdr:col>
      <xdr:colOff>74232</xdr:colOff>
      <xdr:row>18</xdr:row>
      <xdr:rowOff>41569</xdr:rowOff>
    </xdr:from>
    <xdr:to>
      <xdr:col>14</xdr:col>
      <xdr:colOff>26022</xdr:colOff>
      <xdr:row>19</xdr:row>
      <xdr:rowOff>85636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0AA078CC-9BA0-4E42-9CB2-7936112B5BD0}"/>
            </a:ext>
          </a:extLst>
        </xdr:cNvPr>
        <xdr:cNvSpPr/>
      </xdr:nvSpPr>
      <xdr:spPr>
        <a:xfrm rot="1055678">
          <a:off x="4574345" y="2791239"/>
          <a:ext cx="332790" cy="19502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15</xdr:col>
      <xdr:colOff>223631</xdr:colOff>
      <xdr:row>18</xdr:row>
      <xdr:rowOff>24848</xdr:rowOff>
    </xdr:from>
    <xdr:to>
      <xdr:col>16</xdr:col>
      <xdr:colOff>175421</xdr:colOff>
      <xdr:row>19</xdr:row>
      <xdr:rowOff>67040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3584F75E-2BEA-448B-B768-3CB7D75B030E}"/>
            </a:ext>
          </a:extLst>
        </xdr:cNvPr>
        <xdr:cNvSpPr/>
      </xdr:nvSpPr>
      <xdr:spPr>
        <a:xfrm rot="19194755">
          <a:off x="5491370" y="2758109"/>
          <a:ext cx="332790" cy="19127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17</xdr:col>
      <xdr:colOff>265044</xdr:colOff>
      <xdr:row>15</xdr:row>
      <xdr:rowOff>82826</xdr:rowOff>
    </xdr:from>
    <xdr:to>
      <xdr:col>18</xdr:col>
      <xdr:colOff>216834</xdr:colOff>
      <xdr:row>16</xdr:row>
      <xdr:rowOff>125018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2C177442-5581-4078-8B3D-0E90738F97A6}"/>
            </a:ext>
          </a:extLst>
        </xdr:cNvPr>
        <xdr:cNvSpPr/>
      </xdr:nvSpPr>
      <xdr:spPr>
        <a:xfrm rot="20368098">
          <a:off x="6294783" y="2368826"/>
          <a:ext cx="332790" cy="19127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12</xdr:col>
      <xdr:colOff>168934</xdr:colOff>
      <xdr:row>25</xdr:row>
      <xdr:rowOff>39537</xdr:rowOff>
    </xdr:from>
    <xdr:to>
      <xdr:col>13</xdr:col>
      <xdr:colOff>120724</xdr:colOff>
      <xdr:row>26</xdr:row>
      <xdr:rowOff>81728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15735C6-DA33-4206-8586-C926205BE2D1}"/>
            </a:ext>
          </a:extLst>
        </xdr:cNvPr>
        <xdr:cNvSpPr/>
      </xdr:nvSpPr>
      <xdr:spPr>
        <a:xfrm rot="19458165">
          <a:off x="4288047" y="3845943"/>
          <a:ext cx="332790" cy="19315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12</xdr:col>
      <xdr:colOff>59872</xdr:colOff>
      <xdr:row>16</xdr:row>
      <xdr:rowOff>101082</xdr:rowOff>
    </xdr:from>
    <xdr:to>
      <xdr:col>14</xdr:col>
      <xdr:colOff>359433</xdr:colOff>
      <xdr:row>19</xdr:row>
      <xdr:rowOff>108390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DA5753F2-1A1C-4CAA-9631-E0A50981708B}"/>
            </a:ext>
          </a:extLst>
        </xdr:cNvPr>
        <xdr:cNvCxnSpPr>
          <a:stCxn id="24" idx="7"/>
          <a:endCxn id="195" idx="0"/>
        </xdr:cNvCxnSpPr>
      </xdr:nvCxnSpPr>
      <xdr:spPr>
        <a:xfrm>
          <a:off x="4178985" y="2548827"/>
          <a:ext cx="1061561" cy="46019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182880</xdr:colOff>
      <xdr:row>16</xdr:row>
      <xdr:rowOff>99060</xdr:rowOff>
    </xdr:from>
    <xdr:to>
      <xdr:col>11</xdr:col>
      <xdr:colOff>358140</xdr:colOff>
      <xdr:row>17</xdr:row>
      <xdr:rowOff>80010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2C5B14AC-0A47-4BDE-B5D9-76FABF04F82B}"/>
            </a:ext>
          </a:extLst>
        </xdr:cNvPr>
        <xdr:cNvCxnSpPr/>
      </xdr:nvCxnSpPr>
      <xdr:spPr>
        <a:xfrm>
          <a:off x="3916680" y="2571750"/>
          <a:ext cx="175260" cy="133350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179070</xdr:colOff>
      <xdr:row>16</xdr:row>
      <xdr:rowOff>95250</xdr:rowOff>
    </xdr:from>
    <xdr:to>
      <xdr:col>11</xdr:col>
      <xdr:colOff>365760</xdr:colOff>
      <xdr:row>17</xdr:row>
      <xdr:rowOff>91440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882A8E31-C80F-44AE-B333-F4429462C40E}"/>
            </a:ext>
          </a:extLst>
        </xdr:cNvPr>
        <xdr:cNvCxnSpPr/>
      </xdr:nvCxnSpPr>
      <xdr:spPr>
        <a:xfrm flipV="1">
          <a:off x="3912870" y="2567940"/>
          <a:ext cx="186690" cy="148590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84214</xdr:colOff>
      <xdr:row>15</xdr:row>
      <xdr:rowOff>69236</xdr:rowOff>
    </xdr:from>
    <xdr:to>
      <xdr:col>12</xdr:col>
      <xdr:colOff>223425</xdr:colOff>
      <xdr:row>16</xdr:row>
      <xdr:rowOff>61909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13562CAB-FB27-4622-B5E0-9C86FB987333}"/>
            </a:ext>
          </a:extLst>
        </xdr:cNvPr>
        <xdr:cNvSpPr/>
      </xdr:nvSpPr>
      <xdr:spPr>
        <a:xfrm>
          <a:off x="4199014" y="2389526"/>
          <a:ext cx="139211" cy="145073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285750</xdr:colOff>
      <xdr:row>15</xdr:row>
      <xdr:rowOff>0</xdr:rowOff>
    </xdr:from>
    <xdr:to>
      <xdr:col>12</xdr:col>
      <xdr:colOff>237540</xdr:colOff>
      <xdr:row>16</xdr:row>
      <xdr:rowOff>42192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F6A2F7E-5CE1-4D2A-A213-32910053FD92}"/>
            </a:ext>
          </a:extLst>
        </xdr:cNvPr>
        <xdr:cNvSpPr/>
      </xdr:nvSpPr>
      <xdr:spPr>
        <a:xfrm rot="21299299">
          <a:off x="4019550" y="2320290"/>
          <a:ext cx="332790" cy="194592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3P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27214</xdr:colOff>
      <xdr:row>12</xdr:row>
      <xdr:rowOff>0</xdr:rowOff>
    </xdr:from>
    <xdr:to>
      <xdr:col>18</xdr:col>
      <xdr:colOff>88204</xdr:colOff>
      <xdr:row>43</xdr:row>
      <xdr:rowOff>72835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C6FF4F-4E76-5AE2-8E60-C42CCC4A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8785" y="2109107"/>
          <a:ext cx="8021169" cy="513469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173</v>
      </c>
      <c r="G19" s="41">
        <f ca="1">IF(ISERROR(OFFSET('HARGA SATUAN'!$I$6,MATCH(C19,'HARGA SATUAN'!$C$7:$C$1492,0),0)),"",OFFSET('HARGA SATUAN'!$I$6,MATCH(C19,'HARGA SATUAN'!$C$7:$C$1492,0),0))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SUMIFS(RAB!$F$14:$F$92,RAB!$C$14:$C$92,C714)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SUMIFS(RAB!$F$14:$F$92,RAB!$C$14:$C$92,C715)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SUMIFS(RAB!$F$14:$F$92,RAB!$C$14:$C$92,C716)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SUMIFS(RAB!$F$14:$F$92,RAB!$C$14:$C$92,C717)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SUMIFS(RAB!$F$14:$F$92,RAB!$C$14:$C$92,C718)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SUMIFS(RAB!$F$14:$F$92,RAB!$C$14:$C$92,C719)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SUMIFS(RAB!$F$14:$F$92,RAB!$C$14:$C$92,C720)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SUMIFS(RAB!$F$14:$F$92,RAB!$C$14:$C$92,C721)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SUMIFS(RAB!$F$14:$F$92,RAB!$C$14:$C$92,C722)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SUMIFS(RAB!$F$14:$F$92,RAB!$C$14:$C$92,C723)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SUMIFS(RAB!$F$14:$F$92,RAB!$C$14:$C$92,C724)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SUMIFS(RAB!$F$14:$F$92,RAB!$C$14:$C$92,C725)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SUMIFS(RAB!$F$14:$F$92,RAB!$C$14:$C$92,C726)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SUMIFS(RAB!$F$14:$F$92,RAB!$C$14:$C$92,C727)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SUMIFS(RAB!$F$14:$F$92,RAB!$C$14:$C$92,C728)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SUMIFS(RAB!$F$14:$F$92,RAB!$C$14:$C$92,C729)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SUMIFS(RAB!$F$14:$F$92,RAB!$C$14:$C$92,C730)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SUMIFS(RAB!$F$14:$F$92,RAB!$C$14:$C$92,C731)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SUMIFS(RAB!$F$14:$F$92,RAB!$C$14:$C$92,C732)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SUMIFS(RAB!$F$14:$F$92,RAB!$C$14:$C$92,C733)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SUMIFS(RAB!$F$14:$F$92,RAB!$C$14:$C$92,C734)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SUMIFS(RAB!$F$14:$F$92,RAB!$C$14:$C$92,C735)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SUMIFS(RAB!$F$14:$F$92,RAB!$C$14:$C$92,C736)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SUMIFS(RAB!$F$14:$F$92,RAB!$C$14:$C$92,C737)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SUMIFS(RAB!$F$14:$F$92,RAB!$C$14:$C$92,C738)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SUMIFS(RAB!$F$14:$F$92,RAB!$C$14:$C$92,C739)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SUMIFS(RAB!$F$14:$F$92,RAB!$C$14:$C$92,C740)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SUMIFS(RAB!$F$14:$F$92,RAB!$C$14:$C$92,C741)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SUMIFS(RAB!$F$14:$F$92,RAB!$C$14:$C$92,C742)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SUMIFS(RAB!$F$14:$F$92,RAB!$C$14:$C$92,C743)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SUMIFS(RAB!$F$14:$F$92,RAB!$C$14:$C$92,C744)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SUMIFS(RAB!$F$14:$F$92,RAB!$C$14:$C$92,C745)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SUMIFS(RAB!$F$14:$F$92,RAB!$C$14:$C$92,C746)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SUMIFS(RAB!$F$14:$F$92,RAB!$C$14:$C$92,C747)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SUMIFS(RAB!$F$14:$F$92,RAB!$C$14:$C$92,C748)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SUMIFS(RAB!$F$14:$F$92,RAB!$C$14:$C$92,C749)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SUMIFS(RAB!$F$14:$F$92,RAB!$C$14:$C$92,C750)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SUMIFS(RAB!$F$14:$F$92,RAB!$C$14:$C$92,C751)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SUMIFS(RAB!$F$14:$F$92,RAB!$C$14:$C$92,C752)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SUMIFS(RAB!$F$14:$F$92,RAB!$C$14:$C$92,C753)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SUMIFS(RAB!$F$14:$F$92,RAB!$C$14:$C$92,C754)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SUMIFS(RAB!$F$14:$F$92,RAB!$C$14:$C$92,C755)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SUMIFS(RAB!$F$14:$F$92,RAB!$C$14:$C$92,C756)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SUMIFS(RAB!$F$14:$F$92,RAB!$C$14:$C$92,C757)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SUMIFS(RAB!$F$14:$F$92,RAB!$C$14:$C$92,C758)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SUMIFS(RAB!$F$14:$F$92,RAB!$C$14:$C$92,C759)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SUMIFS(RAB!$F$14:$F$92,RAB!$C$14:$C$92,C760)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SUMIFS(RAB!$F$14:$F$92,RAB!$C$14:$C$92,C761)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SUMIFS(RAB!$F$14:$F$92,RAB!$C$14:$C$92,C762)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SUMIFS(RAB!$F$14:$F$92,RAB!$C$14:$C$92,C763)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SUMIFS(RAB!$F$14:$F$92,RAB!$C$14:$C$92,C764)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SUMIFS(RAB!$F$14:$F$92,RAB!$C$14:$C$92,C765)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SUMIFS(RAB!$F$14:$F$92,RAB!$C$14:$C$92,C766)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SUMIFS(RAB!$F$14:$F$92,RAB!$C$14:$C$92,C767)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SUMIFS(RAB!$F$14:$F$92,RAB!$C$14:$C$92,C768)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SUMIFS(RAB!$F$14:$F$92,RAB!$C$14:$C$92,C769)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SUMIFS(RAB!$F$14:$F$92,RAB!$C$14:$C$92,C770)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SUMIFS(RAB!$F$14:$F$92,RAB!$C$14:$C$92,C771)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SUMIFS(RAB!$F$14:$F$92,RAB!$C$14:$C$92,C772)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SUMIFS(RAB!$F$14:$F$92,RAB!$C$14:$C$92,C773)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SUMIFS(RAB!$F$14:$F$92,RAB!$C$14:$C$92,C774)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SUMIFS(RAB!$F$14:$F$92,RAB!$C$14:$C$92,C775)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SUMIFS(RAB!$F$14:$F$92,RAB!$C$14:$C$92,C776)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SUMIFS(RAB!$F$14:$F$92,RAB!$C$14:$C$92,C777)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SUMIFS(RAB!$F$14:$F$92,RAB!$C$14:$C$92,C778)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SUMIFS(RAB!$F$14:$F$92,RAB!$C$14:$C$92,C779)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SUMIFS(RAB!$F$14:$F$92,RAB!$C$14:$C$92,C780)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SUMIFS(RAB!$F$14:$F$92,RAB!$C$14:$C$92,C781)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SUMIFS(RAB!$F$14:$F$92,RAB!$C$14:$C$92,C782)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SUMIFS(RAB!$F$14:$F$92,RAB!$C$14:$C$92,C783)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SUMIFS(RAB!$F$14:$F$92,RAB!$C$14:$C$92,C784)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SUMIFS(RAB!$F$14:$F$92,RAB!$C$14:$C$92,C785)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SUMIFS(RAB!$F$14:$F$92,RAB!$C$14:$C$92,C786)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SUMIFS(RAB!$F$14:$F$92,RAB!$C$14:$C$92,C787)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SUMIFS(RAB!$F$14:$F$92,RAB!$C$14:$C$92,C788)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SUMIFS(RAB!$F$14:$F$92,RAB!$C$14:$C$92,C789)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SUMIFS(RAB!$F$14:$F$92,RAB!$C$14:$C$92,C790)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SUMIFS(RAB!$F$14:$F$92,RAB!$C$14:$C$92,C791)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SUMIFS(RAB!$F$14:$F$92,RAB!$C$14:$C$92,C792)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SUMIFS(RAB!$F$14:$F$92,RAB!$C$14:$C$92,C793)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SUMIFS(RAB!$F$14:$F$92,RAB!$C$14:$C$92,C794)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SUMIFS(RAB!$F$14:$F$92,RAB!$C$14:$C$92,C795)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SUMIFS(RAB!$F$14:$F$92,RAB!$C$14:$C$92,C796)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SUMIFS(RAB!$F$14:$F$92,RAB!$C$14:$C$92,C797)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SUMIFS(RAB!$F$14:$F$92,RAB!$C$14:$C$92,C798)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SUMIFS(RAB!$F$14:$F$92,RAB!$C$14:$C$92,C799)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SUMIFS(RAB!$F$14:$F$92,RAB!$C$14:$C$92,C800)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SUMIFS(RAB!$F$14:$F$92,RAB!$C$14:$C$92,C801)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SUMIFS(RAB!$F$14:$F$92,RAB!$C$14:$C$92,C802)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SUMIFS(RAB!$F$14:$F$92,RAB!$C$14:$C$92,C803)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SUMIFS(RAB!$F$14:$F$92,RAB!$C$14:$C$92,C804)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SUMIFS(RAB!$F$14:$F$92,RAB!$C$14:$C$92,C805)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SUMIFS(RAB!$F$14:$F$92,RAB!$C$14:$C$92,C806)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SUMIFS(RAB!$F$14:$F$92,RAB!$C$14:$C$92,C807)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SUMIFS(RAB!$F$14:$F$92,RAB!$C$14:$C$92,C808)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SUMIFS(RAB!$F$14:$F$92,RAB!$C$14:$C$92,C809)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SUMIFS(RAB!$F$14:$F$92,RAB!$C$14:$C$92,C810)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SUMIFS(RAB!$F$14:$F$92,RAB!$C$14:$C$92,C811)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SUMIFS(RAB!$F$14:$F$92,RAB!$C$14:$C$92,C812)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SUMIFS(RAB!$F$14:$F$92,RAB!$C$14:$C$92,C813)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SUMIFS(RAB!$F$14:$F$92,RAB!$C$14:$C$92,C814)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SUMIFS(RAB!$F$14:$F$92,RAB!$C$14:$C$92,C815)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SUMIFS(RAB!$F$14:$F$92,RAB!$C$14:$C$92,C816)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SUMIFS(RAB!$F$14:$F$92,RAB!$C$14:$C$92,C817)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SUMIFS(RAB!$F$14:$F$92,RAB!$C$14:$C$92,C818)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SUMIFS(RAB!$F$14:$F$92,RAB!$C$14:$C$92,C819)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SUMIFS(RAB!$F$14:$F$92,RAB!$C$14:$C$92,C820)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SUMIFS(RAB!$F$14:$F$92,RAB!$C$14:$C$92,C821)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SUMIFS(RAB!$F$14:$F$92,RAB!$C$14:$C$92,C822)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SUMIFS(RAB!$F$14:$F$92,RAB!$C$14:$C$92,C823)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SUMIFS(RAB!$F$14:$F$92,RAB!$C$14:$C$92,C824)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SUMIFS(RAB!$F$14:$F$92,RAB!$C$14:$C$92,C825)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SUMIFS(RAB!$F$14:$F$92,RAB!$C$14:$C$92,C826)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SUMIFS(RAB!$F$14:$F$92,RAB!$C$14:$C$92,C827)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SUMIFS(RAB!$F$14:$F$92,RAB!$C$14:$C$92,C828)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SUMIFS(RAB!$F$14:$F$92,RAB!$C$14:$C$92,C829)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SUMIFS(RAB!$F$14:$F$92,RAB!$C$14:$C$92,C830)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SUMIFS(RAB!$F$14:$F$92,RAB!$C$14:$C$92,C831)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SUMIFS(RAB!$F$14:$F$92,RAB!$C$14:$C$92,C832)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SUMIFS(RAB!$F$14:$F$92,RAB!$C$14:$C$92,C833)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SUMIFS(RAB!$F$14:$F$92,RAB!$C$14:$C$92,C834)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SUMIFS(RAB!$F$14:$F$92,RAB!$C$14:$C$92,C835)</f>
        <v>35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SUMIFS(RAB!$F$14:$F$92,RAB!$C$14:$C$92,C836)</f>
        <v>173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SUMIFS(RAB!$F$14:$F$92,RAB!$C$14:$C$92,C837)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SUMIFS(RAB!$F$14:$F$92,RAB!$C$14:$C$92,C838)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SUMIFS(RAB!$F$14:$F$92,RAB!$C$14:$C$92,C839)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SUMIFS(RAB!$F$14:$F$92,RAB!$C$14:$C$92,C840)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SUMIFS(RAB!$F$14:$F$92,RAB!$C$14:$C$92,C841)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SUMIFS(RAB!$F$14:$F$92,RAB!$C$14:$C$92,C842)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SUMIFS(RAB!$F$14:$F$92,RAB!$C$14:$C$92,C843)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SUMIFS(RAB!$F$14:$F$92,RAB!$C$14:$C$92,C844)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SUMIFS(RAB!$F$14:$F$92,RAB!$C$14:$C$92,C845)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SUMIFS(RAB!$F$14:$F$92,RAB!$C$14:$C$92,C846)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SUMIFS(RAB!$F$14:$F$92,RAB!$C$14:$C$92,C847)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SUMIFS(RAB!$F$14:$F$92,RAB!$C$14:$C$92,C848)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SUMIFS(RAB!$F$14:$F$92,RAB!$C$14:$C$92,C849)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SUMIFS(RAB!$F$14:$F$92,RAB!$C$14:$C$92,C850)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SUMIFS(RAB!$F$14:$F$92,RAB!$C$14:$C$92,C851)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SUMIFS(RAB!$F$14:$F$92,RAB!$C$14:$C$92,C852)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SUMIFS(RAB!$F$14:$F$92,RAB!$C$14:$C$92,C853)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SUMIFS(RAB!$F$14:$F$92,RAB!$C$14:$C$92,C854)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SUMIFS(RAB!$F$14:$F$92,RAB!$C$14:$C$92,C855)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SUMIFS(RAB!$F$14:$F$92,RAB!$C$14:$C$92,C856)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SUMIFS(RAB!$F$14:$F$92,RAB!$C$14:$C$92,C857)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SUMIFS(RAB!$F$14:$F$92,RAB!$C$14:$C$92,C858)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SUMIFS(RAB!$F$14:$F$92,RAB!$C$14:$C$92,C859)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SUMIFS(RAB!$F$14:$F$92,RAB!$C$14:$C$92,C860)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SUMIFS(RAB!$F$14:$F$92,RAB!$C$14:$C$92,C861)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SUMIFS(RAB!$F$14:$F$92,RAB!$C$14:$C$92,C862)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SUMIFS(RAB!$F$14:$F$92,RAB!$C$14:$C$92,C863)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SUMIFS(RAB!$F$14:$F$92,RAB!$C$14:$C$92,C864)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SUMIFS(RAB!$F$14:$F$92,RAB!$C$14:$C$92,C865)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SUMIFS(RAB!$F$14:$F$92,RAB!$C$14:$C$92,C866)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SUMIFS(RAB!$F$14:$F$92,RAB!$C$14:$C$92,C867)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SUMIFS(RAB!$F$14:$F$92,RAB!$C$14:$C$92,C868)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SUMIFS(RAB!$F$14:$F$92,RAB!$C$14:$C$92,C869)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SUMIFS(RAB!$F$14:$F$92,RAB!$C$14:$C$92,C870)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SUMIFS(RAB!$F$14:$F$92,RAB!$C$14:$C$92,C871)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SUMIFS(RAB!$F$14:$F$92,RAB!$C$14:$C$92,C872)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SUMIFS(RAB!$F$14:$F$92,RAB!$C$14:$C$92,C873)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SUMIFS(RAB!$F$14:$F$92,RAB!$C$14:$C$92,C874)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SUMIFS(RAB!$F$14:$F$92,RAB!$C$14:$C$92,C875)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SUMIFS(RAB!$F$14:$F$92,RAB!$C$14:$C$92,C876)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SUMIFS(RAB!$F$14:$F$92,RAB!$C$14:$C$92,C877)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SUMIFS(RAB!$F$14:$F$92,RAB!$C$14:$C$92,C878)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SUMIFS(RAB!$F$14:$F$92,RAB!$C$14:$C$92,C879)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SUMIFS(RAB!$F$14:$F$92,RAB!$C$14:$C$92,C880)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SUMIFS(RAB!$F$14:$F$92,RAB!$C$14:$C$92,C881)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SUMIFS(RAB!$F$14:$F$92,RAB!$C$14:$C$92,C882)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SUMIFS(RAB!$F$14:$F$92,RAB!$C$14:$C$92,C883)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SUMIFS(RAB!$F$14:$F$92,RAB!$C$14:$C$92,C884)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SUMIFS(RAB!$F$14:$F$92,RAB!$C$14:$C$92,C885)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SUMIFS(RAB!$F$14:$F$92,RAB!$C$14:$C$92,C886)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SUMIFS(RAB!$F$14:$F$92,RAB!$C$14:$C$92,C887)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SUMIFS(RAB!$F$14:$F$92,RAB!$C$14:$C$92,C888)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SUMIFS(RAB!$F$14:$F$92,RAB!$C$14:$C$92,C889)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SUMIFS(RAB!$F$14:$F$92,RAB!$C$14:$C$92,C890)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SUMIFS(RAB!$F$14:$F$92,RAB!$C$14:$C$92,C891)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SUMIFS(RAB!$F$14:$F$92,RAB!$C$14:$C$92,C892)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SUMIFS(RAB!$F$14:$F$92,RAB!$C$14:$C$92,C893)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SUMIFS(RAB!$F$14:$F$92,RAB!$C$14:$C$92,C894)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SUMIFS(RAB!$F$14:$F$92,RAB!$C$14:$C$92,C895)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SUMIFS(RAB!$F$14:$F$92,RAB!$C$14:$C$92,C896)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SUMIFS(RAB!$F$14:$F$92,RAB!$C$14:$C$92,C897)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SUMIFS(RAB!$F$14:$F$92,RAB!$C$14:$C$92,C898)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SUMIFS(RAB!$F$14:$F$92,RAB!$C$14:$C$92,C899)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SUMIFS(RAB!$F$14:$F$92,RAB!$C$14:$C$92,C900)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SUMIFS(RAB!$F$14:$F$92,RAB!$C$14:$C$92,C901)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SUMIFS(RAB!$F$14:$F$92,RAB!$C$14:$C$92,C902)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SUMIFS(RAB!$F$14:$F$92,RAB!$C$14:$C$92,C903)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SUMIFS(RAB!$F$14:$F$92,RAB!$C$14:$C$92,C904)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SUMIFS(RAB!$F$14:$F$92,RAB!$C$14:$C$92,C905)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SUMIFS(RAB!$F$14:$F$92,RAB!$C$14:$C$92,C906)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SUMIFS(RAB!$F$14:$F$92,RAB!$C$14:$C$92,C907)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SUMIFS(RAB!$F$14:$F$92,RAB!$C$14:$C$92,C908)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SUMIFS(RAB!$F$14:$F$92,RAB!$C$14:$C$92,C909)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SUMIFS(RAB!$F$14:$F$92,RAB!$C$14:$C$92,C910)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SUMIFS(RAB!$F$14:$F$92,RAB!$C$14:$C$92,C911)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SUMIFS(RAB!$F$14:$F$92,RAB!$C$14:$C$92,C912)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SUMIFS(RAB!$F$14:$F$92,RAB!$C$14:$C$92,C913)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SUMIFS(RAB!$F$14:$F$92,RAB!$C$14:$C$92,C914)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SUMIFS(RAB!$F$14:$F$92,RAB!$C$14:$C$92,C915)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SUMIFS(RAB!$F$14:$F$92,RAB!$C$14:$C$92,C916)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SUMIFS(RAB!$F$14:$F$92,RAB!$C$14:$C$92,C917)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SUMIFS(RAB!$F$14:$F$92,RAB!$C$14:$C$92,C918)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SUMIFS(RAB!$F$14:$F$92,RAB!$C$14:$C$92,C919)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SUMIFS(RAB!$F$14:$F$92,RAB!$C$14:$C$92,C920)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SUMIFS(RAB!$F$14:$F$92,RAB!$C$14:$C$92,C921)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SUMIFS(RAB!$F$14:$F$92,RAB!$C$14:$C$92,C922)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SUMIFS(RAB!$F$14:$F$92,RAB!$C$14:$C$92,C923)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SUMIFS(RAB!$F$14:$F$92,RAB!$C$14:$C$92,C924)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SUMIFS(RAB!$F$14:$F$92,RAB!$C$14:$C$92,C925)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SUMIFS(RAB!$F$14:$F$92,RAB!$C$14:$C$92,C926)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SUMIFS(RAB!$F$14:$F$92,RAB!$C$14:$C$92,C927)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SUMIFS(RAB!$F$14:$F$92,RAB!$C$14:$C$92,C928)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SUMIFS(RAB!$F$14:$F$92,RAB!$C$14:$C$92,C929)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SUMIFS(RAB!$F$14:$F$92,RAB!$C$14:$C$92,C930)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SUMIFS(RAB!$F$14:$F$92,RAB!$C$14:$C$92,C931)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SUMIFS(RAB!$F$14:$F$92,RAB!$C$14:$C$92,C932)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SUMIFS(RAB!$F$14:$F$92,RAB!$C$14:$C$92,C933)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SUMIFS(RAB!$F$14:$F$92,RAB!$C$14:$C$92,C934)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SUMIFS(RAB!$F$14:$F$92,RAB!$C$14:$C$92,C935)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SUMIFS(RAB!$F$14:$F$92,RAB!$C$14:$C$92,C936)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SUMIFS(RAB!$F$14:$F$92,RAB!$C$14:$C$92,C937)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SUMIFS(RAB!$F$14:$F$92,RAB!$C$14:$C$92,C938)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SUMIFS(RAB!$F$14:$F$92,RAB!$C$14:$C$92,C939)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SUMIFS(RAB!$F$14:$F$92,RAB!$C$14:$C$92,C940)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SUMIFS(RAB!$F$14:$F$92,RAB!$C$14:$C$92,C941)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SUMIFS(RAB!$F$14:$F$92,RAB!$C$14:$C$92,C942)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SUMIFS(RAB!$F$14:$F$92,RAB!$C$14:$C$92,C943)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SUMIFS(RAB!$F$14:$F$92,RAB!$C$14:$C$92,C944)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SUMIFS(RAB!$F$14:$F$92,RAB!$C$14:$C$92,C945)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SUMIFS(RAB!$F$14:$F$92,RAB!$C$14:$C$92,C946)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SUMIFS(RAB!$F$14:$F$92,RAB!$C$14:$C$92,C947)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SUMIFS(RAB!$F$14:$F$92,RAB!$C$14:$C$92,C948)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SUMIFS(RAB!$F$14:$F$92,RAB!$C$14:$C$92,C949)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SUMIFS(RAB!$F$14:$F$92,RAB!$C$14:$C$92,C950)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SUMIFS(RAB!$F$14:$F$92,RAB!$C$14:$C$92,C951)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SUMIFS(RAB!$F$14:$F$92,RAB!$C$14:$C$92,C952)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SUMIFS(RAB!$F$14:$F$92,RAB!$C$14:$C$92,C953)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SUMIFS(RAB!$F$14:$F$92,RAB!$C$14:$C$92,C954)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SUMIFS(RAB!$F$14:$F$92,RAB!$C$14:$C$92,C955)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SUMIFS(RAB!$F$14:$F$92,RAB!$C$14:$C$92,C956)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SUMIFS(RAB!$F$14:$F$92,RAB!$C$14:$C$92,C957)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SUMIFS(RAB!$F$14:$F$92,RAB!$C$14:$C$92,C958)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SUMIFS(RAB!$F$14:$F$92,RAB!$C$14:$C$92,C959)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SUMIFS(RAB!$F$14:$F$92,RAB!$C$14:$C$92,C960)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SUMIFS(RAB!$F$14:$F$92,RAB!$C$14:$C$92,C961)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SUMIFS(RAB!$F$14:$F$92,RAB!$C$14:$C$92,C962)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SUMIFS(RAB!$F$14:$F$92,RAB!$C$14:$C$92,C963)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SUMIFS(RAB!$F$14:$F$92,RAB!$C$14:$C$92,C964)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SUMIFS(RAB!$F$14:$F$92,RAB!$C$14:$C$92,C965)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SUMIFS(RAB!$F$14:$F$92,RAB!$C$14:$C$92,C966)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SUMIFS(RAB!$F$14:$F$92,RAB!$C$14:$C$92,C967)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SUMIFS(RAB!$F$14:$F$92,RAB!$C$14:$C$92,C968)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SUMIFS(RAB!$F$14:$F$92,RAB!$C$14:$C$92,C969)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SUMIFS(RAB!$F$14:$F$92,RAB!$C$14:$C$92,C970)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SUMIFS(RAB!$F$14:$F$92,RAB!$C$14:$C$92,C971)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SUMIFS(RAB!$F$14:$F$92,RAB!$C$14:$C$92,C972)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SUMIFS(RAB!$F$14:$F$92,RAB!$C$14:$C$92,C973)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SUMIFS(RAB!$F$14:$F$92,RAB!$C$14:$C$92,C974)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SUMIFS(RAB!$F$14:$F$92,RAB!$C$14:$C$92,C975)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SUMIFS(RAB!$F$14:$F$92,RAB!$C$14:$C$92,C976)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SUMIFS(RAB!$F$14:$F$92,RAB!$C$14:$C$92,C977)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SUMIFS(RAB!$F$14:$F$92,RAB!$C$14:$C$92,C978)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SUMIFS(RAB!$F$14:$F$92,RAB!$C$14:$C$92,C979)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SUMIFS(RAB!$F$14:$F$92,RAB!$C$14:$C$92,C980)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SUMIFS(RAB!$F$14:$F$92,RAB!$C$14:$C$92,C981)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SUMIFS(RAB!$F$14:$F$92,RAB!$C$14:$C$92,C982)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SUMIFS(RAB!$F$14:$F$92,RAB!$C$14:$C$92,C983)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SUMIFS(RAB!$F$14:$F$92,RAB!$C$14:$C$92,C984)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SUMIFS(RAB!$F$14:$F$92,RAB!$C$14:$C$92,C985)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SUMIFS(RAB!$F$14:$F$92,RAB!$C$14:$C$92,C986)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SUMIFS(RAB!$F$14:$F$92,RAB!$C$14:$C$92,C987)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SUMIFS(RAB!$F$14:$F$92,RAB!$C$14:$C$92,C988)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SUMIFS(RAB!$F$14:$F$92,RAB!$C$14:$C$92,C989)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SUMIFS(RAB!$F$14:$F$92,RAB!$C$14:$C$92,C990)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SUMIFS(RAB!$F$14:$F$92,RAB!$C$14:$C$92,C991)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SUMIFS(RAB!$F$14:$F$92,RAB!$C$14:$C$92,C992)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SUMIFS(RAB!$F$14:$F$92,RAB!$C$14:$C$92,C993)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SUMIFS(RAB!$F$14:$F$92,RAB!$C$14:$C$92,C994)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SUMIFS(RAB!$F$14:$F$92,RAB!$C$14:$C$92,C995)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SUMIFS(RAB!$F$14:$F$92,RAB!$C$14:$C$92,C996)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SUMIFS(RAB!$F$14:$F$92,RAB!$C$14:$C$92,C997)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SUMIFS(RAB!$F$14:$F$92,RAB!$C$14:$C$92,C998)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SUMIFS(RAB!$F$14:$F$92,RAB!$C$14:$C$92,C999)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SUMIFS(RAB!$F$14:$F$92,RAB!$C$14:$C$92,C1000)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SUMIFS(RAB!$F$14:$F$92,RAB!$C$14:$C$92,C1001)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SUMIFS(RAB!$F$14:$F$92,RAB!$C$14:$C$92,C1002)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SUMIFS(RAB!$F$14:$F$92,RAB!$C$14:$C$92,C1003)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SUMIFS(RAB!$F$14:$F$92,RAB!$C$14:$C$92,C1004)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SUMIFS(RAB!$F$14:$F$92,RAB!$C$14:$C$92,C1005)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SUMIFS(RAB!$F$14:$F$92,RAB!$C$14:$C$92,C1006)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SUMIFS(RAB!$F$14:$F$92,RAB!$C$14:$C$92,C1007)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SUMIFS(RAB!$F$14:$F$92,RAB!$C$14:$C$92,C1008)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SUMIFS(RAB!$F$14:$F$92,RAB!$C$14:$C$92,C1009)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SUMIFS(RAB!$F$14:$F$92,RAB!$C$14:$C$92,C1010)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SUMIFS(RAB!$F$14:$F$92,RAB!$C$14:$C$92,C1011)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SUMIFS(RAB!$F$14:$F$92,RAB!$C$14:$C$92,C1012)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SUMIFS(RAB!$F$14:$F$92,RAB!$C$14:$C$92,C1013)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SUMIFS(RAB!$F$14:$F$92,RAB!$C$14:$C$92,C1014)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SUMIFS(RAB!$F$14:$F$92,RAB!$C$14:$C$92,C1015)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SUMIFS(RAB!$F$14:$F$92,RAB!$C$14:$C$92,C1016)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SUMIFS(RAB!$F$14:$F$92,RAB!$C$14:$C$92,C1017)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SUMIFS(RAB!$F$14:$F$92,RAB!$C$14:$C$92,C1018)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SUMIFS(RAB!$F$14:$F$92,RAB!$C$14:$C$92,C1019)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SUMIFS(RAB!$F$14:$F$92,RAB!$C$14:$C$92,C1020)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SUMIFS(RAB!$F$14:$F$92,RAB!$C$14:$C$92,C1021)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SUMIFS(RAB!$F$14:$F$92,RAB!$C$14:$C$92,C1022)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SUMIFS(RAB!$F$14:$F$92,RAB!$C$14:$C$92,C1023)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SUMIFS(RAB!$F$14:$F$92,RAB!$C$14:$C$92,C1024)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SUMIFS(RAB!$F$14:$F$92,RAB!$C$14:$C$92,C1025)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SUMIFS(RAB!$F$14:$F$92,RAB!$C$14:$C$92,C1026)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SUMIFS(RAB!$F$14:$F$92,RAB!$C$14:$C$92,C1027)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SUMIFS(RAB!$F$14:$F$92,RAB!$C$14:$C$92,C1028)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SUMIFS(RAB!$F$14:$F$92,RAB!$C$14:$C$92,C1029)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SUMIFS(RAB!$F$14:$F$92,RAB!$C$14:$C$92,C1030)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SUMIFS(RAB!$F$14:$F$92,RAB!$C$14:$C$92,C1031)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SUMIFS(RAB!$F$14:$F$92,RAB!$C$14:$C$92,C1032)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SUMIFS(RAB!$F$14:$F$92,RAB!$C$14:$C$92,C1033)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SUMIFS(RAB!$F$14:$F$92,RAB!$C$14:$C$92,C1034)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SUMIFS(RAB!$F$14:$F$92,RAB!$C$14:$C$92,C1035)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SUMIFS(RAB!$F$14:$F$92,RAB!$C$14:$C$92,C1036)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SUMIFS(RAB!$F$14:$F$92,RAB!$C$14:$C$92,C1037)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SUMIFS(RAB!$F$14:$F$92,RAB!$C$14:$C$92,C1038)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SUMIFS(RAB!$F$14:$F$92,RAB!$C$14:$C$92,C1039)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SUMIFS(RAB!$F$14:$F$92,RAB!$C$14:$C$92,C1040)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SUMIFS(RAB!$F$14:$F$92,RAB!$C$14:$C$92,C1041)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SUMIFS(RAB!$F$14:$F$92,RAB!$C$14:$C$92,C1042)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SUMIFS(RAB!$F$14:$F$92,RAB!$C$14:$C$92,C1043)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SUMIFS(RAB!$F$14:$F$92,RAB!$C$14:$C$92,C1044)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SUMIFS(RAB!$F$14:$F$92,RAB!$C$14:$C$92,C1045)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SUMIFS(RAB!$F$14:$F$92,RAB!$C$14:$C$92,C1046)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SUMIFS(RAB!$F$14:$F$92,RAB!$C$14:$C$92,C1047)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SUMIFS(RAB!$F$14:$F$92,RAB!$C$14:$C$92,C1048)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SUMIFS(RAB!$F$14:$F$92,RAB!$C$14:$C$92,C1049)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SUMIFS(RAB!$F$14:$F$92,RAB!$C$14:$C$92,C1050)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SUMIFS(RAB!$F$14:$F$92,RAB!$C$14:$C$92,C1051)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SUMIFS(RAB!$F$14:$F$92,RAB!$C$14:$C$92,C1052)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SUMIFS(RAB!$F$14:$F$92,RAB!$C$14:$C$92,C1053)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SUMIFS(RAB!$F$14:$F$92,RAB!$C$14:$C$92,C1054)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SUMIFS(RAB!$F$14:$F$92,RAB!$C$14:$C$92,C1055)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SUMIFS(RAB!$F$14:$F$92,RAB!$C$14:$C$92,C1056)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SUMIFS(RAB!$F$14:$F$92,RAB!$C$14:$C$92,C1057)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SUMIFS(RAB!$F$14:$F$92,RAB!$C$14:$C$92,C1058)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SUMIFS(RAB!$F$14:$F$92,RAB!$C$14:$C$92,C1059)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SUMIFS(RAB!$F$14:$F$92,RAB!$C$14:$C$92,C1060)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SUMIFS(RAB!$F$14:$F$92,RAB!$C$14:$C$92,C1061)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SUMIFS(RAB!$F$14:$F$92,RAB!$C$14:$C$92,C1062)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SUMIFS(RAB!$F$14:$F$92,RAB!$C$14:$C$92,C1063)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SUMIFS(RAB!$F$14:$F$92,RAB!$C$14:$C$92,C1064)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SUMIFS(RAB!$F$14:$F$92,RAB!$C$14:$C$92,C1065)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SUMIFS(RAB!$F$14:$F$92,RAB!$C$14:$C$92,C1066)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SUMIFS(RAB!$F$14:$F$92,RAB!$C$14:$C$92,C1067)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SUMIFS(RAB!$F$14:$F$92,RAB!$C$14:$C$92,C1068)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SUMIFS(RAB!$F$14:$F$92,RAB!$C$14:$C$92,C1069)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SUMIFS(RAB!$F$14:$F$92,RAB!$C$14:$C$92,C1070)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SUMIFS(RAB!$F$14:$F$92,RAB!$C$14:$C$92,C1071)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SUMIFS(RAB!$F$14:$F$92,RAB!$C$14:$C$92,C1072)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SUMIFS(RAB!$F$14:$F$92,RAB!$C$14:$C$92,C1073)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SUMIFS(RAB!$F$14:$F$92,RAB!$C$14:$C$92,C1074)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SUMIFS(RAB!$F$14:$F$92,RAB!$C$14:$C$92,C1075)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SUMIFS(RAB!$F$14:$F$92,RAB!$C$14:$C$92,C1076)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SUMIFS(RAB!$F$14:$F$92,RAB!$C$14:$C$92,C1077)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SUMIFS(RAB!$F$14:$F$92,RAB!$C$14:$C$92,C1078)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SUMIFS(RAB!$F$14:$F$92,RAB!$C$14:$C$92,C1079)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SUMIFS(RAB!$F$14:$F$92,RAB!$C$14:$C$92,C1080)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SUMIFS(RAB!$F$14:$F$92,RAB!$C$14:$C$92,C1081)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SUMIFS(RAB!$F$14:$F$92,RAB!$C$14:$C$92,C1082)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SUMIFS(RAB!$F$14:$F$92,RAB!$C$14:$C$92,C1083)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SUMIFS(RAB!$F$14:$F$92,RAB!$C$14:$C$92,C1084)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SUMIFS(RAB!$F$14:$F$92,RAB!$C$14:$C$92,C1085)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SUMIFS(RAB!$F$14:$F$92,RAB!$C$14:$C$92,C1086)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SUMIFS(RAB!$F$14:$F$92,RAB!$C$14:$C$92,C1087)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SUMIFS(RAB!$F$14:$F$92,RAB!$C$14:$C$92,C1088)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SUMIFS(RAB!$F$14:$F$92,RAB!$C$14:$C$92,C1089)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SUMIFS(RAB!$F$14:$F$92,RAB!$C$14:$C$92,C1090)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SUMIFS(RAB!$F$14:$F$92,RAB!$C$14:$C$92,C1091)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SUMIFS(RAB!$F$14:$F$92,RAB!$C$14:$C$92,C1092)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SUMIFS(RAB!$F$14:$F$92,RAB!$C$14:$C$92,C1093)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SUMIFS(RAB!$F$14:$F$92,RAB!$C$14:$C$92,C1094)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SUMIFS(RAB!$F$14:$F$92,RAB!$C$14:$C$92,C1095)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SUMIFS(RAB!$F$14:$F$92,RAB!$C$14:$C$92,C1096)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SUMIFS(RAB!$F$14:$F$92,RAB!$C$14:$C$92,C1097)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SUMIFS(RAB!$F$14:$F$92,RAB!$C$14:$C$92,C1098)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SUMIFS(RAB!$F$14:$F$92,RAB!$C$14:$C$92,C1099)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SUMIFS(RAB!$F$14:$F$92,RAB!$C$14:$C$92,C1100)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SUMIFS(RAB!$F$14:$F$92,RAB!$C$14:$C$92,C1101)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SUMIFS(RAB!$F$14:$F$92,RAB!$C$14:$C$92,C1102)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SUMIFS(RAB!$F$14:$F$92,RAB!$C$14:$C$92,C1103)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SUMIFS(RAB!$F$14:$F$92,RAB!$C$14:$C$92,C1104)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SUMIFS(RAB!$F$14:$F$92,RAB!$C$14:$C$92,C1105)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SUMIFS(RAB!$F$14:$F$92,RAB!$C$14:$C$92,C1106)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SUMIFS(RAB!$F$14:$F$92,RAB!$C$14:$C$92,C1107)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SUMIFS(RAB!$F$14:$F$92,RAB!$C$14:$C$92,C1108)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SUMIFS(RAB!$F$14:$F$92,RAB!$C$14:$C$92,C1109)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SUMIFS(RAB!$F$14:$F$92,RAB!$C$14:$C$92,C1110)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SUMIFS(RAB!$F$14:$F$92,RAB!$C$14:$C$92,C1111)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SUMIFS(RAB!$F$14:$F$92,RAB!$C$14:$C$92,C1112)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SUMIFS(RAB!$F$14:$F$92,RAB!$C$14:$C$92,C1113)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SUMIFS(RAB!$F$14:$F$92,RAB!$C$14:$C$92,C1114)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SUMIFS(RAB!$F$14:$F$92,RAB!$C$14:$C$92,C1115)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SUMIFS(RAB!$F$14:$F$92,RAB!$C$14:$C$92,C1116)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SUMIFS(RAB!$F$14:$F$92,RAB!$C$14:$C$92,C1117)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SUMIFS(RAB!$F$14:$F$92,RAB!$C$14:$C$92,C1118)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SUMIFS(RAB!$F$14:$F$92,RAB!$C$14:$C$92,C1119)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SUMIFS(RAB!$F$14:$F$92,RAB!$C$14:$C$92,C1120)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SUMIFS(RAB!$F$14:$F$92,RAB!$C$14:$C$92,C1121)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SUMIFS(RAB!$F$14:$F$92,RAB!$C$14:$C$92,C1122)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SUMIFS(RAB!$F$14:$F$92,RAB!$C$14:$C$92,C1123)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SUMIFS(RAB!$F$14:$F$92,RAB!$C$14:$C$92,C1124)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SUMIFS(RAB!$F$14:$F$92,RAB!$C$14:$C$92,C1125)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SUMIFS(RAB!$F$14:$F$92,RAB!$C$14:$C$92,C1126)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SUMIFS(RAB!$F$14:$F$92,RAB!$C$14:$C$92,C1127)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SUMIFS(RAB!$F$14:$F$92,RAB!$C$14:$C$92,C1128)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SUMIFS(RAB!$F$14:$F$92,RAB!$C$14:$C$92,C1129)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SUMIFS(RAB!$F$14:$F$92,RAB!$C$14:$C$92,C1130)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SUMIFS(RAB!$F$14:$F$92,RAB!$C$14:$C$92,C1131)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SUMIFS(RAB!$F$14:$F$92,RAB!$C$14:$C$92,C1132)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SUMIFS(RAB!$F$14:$F$92,RAB!$C$14:$C$92,C1133)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SUMIFS(RAB!$F$14:$F$92,RAB!$C$14:$C$92,C1134)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SUMIFS(RAB!$F$14:$F$92,RAB!$C$14:$C$92,C1135)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SUMIFS(RAB!$F$14:$F$92,RAB!$C$14:$C$92,C1136)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SUMIFS(RAB!$F$14:$F$92,RAB!$C$14:$C$92,C1137)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SUMIFS(RAB!$F$14:$F$92,RAB!$C$14:$C$92,C1138)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SUMIFS(RAB!$F$14:$F$92,RAB!$C$14:$C$92,C1139)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SUMIFS(RAB!$F$14:$F$92,RAB!$C$14:$C$92,C1140)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SUMIFS(RAB!$F$14:$F$92,RAB!$C$14:$C$92,C1141)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SUMIFS(RAB!$F$14:$F$92,RAB!$C$14:$C$92,C1142)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SUMIFS(RAB!$F$14:$F$92,RAB!$C$14:$C$92,C1143)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SUMIFS(RAB!$F$14:$F$92,RAB!$C$14:$C$92,C1144)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SUMIFS(RAB!$F$14:$F$92,RAB!$C$14:$C$92,C1145)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SUMIFS(RAB!$F$14:$F$92,RAB!$C$14:$C$92,C1146)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SUMIFS(RAB!$F$14:$F$92,RAB!$C$14:$C$92,C1147)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SUMIFS(RAB!$F$14:$F$92,RAB!$C$14:$C$92,C1148)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SUMIFS(RAB!$F$14:$F$92,RAB!$C$14:$C$92,C1149)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SUMIFS(RAB!$F$14:$F$92,RAB!$C$14:$C$92,C1150)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SUMIFS(RAB!$F$14:$F$92,RAB!$C$14:$C$92,C1151)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SUMIFS(RAB!$F$14:$F$92,RAB!$C$14:$C$92,C1152)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SUMIFS(RAB!$F$14:$F$92,RAB!$C$14:$C$92,C1153)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SUMIFS(RAB!$F$14:$F$92,RAB!$C$14:$C$92,C1154)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SUMIFS(RAB!$F$14:$F$92,RAB!$C$14:$C$92,C1155)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SUMIFS(RAB!$F$14:$F$92,RAB!$C$14:$C$92,C1156)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SUMIFS(RAB!$F$14:$F$92,RAB!$C$14:$C$92,C1157)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SUMIFS(RAB!$F$14:$F$92,RAB!$C$14:$C$92,C1158)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SUMIFS(RAB!$F$14:$F$92,RAB!$C$14:$C$92,C1159)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SUMIFS(RAB!$F$14:$F$92,RAB!$C$14:$C$92,C1160)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SUMIFS(RAB!$F$14:$F$92,RAB!$C$14:$C$92,C1161)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SUMIFS(RAB!$F$14:$F$92,RAB!$C$14:$C$92,C1162)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SUMIFS(RAB!$F$14:$F$92,RAB!$C$14:$C$92,C1163)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SUMIFS(RAB!$F$14:$F$92,RAB!$C$14:$C$92,C1164)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SUMIFS(RAB!$F$14:$F$92,RAB!$C$14:$C$92,C1165)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SUMIFS(RAB!$F$14:$F$92,RAB!$C$14:$C$92,C1166)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SUMIFS(RAB!$F$14:$F$92,RAB!$C$14:$C$92,C1167)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SUMIFS(RAB!$F$14:$F$92,RAB!$C$14:$C$92,C1168)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SUMIFS(RAB!$F$14:$F$92,RAB!$C$14:$C$92,C1169)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SUMIFS(RAB!$F$14:$F$92,RAB!$C$14:$C$92,C1170)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SUMIFS(RAB!$F$14:$F$92,RAB!$C$14:$C$92,C1171)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SUMIFS(RAB!$F$14:$F$92,RAB!$C$14:$C$92,C1172)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SUMIFS(RAB!$F$14:$F$92,RAB!$C$14:$C$92,C1173)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SUMIFS(RAB!$F$14:$F$92,RAB!$C$14:$C$92,C1174)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SUMIFS(RAB!$F$14:$F$92,RAB!$C$14:$C$92,C1175)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SUMIFS(RAB!$F$14:$F$92,RAB!$C$14:$C$92,C1176)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SUMIFS(RAB!$F$14:$F$92,RAB!$C$14:$C$92,C1177)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SUMIFS(RAB!$F$14:$F$92,RAB!$C$14:$C$92,C1178)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SUMIFS(RAB!$F$14:$F$92,RAB!$C$14:$C$92,C1179)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SUMIFS(RAB!$F$14:$F$92,RAB!$C$14:$C$92,C1180)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SUMIFS(RAB!$F$14:$F$92,RAB!$C$14:$C$92,C1181)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SUMIFS(RAB!$F$14:$F$92,RAB!$C$14:$C$92,C1182)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SUMIFS(RAB!$F$14:$F$92,RAB!$C$14:$C$92,C1183)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SUMIFS(RAB!$F$14:$F$92,RAB!$C$14:$C$92,C1184)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SUMIFS(RAB!$F$14:$F$92,RAB!$C$14:$C$92,C1185)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SUMIFS(RAB!$F$14:$F$92,RAB!$C$14:$C$92,C1186)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SUMIFS(RAB!$F$14:$F$92,RAB!$C$14:$C$92,C1187)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SUMIFS(RAB!$F$14:$F$92,RAB!$C$14:$C$92,C1188)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SUMIFS(RAB!$F$14:$F$92,RAB!$C$14:$C$92,C1189)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SUMIFS(RAB!$F$14:$F$92,RAB!$C$14:$C$92,C1190)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SUMIFS(RAB!$F$14:$F$92,RAB!$C$14:$C$92,C1191)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SUMIFS(RAB!$F$14:$F$92,RAB!$C$14:$C$92,C1192)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SUMIFS(RAB!$F$14:$F$92,RAB!$C$14:$C$92,C1193)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SUMIFS(RAB!$F$14:$F$92,RAB!$C$14:$C$92,C1194)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SUMIFS(RAB!$F$14:$F$92,RAB!$C$14:$C$92,C1195)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SUMIFS(RAB!$F$14:$F$92,RAB!$C$14:$C$92,C1196)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SUMIFS(RAB!$F$14:$F$92,RAB!$C$14:$C$92,C1197)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SUMIFS(RAB!$F$14:$F$92,RAB!$C$14:$C$92,C1198)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SUMIFS(RAB!$F$14:$F$92,RAB!$C$14:$C$92,C1199)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SUMIFS(RAB!$F$14:$F$92,RAB!$C$14:$C$92,C1200)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SUMIFS(RAB!$F$14:$F$92,RAB!$C$14:$C$92,C1201)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SUMIFS(RAB!$F$14:$F$92,RAB!$C$14:$C$92,C1202)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SUMIFS(RAB!$F$14:$F$92,RAB!$C$14:$C$92,C1203)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SUMIFS(RAB!$F$14:$F$92,RAB!$C$14:$C$92,C1204)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SUMIFS(RAB!$F$14:$F$92,RAB!$C$14:$C$92,C1205)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SUMIFS(RAB!$F$14:$F$92,RAB!$C$14:$C$92,C1206)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SUMIFS(RAB!$F$14:$F$92,RAB!$C$14:$C$92,C1207)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SUMIFS(RAB!$F$14:$F$92,RAB!$C$14:$C$92,C1208)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SUMIFS(RAB!$F$14:$F$92,RAB!$C$14:$C$92,C1209)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SUMIFS(RAB!$F$14:$F$92,RAB!$C$14:$C$92,C1210)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SUMIFS(RAB!$F$14:$F$92,RAB!$C$14:$C$92,C1211)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SUMIFS(RAB!$F$14:$F$92,RAB!$C$14:$C$92,C1212)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SUMIFS(RAB!$F$14:$F$92,RAB!$C$14:$C$92,C1213)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SUMIFS(RAB!$F$14:$F$92,RAB!$C$14:$C$92,C1214)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SUMIFS(RAB!$F$14:$F$92,RAB!$C$14:$C$92,C1215)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SUMIFS(RAB!$F$14:$F$92,RAB!$C$14:$C$92,C1216)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SUMIFS(RAB!$F$14:$F$92,RAB!$C$14:$C$92,C1217)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SUMIFS(RAB!$F$14:$F$92,RAB!$C$14:$C$92,C1218)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SUMIFS(RAB!$F$14:$F$92,RAB!$C$14:$C$92,C1219)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SUMIFS(RAB!$F$14:$F$92,RAB!$C$14:$C$92,C1220)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SUMIFS(RAB!$F$14:$F$92,RAB!$C$14:$C$92,C1221)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SUMIFS(RAB!$F$14:$F$92,RAB!$C$14:$C$92,C1222)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SUMIFS(RAB!$F$14:$F$92,RAB!$C$14:$C$92,C1223)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SUMIFS(RAB!$F$14:$F$92,RAB!$C$14:$C$92,C1224)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SUMIFS(RAB!$F$14:$F$92,RAB!$C$14:$C$92,C1225)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SUMIFS(RAB!$F$14:$F$92,RAB!$C$14:$C$92,C1226)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SUMIFS(RAB!$F$14:$F$92,RAB!$C$14:$C$92,C1227)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SUMIFS(RAB!$F$14:$F$92,RAB!$C$14:$C$92,C1228)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SUMIFS(RAB!$F$14:$F$92,RAB!$C$14:$C$92,C1229)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SUMIFS(RAB!$F$14:$F$92,RAB!$C$14:$C$92,C1230)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SUMIFS(RAB!$F$14:$F$92,RAB!$C$14:$C$92,C1231)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SUMIFS(RAB!$F$14:$F$92,RAB!$C$14:$C$92,C1232)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SUMIFS(RAB!$F$14:$F$92,RAB!$C$14:$C$92,C1233)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SUMIFS(RAB!$F$14:$F$92,RAB!$C$14:$C$92,C1234)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SUMIFS(RAB!$F$14:$F$92,RAB!$C$14:$C$92,C1235)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SUMIFS(RAB!$F$14:$F$92,RAB!$C$14:$C$92,C1236)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SUMIFS(RAB!$F$14:$F$92,RAB!$C$14:$C$92,C1237)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SUMIFS(RAB!$F$14:$F$92,RAB!$C$14:$C$92,C1238)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SUMIFS(RAB!$F$14:$F$92,RAB!$C$14:$C$92,C1239)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SUMIFS(RAB!$F$14:$F$92,RAB!$C$14:$C$92,C1240)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SUMIFS(RAB!$F$14:$F$92,RAB!$C$14:$C$92,C1241)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SUMIFS(RAB!$F$14:$F$92,RAB!$C$14:$C$92,C1242)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SUMIFS(RAB!$F$14:$F$92,RAB!$C$14:$C$92,C1243)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SUMIFS(RAB!$F$14:$F$92,RAB!$C$14:$C$92,C1244)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SUMIFS(RAB!$F$14:$F$92,RAB!$C$14:$C$92,C1245)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SUMIFS(RAB!$F$14:$F$92,RAB!$C$14:$C$92,C1246)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SUMIFS(RAB!$F$14:$F$92,RAB!$C$14:$C$92,C1247)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SUMIFS(RAB!$F$14:$F$92,RAB!$C$14:$C$92,C1248)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SUMIFS(RAB!$F$14:$F$92,RAB!$C$14:$C$92,C1249)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SUMIFS(RAB!$F$14:$F$92,RAB!$C$14:$C$92,C1250)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SUMIFS(RAB!$F$14:$F$92,RAB!$C$14:$C$92,C1251)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SUMIFS(RAB!$F$14:$F$92,RAB!$C$14:$C$92,C1252)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SUMIFS(RAB!$F$14:$F$92,RAB!$C$14:$C$92,C1253)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SUMIFS(RAB!$F$14:$F$92,RAB!$C$14:$C$92,C1254)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SUMIFS(RAB!$F$14:$F$92,RAB!$C$14:$C$92,C1255)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SUMIFS(RAB!$F$14:$F$92,RAB!$C$14:$C$92,C1256)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SUMIFS(RAB!$F$14:$F$92,RAB!$C$14:$C$92,C1257)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SUMIFS(RAB!$F$14:$F$92,RAB!$C$14:$C$92,C1258)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SUMIFS(RAB!$F$14:$F$92,RAB!$C$14:$C$92,C1259)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SUMIFS(RAB!$F$14:$F$92,RAB!$C$14:$C$92,C1260)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SUMIFS(RAB!$F$14:$F$92,RAB!$C$14:$C$92,C1261)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SUMIFS(RAB!$F$14:$F$92,RAB!$C$14:$C$92,C1262)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SUMIFS(RAB!$F$14:$F$92,RAB!$C$14:$C$92,C1263)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SUMIFS(RAB!$F$14:$F$92,RAB!$C$14:$C$92,C1264)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SUMIFS(RAB!$F$14:$F$92,RAB!$C$14:$C$92,C1265)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SUMIFS(RAB!$F$14:$F$92,RAB!$C$14:$C$92,C1266)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SUMIFS(RAB!$F$14:$F$92,RAB!$C$14:$C$92,C1267)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SUMIFS(RAB!$F$14:$F$92,RAB!$C$14:$C$92,C1268)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SUMIFS(RAB!$F$14:$F$92,RAB!$C$14:$C$92,C1269)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SUMIFS(RAB!$F$14:$F$92,RAB!$C$14:$C$92,C1270)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SUMIFS(RAB!$F$14:$F$92,RAB!$C$14:$C$92,C1271)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SUMIFS(RAB!$F$14:$F$92,RAB!$C$14:$C$92,C1272)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SUMIFS(RAB!$F$14:$F$92,RAB!$C$14:$C$92,C1273)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SUMIFS(RAB!$F$14:$F$92,RAB!$C$14:$C$92,C1274)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SUMIFS(RAB!$F$14:$F$92,RAB!$C$14:$C$92,C1275)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SUMIFS(RAB!$F$14:$F$92,RAB!$C$14:$C$92,C1276)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SUMIFS(RAB!$F$14:$F$92,RAB!$C$14:$C$92,C1277)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SUMIFS(RAB!$F$14:$F$92,RAB!$C$14:$C$92,C1278)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SUMIFS(RAB!$F$14:$F$92,RAB!$C$14:$C$92,C1279)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SUMIFS(RAB!$F$14:$F$92,RAB!$C$14:$C$92,C1280)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SUMIFS(RAB!$F$14:$F$92,RAB!$C$14:$C$92,C1281)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SUMIFS(RAB!$F$14:$F$92,RAB!$C$14:$C$92,C1282)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SUMIFS(RAB!$F$14:$F$92,RAB!$C$14:$C$92,C1283)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SUMIFS(RAB!$F$14:$F$92,RAB!$C$14:$C$92,C1284)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SUMIFS(RAB!$F$14:$F$92,RAB!$C$14:$C$92,C1285)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SUMIFS(RAB!$F$14:$F$92,RAB!$C$14:$C$92,C1286)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SUMIFS(RAB!$F$14:$F$92,RAB!$C$14:$C$92,C1287)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SUMIFS(RAB!$F$14:$F$92,RAB!$C$14:$C$92,C1288)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SUMIFS(RAB!$F$14:$F$92,RAB!$C$14:$C$92,C1289)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SUMIFS(RAB!$F$14:$F$92,RAB!$C$14:$C$92,C1290)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SUMIFS(RAB!$F$14:$F$92,RAB!$C$14:$C$92,C1291)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SUMIFS(RAB!$F$14:$F$92,RAB!$C$14:$C$92,C1292)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SUMIFS(RAB!$F$14:$F$92,RAB!$C$14:$C$92,C1293)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SUMIFS(RAB!$F$14:$F$92,RAB!$C$14:$C$92,C1294)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SUMIFS(RAB!$F$14:$F$92,RAB!$C$14:$C$92,C1295)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SUMIFS(RAB!$F$14:$F$92,RAB!$C$14:$C$92,C1296)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SUMIFS(RAB!$F$14:$F$92,RAB!$C$14:$C$92,C1297)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SUMIFS(RAB!$F$14:$F$92,RAB!$C$14:$C$92,C1298)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SUMIFS(RAB!$F$14:$F$92,RAB!$C$14:$C$92,C1299)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SUMIFS(RAB!$F$14:$F$92,RAB!$C$14:$C$92,C1300)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SUMIFS(RAB!$F$14:$F$92,RAB!$C$14:$C$92,C1301)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SUMIFS(RAB!$F$14:$F$92,RAB!$C$14:$C$92,C1302)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SUMIFS(RAB!$F$14:$F$92,RAB!$C$14:$C$92,C1303)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SUMIFS(RAB!$F$14:$F$92,RAB!$C$14:$C$92,C1304)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SUMIFS(RAB!$F$14:$F$92,RAB!$C$14:$C$92,C1305)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SUMIFS(RAB!$F$14:$F$92,RAB!$C$14:$C$92,C1306)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SUMIFS(RAB!$F$14:$F$92,RAB!$C$14:$C$92,C1307)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SUMIFS(RAB!$F$14:$F$92,RAB!$C$14:$C$92,C1308)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SUMIFS(RAB!$F$14:$F$92,RAB!$C$14:$C$92,C1309)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SUMIFS(RAB!$F$14:$F$92,RAB!$C$14:$C$92,C1310)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SUMIFS(RAB!$F$14:$F$92,RAB!$C$14:$C$92,C1311)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SUMIFS(RAB!$F$14:$F$92,RAB!$C$14:$C$92,C1312)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SUMIFS(RAB!$F$14:$F$92,RAB!$C$14:$C$92,C1313)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SUMIFS(RAB!$F$14:$F$92,RAB!$C$14:$C$92,C1314)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SUMIFS(RAB!$F$14:$F$92,RAB!$C$14:$C$92,C1315)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SUMIFS(RAB!$F$14:$F$92,RAB!$C$14:$C$92,C1316)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SUMIFS(RAB!$F$14:$F$92,RAB!$C$14:$C$92,C1317)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SUMIFS(RAB!$F$14:$F$92,RAB!$C$14:$C$92,C1318)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SUMIFS(RAB!$F$14:$F$92,RAB!$C$14:$C$92,C1319)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SUMIFS(RAB!$F$14:$F$92,RAB!$C$14:$C$92,C1320)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1127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KANTOR DIPENDA (DINAS PERTANIAN DAN PANGAN)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JLSULTAN HADIWIJAYA, MANGUNJIWAN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463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SUMIFS(RAB!$F$14:$F$92,RAB!$C$14:$C$92,'REKAP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SUMIFS(RAB!$F$14:$F$92,RAB!$C$14:$C$92,'REKAP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SUMIFS(RAB!$F$14:$F$92,RAB!$C$14:$C$92,'REKAP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SUMIFS(RAB!$F$14:$F$92,RAB!$C$14:$C$92,'REKAP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SUMIFS(RAB!$F$14:$F$92,RAB!$C$14:$C$92,'REKAP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SUMIFS(RAB!$F$14:$F$92,RAB!$C$14:$C$92,'REKAP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SUMIFS(RAB!$F$14:$F$92,RAB!$C$14:$C$92,'REKAP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SUMIFS(RAB!$F$14:$F$92,RAB!$C$14:$C$92,'REKAP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SUMIFS(RAB!$F$14:$F$92,RAB!$C$14:$C$92,'REKAP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SUMIFS(RAB!$F$14:$F$92,RAB!$C$14:$C$92,'REKAP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SUMIFS(RAB!$F$14:$F$92,RAB!$C$14:$C$92,'REKAP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SUMIFS(RAB!$F$14:$F$92,RAB!$C$14:$C$92,'REKAP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SUMIFS(RAB!$F$14:$F$92,RAB!$C$14:$C$92,'REKAP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SUMIFS(RAB!$F$14:$F$92,RAB!$C$14:$C$92,'REKAP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SUMIFS(RAB!$F$14:$F$92,RAB!$C$14:$C$92,'REKAP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SUMIFS(RAB!$F$14:$F$92,RAB!$C$14:$C$92,'REKAP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SUMIFS(RAB!$F$14:$F$92,RAB!$C$14:$C$92,'REKAP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SUMIFS(RAB!$F$14:$F$92,RAB!$C$14:$C$92,'REKAP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SUMIFS(RAB!$F$14:$F$92,RAB!$C$14:$C$92,'REKAP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SUMIFS(RAB!$F$14:$F$92,RAB!$C$14:$C$92,'REKAP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1034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KANTOR DIPENDA (DINAS PERTANIAN DAN PANGAN)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JLSULTAN HADIWIJAYA, MANGUNJIWAN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35</v>
      </c>
      <c r="G22" s="41">
        <f ca="1">IF(ISERROR(OFFSET('HARGA SATUAN'!$I$6,MATCH(C22,'HARGA SATUAN'!$C$7:$C$1492,0),0)),"",OFFSET('HARGA SATUAN'!$I$6,MATCH(C22,'HARGA SATUAN'!$C$7:$C$1492,0),0))</f>
        <v>30400</v>
      </c>
      <c r="H22" s="42">
        <f t="shared" ca="1" si="1"/>
        <v>1064000</v>
      </c>
      <c r="I22" s="42">
        <f t="shared" ca="1" si="2"/>
        <v>0</v>
      </c>
      <c r="J22" s="42">
        <f t="shared" ca="1" si="3"/>
        <v>0</v>
      </c>
      <c r="K22" s="43">
        <f t="shared" ca="1" si="0"/>
        <v>1064000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173</v>
      </c>
      <c r="G23" s="41">
        <f ca="1">IF(ISERROR(OFFSET('HARGA SATUAN'!$I$6,MATCH(C23,'HARGA SATUAN'!$C$7:$C$1492,0),0)),"",OFFSET('HARGA SATUAN'!$I$6,MATCH(C23,'HARGA SATUAN'!$C$7:$C$1492,0),0))</f>
        <v>54500</v>
      </c>
      <c r="H23" s="42">
        <f t="shared" ca="1" si="1"/>
        <v>9428500</v>
      </c>
      <c r="I23" s="42">
        <f t="shared" ca="1" si="2"/>
        <v>0</v>
      </c>
      <c r="J23" s="42">
        <f t="shared" ca="1" si="3"/>
        <v>0</v>
      </c>
      <c r="K23" s="43">
        <f t="shared" ca="1" si="0"/>
        <v>9428500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63092250</v>
      </c>
      <c r="I168" s="55">
        <f ca="1">SUM(I14:I167)</f>
        <v>0</v>
      </c>
      <c r="J168" s="55">
        <f ca="1">SUM(J14:J167)</f>
        <v>0</v>
      </c>
      <c r="K168" s="55">
        <f ca="1">SUM(K14:K167)</f>
        <v>63092250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6309225</v>
      </c>
      <c r="I169" s="60">
        <f ca="1">I168*0.1</f>
        <v>0</v>
      </c>
      <c r="J169" s="60">
        <f ca="1">J168*0.1</f>
        <v>0</v>
      </c>
      <c r="K169" s="60">
        <f ca="1">K168*0.1</f>
        <v>6309225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463</v>
      </c>
      <c r="D170" s="542"/>
      <c r="E170" s="542"/>
      <c r="F170" s="542"/>
      <c r="G170" s="61" t="s">
        <v>9</v>
      </c>
      <c r="H170" s="78">
        <f ca="1">SUM(H168:H169)</f>
        <v>69401475</v>
      </c>
      <c r="I170" s="78">
        <f ca="1">SUM(I168:I169)</f>
        <v>0</v>
      </c>
      <c r="J170" s="61">
        <f ca="1">SUM(J168:J169)</f>
        <v>0</v>
      </c>
      <c r="K170" s="61">
        <f ca="1">SUM(K168:K169)</f>
        <v>69401475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SUMIFS(RAB!$F$14:$F$92,RAB!$C$14:$C$92,C224)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SUMIFS(RAB!$F$14:$F$92,RAB!$C$14:$C$92,C225)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SUMIFS(RAB!$F$14:$F$92,RAB!$C$14:$C$92,C226)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SUMIFS(RAB!$F$14:$F$92,RAB!$C$14:$C$92,C227)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SUMIFS(RAB!$F$14:$F$92,RAB!$C$14:$C$92,C228)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SUMIFS(RAB!$F$14:$F$92,RAB!$C$14:$C$92,C229)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SUMIFS(RAB!$F$14:$F$92,RAB!$C$14:$C$92,C230)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SUMIFS(RAB!$F$14:$F$92,RAB!$C$14:$C$92,C231)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SUMIFS(RAB!$F$14:$F$92,RAB!$C$14:$C$92,C232)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SUMIFS(RAB!$F$14:$F$92,RAB!$C$14:$C$92,C233)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SUMIFS(RAB!$F$14:$F$92,RAB!$C$14:$C$92,C234)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SUMIFS(RAB!$F$14:$F$92,RAB!$C$14:$C$92,C235)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SUMIFS(RAB!$F$14:$F$92,RAB!$C$14:$C$92,C236)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SUMIFS(RAB!$F$14:$F$92,RAB!$C$14:$C$92,C237)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SUMIFS(RAB!$F$14:$F$92,RAB!$C$14:$C$92,C238)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SUMIFS(RAB!$F$14:$F$92,RAB!$C$14:$C$92,C239)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SUMIFS(RAB!$F$14:$F$92,RAB!$C$14:$C$92,C240)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SUMIFS(RAB!$F$14:$F$92,RAB!$C$14:$C$92,C241)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SUMIFS(RAB!$F$14:$F$92,RAB!$C$14:$C$92,C242)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SUMIFS(RAB!$F$14:$F$92,RAB!$C$14:$C$92,C243)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SUMIFS(RAB!$F$14:$F$92,RAB!$C$14:$C$92,C244)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SUMIFS(RAB!$F$14:$F$92,RAB!$C$14:$C$92,C245)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SUMIFS(RAB!$F$14:$F$92,RAB!$C$14:$C$92,C246)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SUMIFS(RAB!$F$14:$F$92,RAB!$C$14:$C$92,C247)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SUMIFS(RAB!$F$14:$F$92,RAB!$C$14:$C$92,C248)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SUMIFS(RAB!$F$14:$F$92,RAB!$C$14:$C$92,C249)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SUMIFS(RAB!$F$14:$F$92,RAB!$C$14:$C$92,C250)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SUMIFS(RAB!$F$14:$F$92,RAB!$C$14:$C$92,C251)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SUMIFS(RAB!$F$14:$F$92,RAB!$C$14:$C$92,C252)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SUMIFS(RAB!$F$14:$F$92,RAB!$C$14:$C$92,C253)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SUMIFS(RAB!$F$14:$F$92,RAB!$C$14:$C$92,C254)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SUMIFS(RAB!$F$14:$F$92,RAB!$C$14:$C$92,C255)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SUMIFS(RAB!$F$14:$F$92,RAB!$C$14:$C$92,C256)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SUMIFS(RAB!$F$14:$F$92,RAB!$C$14:$C$92,C257)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SUMIFS(RAB!$F$14:$F$92,RAB!$C$14:$C$92,C258)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SUMIFS(RAB!$F$14:$F$92,RAB!$C$14:$C$92,C259)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SUMIFS(RAB!$F$14:$F$92,RAB!$C$14:$C$92,C260)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SUMIFS(RAB!$F$14:$F$92,RAB!$C$14:$C$92,C261)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SUMIFS(RAB!$F$14:$F$92,RAB!$C$14:$C$92,C262)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SUMIFS(RAB!$F$14:$F$92,RAB!$C$14:$C$92,C263)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SUMIFS(RAB!$F$14:$F$92,RAB!$C$14:$C$92,C264)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SUMIFS(RAB!$F$14:$F$92,RAB!$C$14:$C$92,C265)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SUMIFS(RAB!$F$14:$F$92,RAB!$C$14:$C$92,C266)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SUMIFS(RAB!$F$14:$F$92,RAB!$C$14:$C$92,C267)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SUMIFS(RAB!$F$14:$F$92,RAB!$C$14:$C$92,C268)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SUMIFS(RAB!$F$14:$F$92,RAB!$C$14:$C$92,C269)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SUMIFS(RAB!$F$14:$F$92,RAB!$C$14:$C$92,C270)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SUMIFS(RAB!$F$14:$F$92,RAB!$C$14:$C$92,C271)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SUMIFS(RAB!$F$14:$F$92,RAB!$C$14:$C$92,C272)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SUMIFS(RAB!$F$14:$F$92,RAB!$C$14:$C$92,C273)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SUMIFS(RAB!$F$14:$F$92,RAB!$C$14:$C$92,C274)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SUMIFS(RAB!$F$14:$F$92,RAB!$C$14:$C$92,C275)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SUMIFS(RAB!$F$14:$F$92,RAB!$C$14:$C$92,C276)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SUMIFS(RAB!$F$14:$F$92,RAB!$C$14:$C$92,C277)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SUMIFS(RAB!$F$14:$F$92,RAB!$C$14:$C$92,C278)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SUMIFS(RAB!$F$14:$F$92,RAB!$C$14:$C$92,C279)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SUMIFS(RAB!$F$14:$F$92,RAB!$C$14:$C$92,C280)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SUMIFS(RAB!$F$14:$F$92,RAB!$C$14:$C$92,C281)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SUMIFS(RAB!$F$14:$F$92,RAB!$C$14:$C$92,C282)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SUMIFS(RAB!$F$14:$F$92,RAB!$C$14:$C$92,C283)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SUMIFS(RAB!$F$14:$F$92,RAB!$C$14:$C$92,C284)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SUMIFS(RAB!$F$14:$F$92,RAB!$C$14:$C$92,C285)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SUMIFS(RAB!$F$14:$F$92,RAB!$C$14:$C$92,C286)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SUMIFS(RAB!$F$14:$F$92,RAB!$C$14:$C$92,C287)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SUMIFS(RAB!$F$14:$F$92,RAB!$C$14:$C$92,C288)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SUMIFS(RAB!$F$14:$F$92,RAB!$C$14:$C$92,C289)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SUMIFS(RAB!$F$14:$F$92,RAB!$C$14:$C$92,C290)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SUMIFS(RAB!$F$14:$F$92,RAB!$C$14:$C$92,C291)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SUMIFS(RAB!$F$14:$F$92,RAB!$C$14:$C$92,C292)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SUMIFS(RAB!$F$14:$F$92,RAB!$C$14:$C$92,C293)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SUMIFS(RAB!$F$14:$F$92,RAB!$C$14:$C$92,C294)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SUMIFS(RAB!$F$14:$F$92,RAB!$C$14:$C$92,C295)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SUMIFS(RAB!$F$14:$F$92,RAB!$C$14:$C$92,C296)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SUMIFS(RAB!$F$14:$F$92,RAB!$C$14:$C$92,C297)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SUMIFS(RAB!$F$14:$F$92,RAB!$C$14:$C$92,C298)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SUMIFS(RAB!$F$14:$F$92,RAB!$C$14:$C$92,C299)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SUMIFS(RAB!$F$14:$F$92,RAB!$C$14:$C$92,C300)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SUMIFS(RAB!$F$14:$F$92,RAB!$C$14:$C$92,C301)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SUMIFS(RAB!$F$14:$F$92,RAB!$C$14:$C$92,C302)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SUMIFS(RAB!$F$14:$F$92,RAB!$C$14:$C$92,C303)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SUMIFS(RAB!$F$14:$F$92,RAB!$C$14:$C$92,C304)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SUMIFS(RAB!$F$14:$F$92,RAB!$C$14:$C$92,C305)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SUMIFS(RAB!$F$14:$F$92,RAB!$C$14:$C$92,C306)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SUMIFS(RAB!$F$14:$F$92,RAB!$C$14:$C$92,C307)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SUMIFS(RAB!$F$14:$F$92,RAB!$C$14:$C$92,C308)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SUMIFS(RAB!$F$14:$F$92,RAB!$C$14:$C$92,C309)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SUMIFS(RAB!$F$14:$F$92,RAB!$C$14:$C$92,C310)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SUMIFS(RAB!$F$14:$F$92,RAB!$C$14:$C$92,C311)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SUMIFS(RAB!$F$14:$F$92,RAB!$C$14:$C$92,C312)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SUMIFS(RAB!$F$14:$F$92,RAB!$C$14:$C$92,C313)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SUMIFS(RAB!$F$14:$F$92,RAB!$C$14:$C$92,C314)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SUMIFS(RAB!$F$14:$F$92,RAB!$C$14:$C$92,C315)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SUMIFS(RAB!$F$14:$F$92,RAB!$C$14:$C$92,C316)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SUMIFS(RAB!$F$14:$F$92,RAB!$C$14:$C$92,C317)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SUMIFS(RAB!$F$14:$F$92,RAB!$C$14:$C$92,C318)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SUMIFS(RAB!$F$14:$F$92,RAB!$C$14:$C$92,C319)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SUMIFS(RAB!$F$14:$F$92,RAB!$C$14:$C$92,C320)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SUMIFS(RAB!$F$14:$F$92,RAB!$C$14:$C$92,C321)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SUMIFS(RAB!$F$14:$F$92,RAB!$C$14:$C$92,C322)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SUMIFS(RAB!$F$14:$F$92,RAB!$C$14:$C$92,C323)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SUMIFS(RAB!$F$14:$F$92,RAB!$C$14:$C$92,C324)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SUMIFS(RAB!$F$14:$F$92,RAB!$C$14:$C$92,C325)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SUMIFS(RAB!$F$14:$F$92,RAB!$C$14:$C$92,C326)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SUMIFS(RAB!$F$14:$F$92,RAB!$C$14:$C$92,C327)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SUMIFS(RAB!$F$14:$F$92,RAB!$C$14:$C$92,C328)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SUMIFS(RAB!$F$14:$F$92,RAB!$C$14:$C$92,C329)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SUMIFS(RAB!$F$14:$F$92,RAB!$C$14:$C$92,C330)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SUMIFS(RAB!$F$14:$F$92,RAB!$C$14:$C$92,C331)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SUMIFS(RAB!$F$14:$F$92,RAB!$C$14:$C$92,C332)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SUMIFS(RAB!$F$14:$F$92,RAB!$C$14:$C$92,C333)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SUMIFS(RAB!$F$14:$F$92,RAB!$C$14:$C$92,C334)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SUMIFS(RAB!$F$14:$F$92,RAB!$C$14:$C$92,C335)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SUMIFS(RAB!$F$14:$F$92,RAB!$C$14:$C$92,C336)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SUMIFS(RAB!$F$14:$F$92,RAB!$C$14:$C$92,C337)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SUMIFS(RAB!$F$14:$F$92,RAB!$C$14:$C$92,C338)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SUMIFS(RAB!$F$14:$F$92,RAB!$C$14:$C$92,C339)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SUMIFS(RAB!$F$14:$F$92,RAB!$C$14:$C$92,C340)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SUMIFS(RAB!$F$14:$F$92,RAB!$C$14:$C$92,C341)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SUMIFS(RAB!$F$14:$F$92,RAB!$C$14:$C$92,C342)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SUMIFS(RAB!$F$14:$F$92,RAB!$C$14:$C$92,C343)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SUMIFS(RAB!$F$14:$F$92,RAB!$C$14:$C$92,C344)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SUMIFS(RAB!$F$14:$F$92,RAB!$C$14:$C$92,C345)</f>
        <v>35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SUMIFS(RAB!$F$14:$F$92,RAB!$C$14:$C$92,C346)</f>
        <v>173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SUMIFS(RAB!$F$14:$F$92,RAB!$C$14:$C$92,C347)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SUMIFS(RAB!$F$14:$F$92,RAB!$C$14:$C$92,C348)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SUMIFS(RAB!$F$14:$F$92,RAB!$C$14:$C$92,C349)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SUMIFS(RAB!$F$14:$F$92,RAB!$C$14:$C$92,C350)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SUMIFS(RAB!$F$14:$F$92,RAB!$C$14:$C$92,C351)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SUMIFS(RAB!$F$14:$F$92,RAB!$C$14:$C$92,C352)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SUMIFS(RAB!$F$14:$F$92,RAB!$C$14:$C$92,C353)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SUMIFS(RAB!$F$14:$F$92,RAB!$C$14:$C$92,C354)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SUMIFS(RAB!$F$14:$F$92,RAB!$C$14:$C$92,C355)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SUMIFS(RAB!$F$14:$F$92,RAB!$C$14:$C$92,C356)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SUMIFS(RAB!$F$14:$F$92,RAB!$C$14:$C$92,C357)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SUMIFS(RAB!$F$14:$F$92,RAB!$C$14:$C$92,C358)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SUMIFS(RAB!$F$14:$F$92,RAB!$C$14:$C$92,C359)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SUMIFS(RAB!$F$14:$F$92,RAB!$C$14:$C$92,C360)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SUMIFS(RAB!$F$14:$F$92,RAB!$C$14:$C$92,C361)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SUMIFS(RAB!$F$14:$F$92,RAB!$C$14:$C$92,C362)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SUMIFS(RAB!$F$14:$F$92,RAB!$C$14:$C$92,C363)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SUMIFS(RAB!$F$14:$F$92,RAB!$C$14:$C$92,C364)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SUMIFS(RAB!$F$14:$F$92,RAB!$C$14:$C$92,C365)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SUMIFS(RAB!$F$14:$F$92,RAB!$C$14:$C$92,C366)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SUMIFS(RAB!$F$14:$F$92,RAB!$C$14:$C$92,C367)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SUMIFS(RAB!$F$14:$F$92,RAB!$C$14:$C$92,C368)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SUMIFS(RAB!$F$14:$F$92,RAB!$C$14:$C$92,C369)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SUMIFS(RAB!$F$14:$F$92,RAB!$C$14:$C$92,C370)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SUMIFS(RAB!$F$14:$F$92,RAB!$C$14:$C$92,C371)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SUMIFS(RAB!$F$14:$F$92,RAB!$C$14:$C$92,C372)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SUMIFS(RAB!$F$14:$F$92,RAB!$C$14:$C$92,C373)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29" sqref="C22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1609</v>
      </c>
      <c r="G4" s="108" t="s">
        <v>1608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7" t="s">
        <v>1454</v>
      </c>
      <c r="C2" s="587"/>
      <c r="D2" s="587"/>
      <c r="E2" s="58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2" t="s">
        <v>1532</v>
      </c>
      <c r="C4" s="593"/>
      <c r="D4" s="593"/>
      <c r="E4" s="594"/>
      <c r="F4" s="442"/>
      <c r="G4" s="442"/>
      <c r="H4" s="443"/>
      <c r="I4" s="556" t="s">
        <v>1533</v>
      </c>
      <c r="J4" s="557"/>
      <c r="K4" s="557"/>
      <c r="L4" s="558"/>
    </row>
    <row r="5" spans="1:12" ht="34.5" customHeight="1">
      <c r="A5" s="204"/>
      <c r="B5" s="445" t="s">
        <v>1379</v>
      </c>
      <c r="C5" s="277" t="s">
        <v>9</v>
      </c>
      <c r="D5" s="588" t="str">
        <f>DATA!D14</f>
        <v>KANTOR DIPENDA (DINAS PERTANIAN DAN PANGAN)</v>
      </c>
      <c r="E5" s="589"/>
      <c r="F5" s="208"/>
      <c r="G5" s="208"/>
      <c r="I5" s="446" t="s">
        <v>1379</v>
      </c>
      <c r="J5" s="277" t="s">
        <v>9</v>
      </c>
      <c r="K5" s="559" t="str">
        <f>D5</f>
        <v>KANTOR DIPENDA (DINAS PERTANIAN DAN PANGAN)</v>
      </c>
      <c r="L5" s="560"/>
    </row>
    <row r="6" spans="1:12" ht="31.5" customHeight="1">
      <c r="A6" s="204"/>
      <c r="B6" s="445" t="s">
        <v>1529</v>
      </c>
      <c r="C6" s="277" t="s">
        <v>9</v>
      </c>
      <c r="D6" s="597">
        <f>DATA!D17*1000</f>
        <v>22000</v>
      </c>
      <c r="E6" s="598"/>
      <c r="F6" s="208"/>
      <c r="G6" s="208"/>
      <c r="I6" s="446" t="s">
        <v>1530</v>
      </c>
      <c r="J6" s="277" t="s">
        <v>9</v>
      </c>
      <c r="K6" s="561">
        <f>DATA!D20*1000</f>
        <v>33000</v>
      </c>
      <c r="L6" s="562"/>
    </row>
    <row r="7" spans="1:12" ht="30.75" customHeight="1">
      <c r="A7" s="204"/>
      <c r="B7" s="445" t="s">
        <v>1441</v>
      </c>
      <c r="C7" s="277" t="s">
        <v>9</v>
      </c>
      <c r="D7" s="595">
        <f>DATA!D18</f>
        <v>3</v>
      </c>
      <c r="E7" s="596"/>
      <c r="F7" s="444" t="s">
        <v>1453</v>
      </c>
      <c r="I7" s="446" t="s">
        <v>1441</v>
      </c>
      <c r="J7" s="277" t="s">
        <v>9</v>
      </c>
      <c r="K7" s="563">
        <f>DATA!D21</f>
        <v>3</v>
      </c>
      <c r="L7" s="564"/>
    </row>
    <row r="8" spans="1:12" ht="51" customHeight="1">
      <c r="A8" s="204"/>
      <c r="B8" s="445" t="s">
        <v>1442</v>
      </c>
      <c r="C8" s="277" t="s">
        <v>9</v>
      </c>
      <c r="D8" s="595">
        <f>DATA!D19</f>
        <v>380</v>
      </c>
      <c r="E8" s="596"/>
      <c r="F8" s="444" t="s">
        <v>1453</v>
      </c>
      <c r="G8" s="439">
        <v>220</v>
      </c>
      <c r="I8" s="446" t="s">
        <v>1442</v>
      </c>
      <c r="J8" s="277" t="s">
        <v>9</v>
      </c>
      <c r="K8" s="563">
        <f>DATA!D22</f>
        <v>380</v>
      </c>
      <c r="L8" s="564"/>
    </row>
    <row r="9" spans="1:12" ht="30" customHeight="1" thickBot="1">
      <c r="A9" s="204"/>
      <c r="B9" s="451" t="s">
        <v>1541</v>
      </c>
      <c r="C9" s="441" t="s">
        <v>9</v>
      </c>
      <c r="D9" s="590">
        <f>IF(D7=1,D6/(380/3^0.5),(D6/(380*3^0.5)))</f>
        <v>33.425541900452018</v>
      </c>
      <c r="E9" s="591"/>
      <c r="F9" s="207"/>
      <c r="G9" s="440">
        <v>380</v>
      </c>
      <c r="I9" s="452" t="s">
        <v>1541</v>
      </c>
      <c r="J9" s="441" t="s">
        <v>9</v>
      </c>
      <c r="K9" s="567">
        <f>IF(K7=1,K6/(380/3^0.5),(K6/(380*3^0.5)))</f>
        <v>50.138312850678034</v>
      </c>
      <c r="L9" s="568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99"/>
      <c r="E12" s="600"/>
      <c r="F12" s="208"/>
      <c r="G12" s="208"/>
      <c r="I12" s="468" t="s">
        <v>1534</v>
      </c>
      <c r="J12" s="469" t="s">
        <v>9</v>
      </c>
      <c r="K12" s="599"/>
      <c r="L12" s="600"/>
    </row>
    <row r="13" spans="1:12" ht="31.5" customHeight="1">
      <c r="A13" s="204"/>
      <c r="B13" s="476" t="s">
        <v>1380</v>
      </c>
      <c r="C13" s="456" t="s">
        <v>9</v>
      </c>
      <c r="D13" s="565"/>
      <c r="E13" s="566"/>
      <c r="F13" s="208"/>
      <c r="G13" s="208"/>
      <c r="I13" s="470" t="s">
        <v>1380</v>
      </c>
      <c r="J13" s="456" t="s">
        <v>9</v>
      </c>
      <c r="K13" s="565"/>
      <c r="L13" s="566"/>
    </row>
    <row r="14" spans="1:12" ht="30.75" customHeight="1">
      <c r="A14" s="204"/>
      <c r="B14" s="476" t="s">
        <v>1535</v>
      </c>
      <c r="C14" s="456" t="s">
        <v>9</v>
      </c>
      <c r="D14" s="569"/>
      <c r="E14" s="570"/>
      <c r="F14" s="444" t="s">
        <v>1453</v>
      </c>
      <c r="G14" s="448">
        <v>50</v>
      </c>
      <c r="I14" s="470" t="s">
        <v>1535</v>
      </c>
      <c r="J14" s="456" t="s">
        <v>9</v>
      </c>
      <c r="K14" s="571"/>
      <c r="L14" s="572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73">
        <v>0</v>
      </c>
      <c r="E16" s="574"/>
      <c r="F16" s="444"/>
      <c r="G16" s="448">
        <v>160</v>
      </c>
      <c r="I16" s="470" t="s">
        <v>1537</v>
      </c>
      <c r="J16" s="456" t="s">
        <v>9</v>
      </c>
      <c r="K16" s="577">
        <f>K9</f>
        <v>50.138312850678034</v>
      </c>
      <c r="L16" s="578"/>
    </row>
    <row r="17" spans="1:12" ht="34.5" customHeight="1">
      <c r="A17" s="204"/>
      <c r="B17" s="476" t="s">
        <v>1538</v>
      </c>
      <c r="C17" s="456" t="s">
        <v>9</v>
      </c>
      <c r="D17" s="575">
        <f>IF(D15=1,D14/(20/3^0.5),(D14/(20*3^0.5)))</f>
        <v>0</v>
      </c>
      <c r="E17" s="576"/>
      <c r="F17" s="444" t="s">
        <v>1453</v>
      </c>
      <c r="G17" s="449">
        <v>200</v>
      </c>
      <c r="I17" s="470" t="s">
        <v>1538</v>
      </c>
      <c r="J17" s="456" t="s">
        <v>9</v>
      </c>
      <c r="K17" s="581">
        <f>IF(K15=1,K14/(20/3^0.5),(K14/(20*3^0.5)))</f>
        <v>0</v>
      </c>
      <c r="L17" s="582"/>
    </row>
    <row r="18" spans="1:12" ht="34.5" customHeight="1">
      <c r="A18" s="204"/>
      <c r="B18" s="476" t="s">
        <v>1539</v>
      </c>
      <c r="C18" s="456" t="s">
        <v>9</v>
      </c>
      <c r="D18" s="575">
        <f>IF(D15=1,D14/(380/3^0.5),(D14/(380*3^0.5)))*1000</f>
        <v>0</v>
      </c>
      <c r="E18" s="576"/>
      <c r="F18" s="444" t="s">
        <v>1453</v>
      </c>
      <c r="G18" s="449">
        <v>250</v>
      </c>
      <c r="I18" s="470" t="s">
        <v>1539</v>
      </c>
      <c r="J18" s="456" t="s">
        <v>9</v>
      </c>
      <c r="K18" s="581">
        <f>IF(K15=1,K14/(380/3^0.5),(K14/(380*3^0.5)))*1000</f>
        <v>0</v>
      </c>
      <c r="L18" s="582"/>
    </row>
    <row r="19" spans="1:12" ht="30" customHeight="1">
      <c r="A19" s="204"/>
      <c r="B19" s="477" t="s">
        <v>1531</v>
      </c>
      <c r="C19" s="455" t="s">
        <v>9</v>
      </c>
      <c r="D19" s="575">
        <f>IF(D15=1,D14/(380/3^0.5),(D14/(380*3^0.5)))</f>
        <v>0</v>
      </c>
      <c r="E19" s="576"/>
      <c r="F19" s="207"/>
      <c r="G19" s="440"/>
      <c r="I19" s="472" t="s">
        <v>1531</v>
      </c>
      <c r="J19" s="455" t="s">
        <v>9</v>
      </c>
      <c r="K19" s="581">
        <f>IF(K15=1,K14/(380/3^0.5),(K14/(380*3^0.5)))</f>
        <v>0</v>
      </c>
      <c r="L19" s="582"/>
    </row>
    <row r="20" spans="1:12" ht="30" customHeight="1" thickBot="1">
      <c r="A20" s="204"/>
      <c r="B20" s="478" t="s">
        <v>1540</v>
      </c>
      <c r="C20" s="474" t="s">
        <v>9</v>
      </c>
      <c r="D20" s="601" t="e">
        <f>D16/D18</f>
        <v>#DIV/0!</v>
      </c>
      <c r="E20" s="602"/>
      <c r="F20" s="207"/>
      <c r="G20" s="440"/>
      <c r="I20" s="473" t="s">
        <v>1531</v>
      </c>
      <c r="J20" s="474" t="s">
        <v>9</v>
      </c>
      <c r="K20" s="579" t="e">
        <f>K16/K18</f>
        <v>#DIV/0!</v>
      </c>
      <c r="L20" s="580"/>
    </row>
    <row r="21" spans="1:12" ht="9.75" customHeight="1">
      <c r="A21" s="204"/>
      <c r="B21" s="463" t="s">
        <v>1540</v>
      </c>
      <c r="C21" s="464" t="s">
        <v>9</v>
      </c>
      <c r="D21" s="586">
        <v>1</v>
      </c>
      <c r="E21" s="586"/>
      <c r="F21" s="465"/>
      <c r="G21" s="466"/>
      <c r="H21" s="467"/>
      <c r="I21" s="463" t="s">
        <v>1531</v>
      </c>
      <c r="J21" s="464" t="s">
        <v>9</v>
      </c>
      <c r="K21" s="586">
        <v>1</v>
      </c>
      <c r="L21" s="586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83"/>
      <c r="C24" s="584"/>
      <c r="D24" s="584"/>
      <c r="E24" s="585"/>
      <c r="I24" s="583"/>
      <c r="J24" s="584"/>
      <c r="K24" s="584"/>
      <c r="L24" s="585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J15" sqref="J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3"/>
      <c r="C1" s="603"/>
      <c r="D1" s="60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RAB!K98</f>
        <v>83590064.040000007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1671801.2808000001</v>
      </c>
    </row>
    <row r="12" spans="2:11" ht="9" customHeight="1">
      <c r="B12" s="604"/>
      <c r="C12" s="604"/>
      <c r="D12" s="604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1625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1626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22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3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380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33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1" t="s">
        <v>1357</v>
      </c>
      <c r="C3" s="611"/>
      <c r="D3" s="611"/>
      <c r="E3" s="611"/>
      <c r="F3" s="305" t="str">
        <f>DATA!D14</f>
        <v>KANTOR DIPENDA (DINAS PERTANIAN DAN PANGAN)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5" t="s">
        <v>1349</v>
      </c>
      <c r="C5" s="605" t="s">
        <v>1358</v>
      </c>
      <c r="D5" s="610" t="s">
        <v>1359</v>
      </c>
      <c r="E5" s="610" t="s">
        <v>1360</v>
      </c>
      <c r="F5" s="605" t="s">
        <v>1361</v>
      </c>
      <c r="G5" s="605"/>
      <c r="H5" s="605"/>
      <c r="I5" s="605"/>
      <c r="J5" s="605"/>
      <c r="K5" s="605" t="s">
        <v>1362</v>
      </c>
      <c r="L5" s="605"/>
      <c r="M5" s="307"/>
      <c r="N5" s="608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06" t="s">
        <v>1367</v>
      </c>
      <c r="U5" s="310"/>
    </row>
    <row r="6" spans="1:21" ht="20.100000000000001" customHeight="1">
      <c r="B6" s="605"/>
      <c r="C6" s="605"/>
      <c r="D6" s="605"/>
      <c r="E6" s="60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9"/>
      <c r="O6" s="605"/>
      <c r="P6" s="605"/>
      <c r="Q6" s="605"/>
      <c r="R6" s="308"/>
      <c r="S6" s="309"/>
      <c r="T6" s="605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83.590064040000001</v>
      </c>
      <c r="G7" s="318">
        <f ca="1">DATA!$D$11/1000000</f>
        <v>1.6718012808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89.16384818595499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-73.419504185954992</v>
      </c>
      <c r="O7" s="314">
        <v>1</v>
      </c>
      <c r="P7" s="316">
        <f ca="1">O7*N7</f>
        <v>-73.419504185954992</v>
      </c>
      <c r="Q7" s="316">
        <f ca="1">P7</f>
        <v>-73.419504185954992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1.6718012808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7.5247755785324895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0.10324042146751022</v>
      </c>
      <c r="O8" s="315">
        <f>1/(1+'[93]Asumsi I'!$C$3)^(KKF!A8)</f>
        <v>0.89285714285714279</v>
      </c>
      <c r="P8" s="316">
        <f ca="1">O8*N8</f>
        <v>9.217894773884841E-2</v>
      </c>
      <c r="Q8" s="316">
        <f ca="1">Q7+P8</f>
        <v>-73.327325238216147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1.6718012808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7.5247755785324895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0.10324042146751022</v>
      </c>
      <c r="O9" s="322">
        <f>1/(1+'[93]Asumsi I'!$C$3)^(KKF!A9)</f>
        <v>0.79719387755102034</v>
      </c>
      <c r="P9" s="316">
        <f t="shared" ref="P9:P32" ca="1" si="7">O9*N9</f>
        <v>8.2302631909686078E-2</v>
      </c>
      <c r="Q9" s="316">
        <f ca="1">Q8+P9</f>
        <v>-73.245022606306463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1.6718012808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7.5247755785324895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0.10324042146751022</v>
      </c>
      <c r="O10" s="315">
        <f>1/(1+'[93]Asumsi I'!$C$3)^(KKF!A10)</f>
        <v>0.71178024781341087</v>
      </c>
      <c r="P10" s="316">
        <f t="shared" ca="1" si="7"/>
        <v>7.3484492776505414E-2</v>
      </c>
      <c r="Q10" s="316">
        <f t="shared" ref="Q10:Q30" ca="1" si="9">Q9+P10</f>
        <v>-73.171538113529962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1.6718012808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7.5247755785324895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0.10324042146751022</v>
      </c>
      <c r="O11" s="315">
        <f>1/(1+'[93]Asumsi I'!$C$3)^(KKF!A11)</f>
        <v>0.63551807840483121</v>
      </c>
      <c r="P11" s="316">
        <f t="shared" ca="1" si="7"/>
        <v>6.5611154264736987E-2</v>
      </c>
      <c r="Q11" s="316">
        <f t="shared" ca="1" si="9"/>
        <v>-73.105926959265219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1.6718012808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7.5247755785324895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0.10324042146751022</v>
      </c>
      <c r="O12" s="315">
        <f>1/(1+'[93]Asumsi I'!$C$3)^(KKF!A12)</f>
        <v>0.56742685571859919</v>
      </c>
      <c r="P12" s="316">
        <f t="shared" ca="1" si="7"/>
        <v>5.8581387736372295E-2</v>
      </c>
      <c r="Q12" s="316">
        <f t="shared" ca="1" si="9"/>
        <v>-73.047345571528851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1.6718012808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7.5247755785324895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0.10324042146751022</v>
      </c>
      <c r="O13" s="315">
        <f>1/(1+'[93]Asumsi I'!$C$3)^(KKF!A13)</f>
        <v>0.50663112117732068</v>
      </c>
      <c r="P13" s="316">
        <f t="shared" ca="1" si="7"/>
        <v>5.2304810478903833E-2</v>
      </c>
      <c r="Q13" s="316">
        <f t="shared" ca="1" si="9"/>
        <v>-72.99504076104995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1.6718012808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7.5247755785324895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0.10324042146751022</v>
      </c>
      <c r="O14" s="315">
        <f>1/(1+'[93]Asumsi I'!$C$3)^(KKF!A14)</f>
        <v>0.45234921533689343</v>
      </c>
      <c r="P14" s="316">
        <f t="shared" ca="1" si="7"/>
        <v>4.6700723641878418E-2</v>
      </c>
      <c r="Q14" s="316">
        <f t="shared" ca="1" si="9"/>
        <v>-72.948340037408073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1.6718012808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7.5247755785324895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0.10324042146751022</v>
      </c>
      <c r="O15" s="315">
        <f>1/(1+'[93]Asumsi I'!$C$3)^(KKF!A15)</f>
        <v>0.4038832279793691</v>
      </c>
      <c r="P15" s="316">
        <f t="shared" ca="1" si="7"/>
        <v>4.169707468024858E-2</v>
      </c>
      <c r="Q15" s="316">
        <f t="shared" ca="1" si="9"/>
        <v>-72.90664296272783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1.6718012808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7.5247755785324895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0.10324042146751022</v>
      </c>
      <c r="O16" s="315">
        <f>1/(1+'[93]Asumsi I'!$C$3)^(KKF!A16)</f>
        <v>0.36061002498157957</v>
      </c>
      <c r="P16" s="316">
        <f t="shared" ca="1" si="7"/>
        <v>3.7229530964507665E-2</v>
      </c>
      <c r="Q16" s="316">
        <f t="shared" ca="1" si="9"/>
        <v>-72.86941343176332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1.6718012808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7.5247755785324895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0.10324042146751022</v>
      </c>
      <c r="O17" s="315">
        <f>1/(1+'[93]Asumsi I'!$C$3)^(KKF!A17)</f>
        <v>0.32197323659069599</v>
      </c>
      <c r="P17" s="316">
        <f t="shared" ca="1" si="7"/>
        <v>3.3240652646881835E-2</v>
      </c>
      <c r="Q17" s="316">
        <f t="shared" ca="1" si="9"/>
        <v>-72.836172779116438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1.6718012808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7.5247755785324895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0.10324042146751022</v>
      </c>
      <c r="O18" s="315">
        <f>1/(1+'[93]Asumsi I'!$C$3)^(KKF!A18)</f>
        <v>0.28747610409883567</v>
      </c>
      <c r="P18" s="316">
        <f t="shared" ca="1" si="7"/>
        <v>2.9679154149001637E-2</v>
      </c>
      <c r="Q18" s="316">
        <f t="shared" ca="1" si="9"/>
        <v>-72.80649362496743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1.6718012808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7.5247755785324895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0.10324042146751022</v>
      </c>
      <c r="O19" s="315">
        <f>1/(1+'[93]Asumsi I'!$C$3)^(KKF!A19)</f>
        <v>0.25667509294538904</v>
      </c>
      <c r="P19" s="316">
        <f t="shared" ca="1" si="7"/>
        <v>2.6499244775894326E-2</v>
      </c>
      <c r="Q19" s="316">
        <f t="shared" ca="1" si="9"/>
        <v>-72.779994380191539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1.6718012808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7.5247755785324895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0.10324042146751022</v>
      </c>
      <c r="O20" s="315">
        <f>1/(1+'[93]Asumsi I'!$C$3)^(KKF!A20)</f>
        <v>0.22917419012981158</v>
      </c>
      <c r="P20" s="316">
        <f t="shared" ca="1" si="7"/>
        <v>2.3660039978477067E-2</v>
      </c>
      <c r="Q20" s="316">
        <f t="shared" ca="1" si="9"/>
        <v>-72.756334340213058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1.6718012808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7.5247755785324895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0.10324042146751022</v>
      </c>
      <c r="O21" s="315">
        <f>1/(1+'[93]Asumsi I'!$C$3)^(KKF!A21)</f>
        <v>0.20461981261590317</v>
      </c>
      <c r="P21" s="316">
        <f t="shared" ca="1" si="7"/>
        <v>2.1125035695068808E-2</v>
      </c>
      <c r="Q21" s="316">
        <f t="shared" ca="1" si="9"/>
        <v>-72.735209304517994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1.6718012808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7.5247755785324895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0.10324042146751022</v>
      </c>
      <c r="O22" s="315">
        <f>1/(1+'[93]Asumsi I'!$C$3)^(KKF!A22)</f>
        <v>0.18269626126419927</v>
      </c>
      <c r="P22" s="316">
        <f t="shared" ca="1" si="7"/>
        <v>1.8861639013454296E-2</v>
      </c>
      <c r="Q22" s="316">
        <f t="shared" ca="1" si="9"/>
        <v>-72.716347665504543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1.6718012808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7.5247755785324895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0.10324042146751022</v>
      </c>
      <c r="O23" s="315">
        <f>1/(1+'[93]Asumsi I'!$C$3)^(KKF!A23)</f>
        <v>0.16312166184303503</v>
      </c>
      <c r="P23" s="316">
        <f t="shared" ca="1" si="7"/>
        <v>1.6840749119155618E-2</v>
      </c>
      <c r="Q23" s="316">
        <f t="shared" ca="1" si="9"/>
        <v>-72.699506916385388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1.6718012808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7.5247755785324895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0.10324042146751022</v>
      </c>
      <c r="O24" s="315">
        <f>1/(1+'[93]Asumsi I'!$C$3)^(KKF!A24)</f>
        <v>0.14564434093128129</v>
      </c>
      <c r="P24" s="316">
        <f t="shared" ca="1" si="7"/>
        <v>1.5036383142103231E-2</v>
      </c>
      <c r="Q24" s="316">
        <f t="shared" ca="1" si="9"/>
        <v>-72.684470533243285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1.6718012808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7.5247755785324895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0.10324042146751022</v>
      </c>
      <c r="O25" s="315">
        <f>1/(1+'[93]Asumsi I'!$C$3)^(KKF!A25)</f>
        <v>0.13003959011721541</v>
      </c>
      <c r="P25" s="316">
        <f t="shared" ca="1" si="7"/>
        <v>1.3425342091163597E-2</v>
      </c>
      <c r="Q25" s="316">
        <f t="shared" ca="1" si="9"/>
        <v>-72.671045191152118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1.6718012808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7.5247755785324895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0.10324042146751022</v>
      </c>
      <c r="O26" s="315">
        <f>1/(1+'[93]Asumsi I'!$C$3)^(KKF!A26)</f>
        <v>0.1161067768903709</v>
      </c>
      <c r="P26" s="316">
        <f t="shared" ca="1" si="7"/>
        <v>1.1986912581396067E-2</v>
      </c>
      <c r="Q26" s="316">
        <f t="shared" ca="1" si="9"/>
        <v>-72.659058278570726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1.6718012808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7.5247755785324895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0.10324042146751022</v>
      </c>
      <c r="O27" s="315">
        <f>1/(1+'[93]Asumsi I'!$C$3)^(KKF!A27)</f>
        <v>0.1036667650806883</v>
      </c>
      <c r="P27" s="316">
        <f t="shared" ca="1" si="7"/>
        <v>1.0702600519103631E-2</v>
      </c>
      <c r="Q27" s="316">
        <f t="shared" ca="1" si="9"/>
        <v>-72.648355678051615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1.6718012808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7.5247755785324895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0.10324042146751022</v>
      </c>
      <c r="O28" s="315">
        <f>1/(1+'[93]Asumsi I'!$C$3)^(KKF!A28)</f>
        <v>9.2559611679185971E-2</v>
      </c>
      <c r="P28" s="316">
        <f t="shared" ca="1" si="7"/>
        <v>9.555893320628242E-3</v>
      </c>
      <c r="Q28" s="316">
        <f t="shared" ca="1" si="9"/>
        <v>-72.638799784730992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1.6718012808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7.5247755785324895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0.10324042146751022</v>
      </c>
      <c r="O29" s="315">
        <f>1/(1+'[93]Asumsi I'!$C$3)^(KKF!A29)</f>
        <v>8.2642510427844609E-2</v>
      </c>
      <c r="P29" s="316">
        <f t="shared" ca="1" si="7"/>
        <v>8.5320476077037858E-3</v>
      </c>
      <c r="Q29" s="316">
        <f t="shared" ca="1" si="9"/>
        <v>-72.63026773712329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1.6718012808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7.5247755785324895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0.10324042146751022</v>
      </c>
      <c r="O30" s="315">
        <f>1/(1+'[93]Asumsi I'!$C$3)^(KKF!A30)</f>
        <v>7.3787955739146982E-2</v>
      </c>
      <c r="P30" s="316">
        <f t="shared" ca="1" si="7"/>
        <v>7.6178996497355241E-3</v>
      </c>
      <c r="Q30" s="316">
        <f t="shared" ca="1" si="9"/>
        <v>-72.62264983747356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1.6718012808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7.5247755785324895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0.10324042146751022</v>
      </c>
      <c r="O31" s="315">
        <f>1/(1+'[93]Asumsi I'!$C$3)^(KKF!A31)</f>
        <v>6.5882103338524081E-2</v>
      </c>
      <c r="P31" s="316">
        <f t="shared" ca="1" si="7"/>
        <v>6.8016961158352887E-3</v>
      </c>
      <c r="Q31" s="316">
        <f ca="1">Q30+P31</f>
        <v>-72.615848141357731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1.6718012808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7.5247755785324895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0.10324042146751022</v>
      </c>
      <c r="O32" s="315">
        <f>1/(1+'[93]Asumsi I'!$C$3)^(KKF!A32)</f>
        <v>5.8823306552253637E-2</v>
      </c>
      <c r="P32" s="316">
        <f t="shared" ca="1" si="7"/>
        <v>6.0729429605672208E-3</v>
      </c>
      <c r="Q32" s="316">
        <f ca="1">Q31+P32</f>
        <v>-72.609775198397159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7" t="s">
        <v>1374</v>
      </c>
      <c r="G33" s="607"/>
      <c r="H33" s="607"/>
      <c r="I33" s="324"/>
      <c r="J33" s="325">
        <f ca="1">SUM(J7:J32)</f>
        <v>277.28323764926716</v>
      </c>
      <c r="K33" s="607" t="s">
        <v>1375</v>
      </c>
      <c r="L33" s="607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863.65250081834336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0.74452659219570272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-64.830156427140309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-0.17591709774242958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3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G41" sqref="G41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0" t="s">
        <v>1036</v>
      </c>
      <c r="P3" s="630"/>
      <c r="Q3" s="346"/>
      <c r="T3" s="344"/>
      <c r="U3" s="345" t="s">
        <v>1041</v>
      </c>
      <c r="V3" s="344"/>
    </row>
    <row r="4" spans="1:22" ht="15.75" customHeight="1">
      <c r="B4" s="631" t="s">
        <v>1023</v>
      </c>
      <c r="C4" s="631"/>
      <c r="D4" s="631"/>
      <c r="E4" s="631"/>
      <c r="F4" s="631"/>
      <c r="G4" s="631"/>
      <c r="H4" s="631"/>
      <c r="I4" s="631"/>
      <c r="J4" s="631"/>
      <c r="K4" s="631"/>
      <c r="O4" s="630"/>
      <c r="P4" s="63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4" t="str">
        <f>DATA!D14</f>
        <v>KANTOR DIPENDA (DINAS PERTANIAN DAN PANGAN)</v>
      </c>
      <c r="H6" s="614"/>
      <c r="I6" s="614"/>
      <c r="J6" s="614"/>
      <c r="K6" s="61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3" t="s">
        <v>0</v>
      </c>
      <c r="C11" s="635" t="s">
        <v>1</v>
      </c>
      <c r="D11" s="624" t="s">
        <v>42</v>
      </c>
      <c r="E11" s="624" t="s">
        <v>43</v>
      </c>
      <c r="F11" s="624" t="s">
        <v>2</v>
      </c>
      <c r="G11" s="638" t="s">
        <v>41</v>
      </c>
      <c r="H11" s="624" t="s">
        <v>3</v>
      </c>
      <c r="I11" s="624"/>
      <c r="J11" s="624"/>
      <c r="K11" s="625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4"/>
      <c r="C12" s="636"/>
      <c r="D12" s="628"/>
      <c r="E12" s="628"/>
      <c r="F12" s="628"/>
      <c r="G12" s="639"/>
      <c r="H12" s="626" t="s">
        <v>46</v>
      </c>
      <c r="I12" s="626" t="s">
        <v>5</v>
      </c>
      <c r="J12" s="628" t="s">
        <v>47</v>
      </c>
      <c r="K12" s="62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4"/>
      <c r="C13" s="637"/>
      <c r="D13" s="628"/>
      <c r="E13" s="628"/>
      <c r="F13" s="628"/>
      <c r="G13" s="640"/>
      <c r="H13" s="627"/>
      <c r="I13" s="627"/>
      <c r="J13" s="628"/>
      <c r="K13" s="62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1624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:H36" ca="1" si="8">IF(OR(D17="MDU",D17="MDU-KD"),(IF($O$3="RAB NON MDU","PLN KD",G17*F17)),0)</f>
        <v>0</v>
      </c>
      <c r="I17" s="361">
        <f t="shared" ref="I17:I36" ca="1" si="9">IF(D17="HDW",G17*F17,0)</f>
        <v>0</v>
      </c>
      <c r="J17" s="361">
        <f t="shared" ref="J17:J36" ca="1" si="10">IF(D17="JASA",G17*F17,0)</f>
        <v>0</v>
      </c>
      <c r="K17" s="362">
        <f t="shared" ref="K17:K36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6"/>
      <c r="C18" s="497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8"/>
        <v>0</v>
      </c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  <c r="L18" s="342"/>
      <c r="M18" s="342"/>
      <c r="N18" s="369"/>
      <c r="O18" s="344"/>
      <c r="P18" s="397"/>
      <c r="Q18" s="344"/>
    </row>
    <row r="19" spans="1:22" s="365" customFormat="1">
      <c r="A19" s="336"/>
      <c r="B19" s="507" t="s">
        <v>1035</v>
      </c>
      <c r="C19" s="508" t="s">
        <v>1620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499">
        <v>1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42"/>
      <c r="M19" s="342"/>
      <c r="N19" s="369"/>
      <c r="O19" s="344"/>
      <c r="P19" s="397"/>
      <c r="Q19" s="344"/>
    </row>
    <row r="20" spans="1:22" s="365" customFormat="1">
      <c r="A20" s="336"/>
      <c r="B20" s="507">
        <v>1</v>
      </c>
      <c r="C20" s="508" t="s">
        <v>229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499">
        <f>F19*1</f>
        <v>1</v>
      </c>
      <c r="G20" s="360">
        <f ca="1">IF(ISERROR(OFFSET('HARGA SATUAN'!$I$6,MATCH(RAB!C20,'HARGA SATUAN'!$C$7:$C$1492,0),0)),0,OFFSET('HARGA SATUAN'!$I$6,MATCH(RAB!C20,'HARGA SATUAN'!$C$7:$C$1492,0),0))</f>
        <v>4212</v>
      </c>
      <c r="H20" s="361">
        <f t="shared" ca="1" si="8"/>
        <v>0</v>
      </c>
      <c r="I20" s="361">
        <f t="shared" ca="1" si="9"/>
        <v>4212</v>
      </c>
      <c r="J20" s="361">
        <f t="shared" ca="1" si="10"/>
        <v>0</v>
      </c>
      <c r="K20" s="362">
        <f t="shared" ca="1" si="11"/>
        <v>4212</v>
      </c>
      <c r="L20" s="342"/>
      <c r="M20" s="342"/>
      <c r="N20" s="369"/>
      <c r="O20" s="344"/>
      <c r="P20" s="397"/>
      <c r="Q20" s="344"/>
    </row>
    <row r="21" spans="1:22" s="365" customFormat="1">
      <c r="A21" s="336"/>
      <c r="B21" s="507">
        <v>2</v>
      </c>
      <c r="C21" s="508" t="s">
        <v>266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499">
        <f>F19*1</f>
        <v>1</v>
      </c>
      <c r="G21" s="360">
        <f ca="1">IF(ISERROR(OFFSET('HARGA SATUAN'!$I$6,MATCH(RAB!C21,'HARGA SATUAN'!$C$7:$C$1492,0),0)),0,OFFSET('HARGA SATUAN'!$I$6,MATCH(RAB!C21,'HARGA SATUAN'!$C$7:$C$1492,0),0))</f>
        <v>23310</v>
      </c>
      <c r="H21" s="361">
        <f t="shared" ca="1" si="8"/>
        <v>0</v>
      </c>
      <c r="I21" s="361">
        <f t="shared" ca="1" si="9"/>
        <v>23310</v>
      </c>
      <c r="J21" s="361">
        <f t="shared" ca="1" si="10"/>
        <v>0</v>
      </c>
      <c r="K21" s="362">
        <f t="shared" ca="1" si="11"/>
        <v>23310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07">
        <v>3</v>
      </c>
      <c r="C22" s="508" t="s">
        <v>35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9">
        <f>F19*1</f>
        <v>1</v>
      </c>
      <c r="G22" s="360">
        <f ca="1">IF(ISERROR(OFFSET('HARGA SATUAN'!$I$6,MATCH(RAB!C22,'HARGA SATUAN'!$C$7:$C$1492,0),0)),0,OFFSET('HARGA SATUAN'!$I$6,MATCH(RAB!C22,'HARGA SATUAN'!$C$7:$C$1492,0),0))</f>
        <v>2300</v>
      </c>
      <c r="H22" s="361">
        <f t="shared" ca="1" si="8"/>
        <v>0</v>
      </c>
      <c r="I22" s="361">
        <f t="shared" ca="1" si="9"/>
        <v>2300</v>
      </c>
      <c r="J22" s="361">
        <f t="shared" ca="1" si="10"/>
        <v>0</v>
      </c>
      <c r="K22" s="362">
        <f t="shared" ca="1" si="11"/>
        <v>2300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07">
        <v>4</v>
      </c>
      <c r="C23" s="508" t="s">
        <v>609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99">
        <f>F19*1</f>
        <v>1</v>
      </c>
      <c r="G23" s="360">
        <f ca="1">IF(ISERROR(OFFSET('HARGA SATUAN'!$I$6,MATCH(RAB!C23,'HARGA SATUAN'!$C$7:$C$1492,0),0)),0,OFFSET('HARGA SATUAN'!$I$6,MATCH(RAB!C23,'HARGA SATUAN'!$C$7:$C$1492,0),0))</f>
        <v>71000</v>
      </c>
      <c r="H23" s="361">
        <f t="shared" ca="1" si="8"/>
        <v>0</v>
      </c>
      <c r="I23" s="361">
        <f t="shared" ca="1" si="9"/>
        <v>71000</v>
      </c>
      <c r="J23" s="361">
        <f t="shared" ca="1" si="10"/>
        <v>0</v>
      </c>
      <c r="K23" s="362">
        <f t="shared" ca="1" si="11"/>
        <v>71000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07">
        <v>5</v>
      </c>
      <c r="C24" s="508" t="s">
        <v>629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9">
        <f>F19*1</f>
        <v>1</v>
      </c>
      <c r="G24" s="360">
        <f ca="1">IF(ISERROR(OFFSET('HARGA SATUAN'!$I$6,MATCH(RAB!C24,'HARGA SATUAN'!$C$7:$C$1492,0),0)),0,OFFSET('HARGA SATUAN'!$I$6,MATCH(RAB!C24,'HARGA SATUAN'!$C$7:$C$1492,0),0))</f>
        <v>29400</v>
      </c>
      <c r="H24" s="361">
        <f t="shared" ca="1" si="8"/>
        <v>0</v>
      </c>
      <c r="I24" s="361">
        <f t="shared" ca="1" si="9"/>
        <v>0</v>
      </c>
      <c r="J24" s="361">
        <f t="shared" ca="1" si="10"/>
        <v>29400</v>
      </c>
      <c r="K24" s="362">
        <f t="shared" ca="1" si="11"/>
        <v>29400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07"/>
      <c r="C25" s="508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99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8"/>
        <v>0</v>
      </c>
      <c r="I25" s="361">
        <f t="shared" ca="1" si="9"/>
        <v>0</v>
      </c>
      <c r="J25" s="361">
        <f t="shared" ca="1" si="10"/>
        <v>0</v>
      </c>
      <c r="K25" s="362">
        <f t="shared" ca="1" si="11"/>
        <v>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07" t="s">
        <v>1035</v>
      </c>
      <c r="C26" s="508" t="s">
        <v>1618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9">
        <v>4</v>
      </c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8"/>
        <v>0</v>
      </c>
      <c r="I26" s="361">
        <f t="shared" ca="1" si="9"/>
        <v>0</v>
      </c>
      <c r="J26" s="361">
        <f t="shared" ca="1" si="10"/>
        <v>0</v>
      </c>
      <c r="K26" s="362">
        <f t="shared" ca="1" si="11"/>
        <v>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07">
        <v>1</v>
      </c>
      <c r="C27" s="508" t="s">
        <v>595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9">
        <f>F26*1</f>
        <v>4</v>
      </c>
      <c r="G27" s="360">
        <f ca="1">IF(ISERROR(OFFSET('HARGA SATUAN'!$I$6,MATCH(RAB!C27,'HARGA SATUAN'!$C$7:$C$1492,0),0)),0,OFFSET('HARGA SATUAN'!$I$6,MATCH(RAB!C27,'HARGA SATUAN'!$C$7:$C$1492,0),0))</f>
        <v>78500</v>
      </c>
      <c r="H27" s="361">
        <f t="shared" ca="1" si="8"/>
        <v>0</v>
      </c>
      <c r="I27" s="361">
        <f t="shared" ca="1" si="9"/>
        <v>314000</v>
      </c>
      <c r="J27" s="361">
        <f t="shared" ca="1" si="10"/>
        <v>0</v>
      </c>
      <c r="K27" s="362">
        <f t="shared" ca="1" si="11"/>
        <v>314000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07">
        <v>2</v>
      </c>
      <c r="C28" s="508" t="s">
        <v>229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9">
        <f>F26*1</f>
        <v>4</v>
      </c>
      <c r="G28" s="360">
        <f ca="1">IF(ISERROR(OFFSET('HARGA SATUAN'!$I$6,MATCH(RAB!C28,'HARGA SATUAN'!$C$7:$C$1492,0),0)),0,OFFSET('HARGA SATUAN'!$I$6,MATCH(RAB!C28,'HARGA SATUAN'!$C$7:$C$1492,0),0))</f>
        <v>4212</v>
      </c>
      <c r="H28" s="361">
        <f t="shared" ca="1" si="8"/>
        <v>0</v>
      </c>
      <c r="I28" s="361">
        <f t="shared" ca="1" si="9"/>
        <v>16848</v>
      </c>
      <c r="J28" s="361">
        <f t="shared" ca="1" si="10"/>
        <v>0</v>
      </c>
      <c r="K28" s="362">
        <f t="shared" ca="1" si="11"/>
        <v>16848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07">
        <v>3</v>
      </c>
      <c r="C29" s="508" t="s">
        <v>266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Mtr</v>
      </c>
      <c r="F29" s="499">
        <f>F26*1</f>
        <v>4</v>
      </c>
      <c r="G29" s="360">
        <f ca="1">IF(ISERROR(OFFSET('HARGA SATUAN'!$I$6,MATCH(RAB!C29,'HARGA SATUAN'!$C$7:$C$1492,0),0)),0,OFFSET('HARGA SATUAN'!$I$6,MATCH(RAB!C29,'HARGA SATUAN'!$C$7:$C$1492,0),0))</f>
        <v>23310</v>
      </c>
      <c r="H29" s="361">
        <f t="shared" ca="1" si="8"/>
        <v>0</v>
      </c>
      <c r="I29" s="361">
        <f t="shared" ca="1" si="9"/>
        <v>93240</v>
      </c>
      <c r="J29" s="361">
        <f t="shared" ca="1" si="10"/>
        <v>0</v>
      </c>
      <c r="K29" s="362">
        <f t="shared" ca="1" si="11"/>
        <v>93240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07">
        <v>4</v>
      </c>
      <c r="C30" s="508" t="s">
        <v>35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9">
        <f>F26*1</f>
        <v>4</v>
      </c>
      <c r="G30" s="360">
        <f ca="1">IF(ISERROR(OFFSET('HARGA SATUAN'!$I$6,MATCH(RAB!C30,'HARGA SATUAN'!$C$7:$C$1492,0),0)),0,OFFSET('HARGA SATUAN'!$I$6,MATCH(RAB!C30,'HARGA SATUAN'!$C$7:$C$1492,0),0))</f>
        <v>2300</v>
      </c>
      <c r="H30" s="361">
        <f t="shared" ca="1" si="8"/>
        <v>0</v>
      </c>
      <c r="I30" s="361">
        <f t="shared" ca="1" si="9"/>
        <v>9200</v>
      </c>
      <c r="J30" s="361">
        <f t="shared" ca="1" si="10"/>
        <v>0</v>
      </c>
      <c r="K30" s="362">
        <f t="shared" ca="1" si="11"/>
        <v>9200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07">
        <v>5</v>
      </c>
      <c r="C31" s="508" t="s">
        <v>630</v>
      </c>
      <c r="D31" s="358" t="str">
        <f ca="1">IF(ISERROR(OFFSET('HARGA SATUAN'!$D$6,MATCH(RAB!C31,'HARGA SATUAN'!$C$7:$C$1492,0),0)),"",OFFSET('HARGA SATUAN'!$D$6,MATCH(RAB!C31,'HARGA SATUAN'!$C$7:$C$1492,0),0))</f>
        <v>JASA</v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499">
        <f>F26*1</f>
        <v>4</v>
      </c>
      <c r="G31" s="360">
        <f ca="1">IF(ISERROR(OFFSET('HARGA SATUAN'!$I$6,MATCH(RAB!C31,'HARGA SATUAN'!$C$7:$C$1492,0),0)),0,OFFSET('HARGA SATUAN'!$I$6,MATCH(RAB!C31,'HARGA SATUAN'!$C$7:$C$1492,0),0))</f>
        <v>35700</v>
      </c>
      <c r="H31" s="361">
        <f t="shared" ca="1" si="8"/>
        <v>0</v>
      </c>
      <c r="I31" s="361">
        <f t="shared" ca="1" si="9"/>
        <v>0</v>
      </c>
      <c r="J31" s="361">
        <f t="shared" ca="1" si="10"/>
        <v>142800</v>
      </c>
      <c r="K31" s="362">
        <f t="shared" ca="1" si="11"/>
        <v>142800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07"/>
      <c r="C32" s="509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368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8"/>
        <v>0</v>
      </c>
      <c r="I32" s="361">
        <f t="shared" ca="1" si="9"/>
        <v>0</v>
      </c>
      <c r="J32" s="361">
        <f t="shared" ca="1" si="10"/>
        <v>0</v>
      </c>
      <c r="K32" s="362">
        <f t="shared" ca="1" si="11"/>
        <v>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07"/>
      <c r="C33" s="510" t="s">
        <v>1629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/>
      </c>
      <c r="F33" s="368"/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ca="1" si="8"/>
        <v>0</v>
      </c>
      <c r="I33" s="361">
        <f t="shared" ca="1" si="9"/>
        <v>0</v>
      </c>
      <c r="J33" s="361">
        <f t="shared" ca="1" si="10"/>
        <v>0</v>
      </c>
      <c r="K33" s="362">
        <f t="shared" ca="1" si="11"/>
        <v>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07">
        <v>1</v>
      </c>
      <c r="C34" s="109" t="s">
        <v>1459</v>
      </c>
      <c r="D34" s="358" t="str">
        <f ca="1">IF(ISERROR(OFFSET('HARGA SATUAN'!$D$6,MATCH(RAB!C34,'HARGA SATUAN'!$C$7:$C$1492,0),0)),"",OFFSET('HARGA SATUAN'!$D$6,MATCH(RAB!C34,'HARGA SATUAN'!$C$7:$C$1492,0),0))</f>
        <v>MDU-KD</v>
      </c>
      <c r="E34" s="359" t="str">
        <f ca="1">IF(B34="+","Unit",IF(ISERROR(OFFSET('HARGA SATUAN'!$E$6,MATCH(RAB!C34,'HARGA SATUAN'!$C$7:$C$1492,0),0)),"",OFFSET('HARGA SATUAN'!$E$6,MATCH(RAB!C34,'HARGA SATUAN'!$C$7:$C$1492,0),0)))</f>
        <v>Mtr</v>
      </c>
      <c r="F34" s="368">
        <v>170</v>
      </c>
      <c r="G34" s="360">
        <f ca="1">IF(ISERROR(OFFSET('HARGA SATUAN'!$I$6,MATCH(RAB!C34,'HARGA SATUAN'!$C$7:$C$1492,0),0)),0,OFFSET('HARGA SATUAN'!$I$6,MATCH(RAB!C34,'HARGA SATUAN'!$C$7:$C$1492,0),0))</f>
        <v>54500</v>
      </c>
      <c r="H34" s="361">
        <f t="shared" ca="1" si="8"/>
        <v>9265000</v>
      </c>
      <c r="I34" s="361">
        <f t="shared" ca="1" si="9"/>
        <v>0</v>
      </c>
      <c r="J34" s="361">
        <f t="shared" ca="1" si="10"/>
        <v>0</v>
      </c>
      <c r="K34" s="362">
        <f t="shared" ca="1" si="11"/>
        <v>9265000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07">
        <v>2</v>
      </c>
      <c r="C35" s="109" t="s">
        <v>346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Per 50 m</v>
      </c>
      <c r="F35" s="368">
        <f>F34/50</f>
        <v>3.4</v>
      </c>
      <c r="G35" s="360">
        <f ca="1">IF(ISERROR(OFFSET('HARGA SATUAN'!$I$6,MATCH(RAB!C35,'HARGA SATUAN'!$C$7:$C$1492,0),0)),0,OFFSET('HARGA SATUAN'!$I$6,MATCH(RAB!C35,'HARGA SATUAN'!$C$7:$C$1492,0),0))</f>
        <v>223500</v>
      </c>
      <c r="H35" s="361">
        <f t="shared" ca="1" si="8"/>
        <v>0</v>
      </c>
      <c r="I35" s="361">
        <f t="shared" ca="1" si="9"/>
        <v>0</v>
      </c>
      <c r="J35" s="361">
        <f t="shared" ca="1" si="10"/>
        <v>759900</v>
      </c>
      <c r="K35" s="362">
        <f t="shared" ca="1" si="11"/>
        <v>759900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07"/>
      <c r="C36" s="109" t="s">
        <v>427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Per 50 m</v>
      </c>
      <c r="F36" s="368">
        <v>3.5</v>
      </c>
      <c r="G36" s="360">
        <f ca="1">IF(ISERROR(OFFSET('HARGA SATUAN'!$I$6,MATCH(RAB!C36,'HARGA SATUAN'!$C$7:$C$1492,0),0)),0,OFFSET('HARGA SATUAN'!$I$6,MATCH(RAB!C36,'HARGA SATUAN'!$C$7:$C$1492,0),0))</f>
        <v>107400</v>
      </c>
      <c r="H36" s="361">
        <f t="shared" ca="1" si="8"/>
        <v>0</v>
      </c>
      <c r="I36" s="361">
        <f t="shared" ca="1" si="9"/>
        <v>0</v>
      </c>
      <c r="J36" s="361">
        <f t="shared" ca="1" si="10"/>
        <v>375900</v>
      </c>
      <c r="K36" s="362">
        <f t="shared" ca="1" si="11"/>
        <v>375900</v>
      </c>
      <c r="L36" s="342"/>
      <c r="M36" s="342"/>
      <c r="N36" s="369"/>
      <c r="O36" s="344"/>
      <c r="P36" s="397"/>
      <c r="Q36" s="344"/>
    </row>
    <row r="37" spans="1:17">
      <c r="B37" s="507"/>
      <c r="C37" s="508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499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73" ca="1" si="12">IF(OR(D37="MDU",D37="MDU-KD"),(IF($O$3="RAB NON MDU","PLN KD",G37*F37)),0)</f>
        <v>0</v>
      </c>
      <c r="I37" s="361">
        <f t="shared" ref="I37:I73" ca="1" si="13">IF(D37="HDW",G37*F37,0)</f>
        <v>0</v>
      </c>
      <c r="J37" s="361">
        <f t="shared" ref="J37:J73" ca="1" si="14">IF(D37="JASA",G37*F37,0)</f>
        <v>0</v>
      </c>
      <c r="K37" s="362">
        <f t="shared" ref="K37:K73" ca="1" si="15">SUM(H37:J37)</f>
        <v>0</v>
      </c>
    </row>
    <row r="38" spans="1:17">
      <c r="B38" s="494" t="s">
        <v>1614</v>
      </c>
      <c r="C38" s="498" t="s">
        <v>1630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499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12"/>
        <v>0</v>
      </c>
      <c r="I38" s="361">
        <f t="shared" ca="1" si="13"/>
        <v>0</v>
      </c>
      <c r="J38" s="361">
        <f t="shared" ca="1" si="14"/>
        <v>0</v>
      </c>
      <c r="K38" s="362">
        <f t="shared" ca="1" si="15"/>
        <v>0</v>
      </c>
    </row>
    <row r="39" spans="1:17">
      <c r="B39" s="507"/>
      <c r="C39" s="508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99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63" ca="1" si="16">IF(OR(D39="MDU",D39="MDU-KD"),(IF($O$3="RAB NON MDU","PLN KD",G39*F39)),0)</f>
        <v>0</v>
      </c>
      <c r="I39" s="361">
        <f t="shared" ref="I39:I63" ca="1" si="17">IF(D39="HDW",G39*F39,0)</f>
        <v>0</v>
      </c>
      <c r="J39" s="361">
        <f t="shared" ref="J39:J63" ca="1" si="18">IF(D39="JASA",G39*F39,0)</f>
        <v>0</v>
      </c>
      <c r="K39" s="362">
        <f t="shared" ref="K39:K63" ca="1" si="19">SUM(H39:J39)</f>
        <v>0</v>
      </c>
    </row>
    <row r="40" spans="1:17">
      <c r="B40" s="711" t="s">
        <v>1035</v>
      </c>
      <c r="C40" s="712" t="s">
        <v>1631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9">
        <v>1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6"/>
        <v>0</v>
      </c>
      <c r="I40" s="361">
        <f t="shared" ca="1" si="17"/>
        <v>0</v>
      </c>
      <c r="J40" s="361">
        <f t="shared" ca="1" si="18"/>
        <v>0</v>
      </c>
      <c r="K40" s="362">
        <f t="shared" ca="1" si="19"/>
        <v>0</v>
      </c>
    </row>
    <row r="41" spans="1:17">
      <c r="B41" s="711">
        <v>1</v>
      </c>
      <c r="C41" s="712" t="s">
        <v>1146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9">
        <f>F40*1</f>
        <v>1</v>
      </c>
      <c r="G41" s="360">
        <f ca="1">IF(ISERROR(OFFSET('HARGA SATUAN'!$I$6,MATCH(RAB!C41,'HARGA SATUAN'!$C$7:$C$1492,0),0)),0,OFFSET('HARGA SATUAN'!$I$6,MATCH(RAB!C41,'HARGA SATUAN'!$C$7:$C$1492,0),0))</f>
        <v>42757200</v>
      </c>
      <c r="H41" s="361">
        <f t="shared" ca="1" si="16"/>
        <v>42757200</v>
      </c>
      <c r="I41" s="361">
        <f t="shared" ca="1" si="17"/>
        <v>0</v>
      </c>
      <c r="J41" s="361">
        <f t="shared" ca="1" si="18"/>
        <v>0</v>
      </c>
      <c r="K41" s="362">
        <f t="shared" ca="1" si="19"/>
        <v>42757200</v>
      </c>
    </row>
    <row r="42" spans="1:17">
      <c r="B42" s="511">
        <v>2</v>
      </c>
      <c r="C42" s="713" t="s">
        <v>1632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714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16"/>
        <v>0</v>
      </c>
      <c r="I42" s="361">
        <f t="shared" ca="1" si="17"/>
        <v>0</v>
      </c>
      <c r="J42" s="361">
        <f t="shared" ca="1" si="18"/>
        <v>0</v>
      </c>
      <c r="K42" s="362">
        <f t="shared" ca="1" si="19"/>
        <v>0</v>
      </c>
    </row>
    <row r="43" spans="1:17">
      <c r="B43" s="711"/>
      <c r="C43" s="713" t="s">
        <v>65</v>
      </c>
      <c r="D43" s="358" t="str">
        <f ca="1">IF(ISERROR(OFFSET('HARGA SATUAN'!$D$6,MATCH(RAB!C43,'HARGA SATUAN'!$C$7:$C$1492,0),0)),"",OFFSET('HARGA SATUAN'!$D$6,MATCH(RAB!C43,'HARGA SATUAN'!$C$7:$C$1492,0),0))</f>
        <v>MDU-KD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499">
        <f>F40*(3*3)</f>
        <v>9</v>
      </c>
      <c r="G43" s="360">
        <f ca="1">IF(ISERROR(OFFSET('HARGA SATUAN'!$I$6,MATCH(RAB!C43,'HARGA SATUAN'!$C$7:$C$1492,0),0)),0,OFFSET('HARGA SATUAN'!$I$6,MATCH(RAB!C43,'HARGA SATUAN'!$C$7:$C$1492,0),0))</f>
        <v>14200</v>
      </c>
      <c r="H43" s="361">
        <f t="shared" ca="1" si="16"/>
        <v>127800</v>
      </c>
      <c r="I43" s="361">
        <f t="shared" ca="1" si="17"/>
        <v>0</v>
      </c>
      <c r="J43" s="361">
        <f t="shared" ca="1" si="18"/>
        <v>0</v>
      </c>
      <c r="K43" s="362">
        <f t="shared" ca="1" si="19"/>
        <v>127800</v>
      </c>
    </row>
    <row r="44" spans="1:17">
      <c r="B44" s="711"/>
      <c r="C44" s="109" t="s">
        <v>1459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499">
        <f>F40*3</f>
        <v>3</v>
      </c>
      <c r="G44" s="360">
        <f ca="1">IF(ISERROR(OFFSET('HARGA SATUAN'!$I$6,MATCH(RAB!C44,'HARGA SATUAN'!$C$7:$C$1492,0),0)),0,OFFSET('HARGA SATUAN'!$I$6,MATCH(RAB!C44,'HARGA SATUAN'!$C$7:$C$1492,0),0))</f>
        <v>54500</v>
      </c>
      <c r="H44" s="361">
        <f t="shared" ca="1" si="16"/>
        <v>163500</v>
      </c>
      <c r="I44" s="361">
        <f t="shared" ca="1" si="17"/>
        <v>0</v>
      </c>
      <c r="J44" s="361">
        <f t="shared" ca="1" si="18"/>
        <v>0</v>
      </c>
      <c r="K44" s="362">
        <f t="shared" ca="1" si="19"/>
        <v>163500</v>
      </c>
    </row>
    <row r="45" spans="1:17">
      <c r="B45" s="711">
        <v>3</v>
      </c>
      <c r="C45" s="109" t="s">
        <v>559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9">
        <f>F40*3</f>
        <v>3</v>
      </c>
      <c r="G45" s="360">
        <f ca="1">IF(ISERROR(OFFSET('HARGA SATUAN'!$I$6,MATCH(RAB!C45,'HARGA SATUAN'!$C$7:$C$1492,0),0)),0,OFFSET('HARGA SATUAN'!$I$6,MATCH(RAB!C45,'HARGA SATUAN'!$C$7:$C$1492,0),0))</f>
        <v>725900</v>
      </c>
      <c r="H45" s="361">
        <f t="shared" ca="1" si="16"/>
        <v>2177700</v>
      </c>
      <c r="I45" s="361">
        <f t="shared" ca="1" si="17"/>
        <v>0</v>
      </c>
      <c r="J45" s="361">
        <f t="shared" ca="1" si="18"/>
        <v>0</v>
      </c>
      <c r="K45" s="362">
        <f t="shared" ca="1" si="19"/>
        <v>2177700</v>
      </c>
    </row>
    <row r="46" spans="1:17">
      <c r="B46" s="711">
        <v>4</v>
      </c>
      <c r="C46" s="712" t="s">
        <v>535</v>
      </c>
      <c r="D46" s="358" t="str">
        <f ca="1">IF(ISERROR(OFFSET('HARGA SATUAN'!$D$6,MATCH(RAB!C46,'HARGA SATUAN'!$C$7:$C$1492,0),0)),"",OFFSET('HARGA SATUAN'!$D$6,MATCH(RAB!C46,'HARGA SATUAN'!$C$7:$C$1492,0),0))</f>
        <v>MDU-KD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99">
        <f>F40*3</f>
        <v>3</v>
      </c>
      <c r="G46" s="360">
        <f ca="1">IF(ISERROR(OFFSET('HARGA SATUAN'!$I$6,MATCH(RAB!C46,'HARGA SATUAN'!$C$7:$C$1492,0),0)),0,OFFSET('HARGA SATUAN'!$I$6,MATCH(RAB!C46,'HARGA SATUAN'!$C$7:$C$1492,0),0))</f>
        <v>848250</v>
      </c>
      <c r="H46" s="361">
        <f t="shared" ca="1" si="16"/>
        <v>2544750</v>
      </c>
      <c r="I46" s="361">
        <f t="shared" ca="1" si="17"/>
        <v>0</v>
      </c>
      <c r="J46" s="361">
        <f t="shared" ca="1" si="18"/>
        <v>0</v>
      </c>
      <c r="K46" s="362">
        <f t="shared" ca="1" si="19"/>
        <v>2544750</v>
      </c>
    </row>
    <row r="47" spans="1:17">
      <c r="B47" s="711">
        <v>5</v>
      </c>
      <c r="C47" s="712" t="s">
        <v>537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99">
        <f>F40*3</f>
        <v>3</v>
      </c>
      <c r="G47" s="360">
        <f ca="1">IF(ISERROR(OFFSET('HARGA SATUAN'!$I$6,MATCH(RAB!C47,'HARGA SATUAN'!$C$7:$C$1492,0),0)),0,OFFSET('HARGA SATUAN'!$I$6,MATCH(RAB!C47,'HARGA SATUAN'!$C$7:$C$1492,0),0))</f>
        <v>17500</v>
      </c>
      <c r="H47" s="361">
        <f t="shared" ca="1" si="16"/>
        <v>0</v>
      </c>
      <c r="I47" s="361">
        <f t="shared" ca="1" si="17"/>
        <v>52500</v>
      </c>
      <c r="J47" s="361">
        <f t="shared" ca="1" si="18"/>
        <v>0</v>
      </c>
      <c r="K47" s="362">
        <f t="shared" ca="1" si="19"/>
        <v>52500</v>
      </c>
    </row>
    <row r="48" spans="1:17">
      <c r="B48" s="711">
        <v>6</v>
      </c>
      <c r="C48" s="109" t="s">
        <v>1569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9">
        <f>F40*13</f>
        <v>13</v>
      </c>
      <c r="G48" s="360">
        <f ca="1">IF(ISERROR(OFFSET('HARGA SATUAN'!$I$6,MATCH(RAB!C48,'HARGA SATUAN'!$C$7:$C$1492,0),0)),0,OFFSET('HARGA SATUAN'!$I$6,MATCH(RAB!C48,'HARGA SATUAN'!$C$7:$C$1492,0),0))</f>
        <v>49000</v>
      </c>
      <c r="H48" s="361">
        <f t="shared" ca="1" si="16"/>
        <v>0</v>
      </c>
      <c r="I48" s="361">
        <f t="shared" ca="1" si="17"/>
        <v>637000</v>
      </c>
      <c r="J48" s="361">
        <f t="shared" ca="1" si="18"/>
        <v>0</v>
      </c>
      <c r="K48" s="362">
        <f t="shared" ca="1" si="19"/>
        <v>637000</v>
      </c>
    </row>
    <row r="49" spans="2:11">
      <c r="B49" s="711">
        <v>7</v>
      </c>
      <c r="C49" s="712" t="s">
        <v>163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9">
        <f>F40*22</f>
        <v>22</v>
      </c>
      <c r="G49" s="360">
        <f ca="1">IF(ISERROR(OFFSET('HARGA SATUAN'!$I$6,MATCH(RAB!C49,'HARGA SATUAN'!$C$7:$C$1492,0),0)),0,OFFSET('HARGA SATUAN'!$I$6,MATCH(RAB!C49,'HARGA SATUAN'!$C$7:$C$1492,0),0))</f>
        <v>7938</v>
      </c>
      <c r="H49" s="361">
        <f t="shared" ca="1" si="16"/>
        <v>0</v>
      </c>
      <c r="I49" s="361">
        <f t="shared" ca="1" si="17"/>
        <v>174636</v>
      </c>
      <c r="J49" s="361">
        <f t="shared" ca="1" si="18"/>
        <v>0</v>
      </c>
      <c r="K49" s="362">
        <f t="shared" ca="1" si="19"/>
        <v>174636</v>
      </c>
    </row>
    <row r="50" spans="2:11">
      <c r="B50" s="711">
        <v>8</v>
      </c>
      <c r="C50" s="712" t="s">
        <v>176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99">
        <f>F40*1</f>
        <v>1</v>
      </c>
      <c r="G50" s="360">
        <f ca="1">IF(ISERROR(OFFSET('HARGA SATUAN'!$I$6,MATCH(RAB!C50,'HARGA SATUAN'!$C$7:$C$1492,0),0)),0,OFFSET('HARGA SATUAN'!$I$6,MATCH(RAB!C50,'HARGA SATUAN'!$C$7:$C$1492,0),0))</f>
        <v>404600</v>
      </c>
      <c r="H50" s="361">
        <f t="shared" ca="1" si="16"/>
        <v>0</v>
      </c>
      <c r="I50" s="361">
        <f t="shared" ca="1" si="17"/>
        <v>404600</v>
      </c>
      <c r="J50" s="361">
        <f t="shared" ca="1" si="18"/>
        <v>0</v>
      </c>
      <c r="K50" s="362">
        <f t="shared" ca="1" si="19"/>
        <v>404600</v>
      </c>
    </row>
    <row r="51" spans="2:11">
      <c r="B51" s="711">
        <v>9</v>
      </c>
      <c r="C51" s="712" t="s">
        <v>184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99">
        <f>F40*3</f>
        <v>3</v>
      </c>
      <c r="G51" s="360">
        <f ca="1">IF(ISERROR(OFFSET('HARGA SATUAN'!$I$6,MATCH(RAB!C51,'HARGA SATUAN'!$C$7:$C$1492,0),0)),0,OFFSET('HARGA SATUAN'!$I$6,MATCH(RAB!C51,'HARGA SATUAN'!$C$7:$C$1492,0),0))</f>
        <v>15900</v>
      </c>
      <c r="H51" s="361">
        <f t="shared" ca="1" si="16"/>
        <v>0</v>
      </c>
      <c r="I51" s="361">
        <f t="shared" ca="1" si="17"/>
        <v>47700</v>
      </c>
      <c r="J51" s="361">
        <f t="shared" ca="1" si="18"/>
        <v>0</v>
      </c>
      <c r="K51" s="362">
        <f t="shared" ca="1" si="19"/>
        <v>47700</v>
      </c>
    </row>
    <row r="52" spans="2:11">
      <c r="B52" s="711">
        <v>10</v>
      </c>
      <c r="C52" s="712" t="s">
        <v>592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99">
        <f>F40*5</f>
        <v>5</v>
      </c>
      <c r="G52" s="360">
        <f ca="1">IF(ISERROR(OFFSET('HARGA SATUAN'!$I$6,MATCH(RAB!C52,'HARGA SATUAN'!$C$7:$C$1492,0),0)),0,OFFSET('HARGA SATUAN'!$I$6,MATCH(RAB!C52,'HARGA SATUAN'!$C$7:$C$1492,0),0))</f>
        <v>283100</v>
      </c>
      <c r="H52" s="361">
        <f t="shared" ca="1" si="16"/>
        <v>0</v>
      </c>
      <c r="I52" s="361">
        <f t="shared" ca="1" si="17"/>
        <v>1415500</v>
      </c>
      <c r="J52" s="361">
        <f t="shared" ca="1" si="18"/>
        <v>0</v>
      </c>
      <c r="K52" s="362">
        <f t="shared" ca="1" si="19"/>
        <v>1415500</v>
      </c>
    </row>
    <row r="53" spans="2:11">
      <c r="B53" s="711">
        <v>11</v>
      </c>
      <c r="C53" s="712" t="s">
        <v>593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99">
        <f>F40*4</f>
        <v>4</v>
      </c>
      <c r="G53" s="360">
        <f ca="1">IF(ISERROR(OFFSET('HARGA SATUAN'!$I$6,MATCH(RAB!C53,'HARGA SATUAN'!$C$7:$C$1492,0),0)),0,OFFSET('HARGA SATUAN'!$I$6,MATCH(RAB!C53,'HARGA SATUAN'!$C$7:$C$1492,0),0))</f>
        <v>380500</v>
      </c>
      <c r="H53" s="361">
        <f t="shared" ca="1" si="16"/>
        <v>0</v>
      </c>
      <c r="I53" s="361">
        <f t="shared" ca="1" si="17"/>
        <v>1522000</v>
      </c>
      <c r="J53" s="361">
        <f t="shared" ca="1" si="18"/>
        <v>0</v>
      </c>
      <c r="K53" s="362">
        <f t="shared" ca="1" si="19"/>
        <v>1522000</v>
      </c>
    </row>
    <row r="54" spans="2:11">
      <c r="B54" s="711">
        <v>12</v>
      </c>
      <c r="C54" s="712" t="s">
        <v>208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99">
        <f>F40*3</f>
        <v>3</v>
      </c>
      <c r="G54" s="360">
        <f ca="1">IF(ISERROR(OFFSET('HARGA SATUAN'!$I$6,MATCH(RAB!C54,'HARGA SATUAN'!$C$7:$C$1492,0),0)),0,OFFSET('HARGA SATUAN'!$I$6,MATCH(RAB!C54,'HARGA SATUAN'!$C$7:$C$1492,0),0))</f>
        <v>173400</v>
      </c>
      <c r="H54" s="361">
        <f t="shared" ca="1" si="16"/>
        <v>0</v>
      </c>
      <c r="I54" s="361">
        <f t="shared" ca="1" si="17"/>
        <v>520200</v>
      </c>
      <c r="J54" s="361">
        <f t="shared" ca="1" si="18"/>
        <v>0</v>
      </c>
      <c r="K54" s="362">
        <f t="shared" ca="1" si="19"/>
        <v>520200</v>
      </c>
    </row>
    <row r="55" spans="2:11">
      <c r="B55" s="711">
        <v>13</v>
      </c>
      <c r="C55" s="712" t="s">
        <v>247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9">
        <f>F40*1</f>
        <v>1</v>
      </c>
      <c r="G55" s="360">
        <f ca="1">IF(ISERROR(OFFSET('HARGA SATUAN'!$I$6,MATCH(RAB!C55,'HARGA SATUAN'!$C$7:$C$1492,0),0)),0,OFFSET('HARGA SATUAN'!$I$6,MATCH(RAB!C55,'HARGA SATUAN'!$C$7:$C$1492,0),0))</f>
        <v>57690</v>
      </c>
      <c r="H55" s="361">
        <f t="shared" ca="1" si="16"/>
        <v>0</v>
      </c>
      <c r="I55" s="361">
        <f t="shared" ca="1" si="17"/>
        <v>57690</v>
      </c>
      <c r="J55" s="361">
        <f t="shared" ca="1" si="18"/>
        <v>0</v>
      </c>
      <c r="K55" s="362">
        <f t="shared" ca="1" si="19"/>
        <v>57690</v>
      </c>
    </row>
    <row r="56" spans="2:11">
      <c r="B56" s="711">
        <v>14</v>
      </c>
      <c r="C56" s="712" t="s">
        <v>234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99">
        <f>F40*2</f>
        <v>2</v>
      </c>
      <c r="G56" s="360">
        <f ca="1">IF(ISERROR(OFFSET('HARGA SATUAN'!$I$6,MATCH(RAB!C56,'HARGA SATUAN'!$C$7:$C$1492,0),0)),0,OFFSET('HARGA SATUAN'!$I$6,MATCH(RAB!C56,'HARGA SATUAN'!$C$7:$C$1492,0),0))</f>
        <v>67500</v>
      </c>
      <c r="H56" s="361">
        <f t="shared" ca="1" si="16"/>
        <v>0</v>
      </c>
      <c r="I56" s="361">
        <f t="shared" ca="1" si="17"/>
        <v>135000</v>
      </c>
      <c r="J56" s="361">
        <f t="shared" ca="1" si="18"/>
        <v>0</v>
      </c>
      <c r="K56" s="362">
        <f t="shared" ca="1" si="19"/>
        <v>135000</v>
      </c>
    </row>
    <row r="57" spans="2:11">
      <c r="B57" s="711">
        <v>15</v>
      </c>
      <c r="C57" s="712" t="s">
        <v>267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9">
        <f>F40*2</f>
        <v>2</v>
      </c>
      <c r="G57" s="360">
        <f ca="1">IF(ISERROR(OFFSET('HARGA SATUAN'!$I$6,MATCH(RAB!C57,'HARGA SATUAN'!$C$7:$C$1492,0),0)),0,OFFSET('HARGA SATUAN'!$I$6,MATCH(RAB!C57,'HARGA SATUAN'!$C$7:$C$1492,0),0))</f>
        <v>129000</v>
      </c>
      <c r="H57" s="361">
        <f t="shared" ca="1" si="16"/>
        <v>0</v>
      </c>
      <c r="I57" s="361">
        <f t="shared" ca="1" si="17"/>
        <v>258000</v>
      </c>
      <c r="J57" s="361">
        <f t="shared" ca="1" si="18"/>
        <v>0</v>
      </c>
      <c r="K57" s="362">
        <f t="shared" ca="1" si="19"/>
        <v>258000</v>
      </c>
    </row>
    <row r="58" spans="2:11">
      <c r="B58" s="711">
        <v>16</v>
      </c>
      <c r="C58" s="712" t="s">
        <v>607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499">
        <f>F40*4</f>
        <v>4</v>
      </c>
      <c r="G58" s="360">
        <f ca="1">IF(ISERROR(OFFSET('HARGA SATUAN'!$I$6,MATCH(RAB!C58,'HARGA SATUAN'!$C$7:$C$1492,0),0)),0,OFFSET('HARGA SATUAN'!$I$6,MATCH(RAB!C58,'HARGA SATUAN'!$C$7:$C$1492,0),0))</f>
        <v>250000</v>
      </c>
      <c r="H58" s="361">
        <f t="shared" ca="1" si="16"/>
        <v>0</v>
      </c>
      <c r="I58" s="361">
        <f t="shared" ca="1" si="17"/>
        <v>1000000</v>
      </c>
      <c r="J58" s="361">
        <f t="shared" ca="1" si="18"/>
        <v>0</v>
      </c>
      <c r="K58" s="362">
        <f t="shared" ca="1" si="19"/>
        <v>1000000</v>
      </c>
    </row>
    <row r="59" spans="2:11">
      <c r="B59" s="711">
        <v>17</v>
      </c>
      <c r="C59" s="712" t="s">
        <v>783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499">
        <f>F40*1</f>
        <v>1</v>
      </c>
      <c r="G59" s="360">
        <f ca="1">IF(ISERROR(OFFSET('HARGA SATUAN'!$I$6,MATCH(RAB!C59,'HARGA SATUAN'!$C$7:$C$1492,0),0)),0,OFFSET('HARGA SATUAN'!$I$6,MATCH(RAB!C59,'HARGA SATUAN'!$C$7:$C$1492,0),0))</f>
        <v>1182800</v>
      </c>
      <c r="H59" s="361">
        <f t="shared" ca="1" si="16"/>
        <v>0</v>
      </c>
      <c r="I59" s="361">
        <f t="shared" ca="1" si="17"/>
        <v>0</v>
      </c>
      <c r="J59" s="361">
        <f t="shared" ca="1" si="18"/>
        <v>1182800</v>
      </c>
      <c r="K59" s="362">
        <f t="shared" ca="1" si="19"/>
        <v>1182800</v>
      </c>
    </row>
    <row r="60" spans="2:11">
      <c r="B60" s="507"/>
      <c r="C60" s="508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499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16"/>
        <v>0</v>
      </c>
      <c r="I60" s="361">
        <f t="shared" ca="1" si="17"/>
        <v>0</v>
      </c>
      <c r="J60" s="361">
        <f t="shared" ca="1" si="18"/>
        <v>0</v>
      </c>
      <c r="K60" s="362">
        <f t="shared" ca="1" si="19"/>
        <v>0</v>
      </c>
    </row>
    <row r="61" spans="2:11">
      <c r="B61" s="511" t="s">
        <v>1035</v>
      </c>
      <c r="C61" s="512" t="s">
        <v>1616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499">
        <v>2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16"/>
        <v>0</v>
      </c>
      <c r="I61" s="361">
        <f t="shared" ca="1" si="17"/>
        <v>0</v>
      </c>
      <c r="J61" s="361">
        <f t="shared" ca="1" si="18"/>
        <v>0</v>
      </c>
      <c r="K61" s="362">
        <f t="shared" ca="1" si="19"/>
        <v>0</v>
      </c>
    </row>
    <row r="62" spans="2:11">
      <c r="B62" s="511">
        <v>1</v>
      </c>
      <c r="C62" s="513" t="s">
        <v>29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99">
        <f>F61*1</f>
        <v>2</v>
      </c>
      <c r="G62" s="360">
        <f ca="1">IF(ISERROR(OFFSET('HARGA SATUAN'!$I$6,MATCH(RAB!C62,'HARGA SATUAN'!$C$7:$C$1492,0),0)),0,OFFSET('HARGA SATUAN'!$I$6,MATCH(RAB!C62,'HARGA SATUAN'!$C$7:$C$1492,0),0))</f>
        <v>185200</v>
      </c>
      <c r="H62" s="361">
        <f t="shared" ca="1" si="16"/>
        <v>0</v>
      </c>
      <c r="I62" s="361">
        <f t="shared" ca="1" si="17"/>
        <v>370400</v>
      </c>
      <c r="J62" s="361">
        <f t="shared" ca="1" si="18"/>
        <v>0</v>
      </c>
      <c r="K62" s="362">
        <f t="shared" ca="1" si="19"/>
        <v>370400</v>
      </c>
    </row>
    <row r="63" spans="2:11">
      <c r="B63" s="711">
        <v>2</v>
      </c>
      <c r="C63" s="712" t="s">
        <v>30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499">
        <f>F61*1</f>
        <v>2</v>
      </c>
      <c r="G63" s="360">
        <f ca="1">IF(ISERROR(OFFSET('HARGA SATUAN'!$I$6,MATCH(RAB!C63,'HARGA SATUAN'!$C$7:$C$1492,0),0)),0,OFFSET('HARGA SATUAN'!$I$6,MATCH(RAB!C63,'HARGA SATUAN'!$C$7:$C$1492,0),0))</f>
        <v>47459</v>
      </c>
      <c r="H63" s="361">
        <f t="shared" ca="1" si="16"/>
        <v>0</v>
      </c>
      <c r="I63" s="361">
        <f t="shared" ca="1" si="17"/>
        <v>94918</v>
      </c>
      <c r="J63" s="361">
        <f t="shared" ca="1" si="18"/>
        <v>0</v>
      </c>
      <c r="K63" s="362">
        <f t="shared" ca="1" si="19"/>
        <v>94918</v>
      </c>
    </row>
    <row r="64" spans="2:11">
      <c r="B64" s="711">
        <v>3</v>
      </c>
      <c r="C64" s="712" t="s">
        <v>31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9">
        <f>F61*1</f>
        <v>2</v>
      </c>
      <c r="G64" s="360">
        <f ca="1">IF(ISERROR(OFFSET('HARGA SATUAN'!$I$6,MATCH(RAB!C64,'HARGA SATUAN'!$C$7:$C$1492,0),0)),0,OFFSET('HARGA SATUAN'!$I$6,MATCH(RAB!C64,'HARGA SATUAN'!$C$7:$C$1492,0),0))</f>
        <v>4880</v>
      </c>
      <c r="H64" s="361">
        <f t="shared" ref="H64:H72" ca="1" si="20">IF(OR(D64="MDU",D64="MDU-KD"),(IF($O$3="RAB NON MDU","PLN KD",G64*F64)),0)</f>
        <v>0</v>
      </c>
      <c r="I64" s="361">
        <f t="shared" ref="I64:I72" ca="1" si="21">IF(D64="HDW",G64*F64,0)</f>
        <v>9760</v>
      </c>
      <c r="J64" s="361">
        <f t="shared" ref="J64:J72" ca="1" si="22">IF(D64="JASA",G64*F64,0)</f>
        <v>0</v>
      </c>
      <c r="K64" s="362">
        <f t="shared" ref="K64:K72" ca="1" si="23">SUM(H64:J64)</f>
        <v>9760</v>
      </c>
    </row>
    <row r="65" spans="2:11">
      <c r="B65" s="711">
        <v>4</v>
      </c>
      <c r="C65" s="712" t="s">
        <v>32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499">
        <f>F61*10</f>
        <v>20</v>
      </c>
      <c r="G65" s="360">
        <f ca="1">IF(ISERROR(OFFSET('HARGA SATUAN'!$I$6,MATCH(RAB!C65,'HARGA SATUAN'!$C$7:$C$1492,0),0)),0,OFFSET('HARGA SATUAN'!$I$6,MATCH(RAB!C65,'HARGA SATUAN'!$C$7:$C$1492,0),0))</f>
        <v>30000</v>
      </c>
      <c r="H65" s="361">
        <f t="shared" ca="1" si="20"/>
        <v>0</v>
      </c>
      <c r="I65" s="361">
        <f t="shared" ca="1" si="21"/>
        <v>600000</v>
      </c>
      <c r="J65" s="361">
        <f t="shared" ca="1" si="22"/>
        <v>0</v>
      </c>
      <c r="K65" s="362">
        <f t="shared" ca="1" si="23"/>
        <v>600000</v>
      </c>
    </row>
    <row r="66" spans="2:11">
      <c r="B66" s="711">
        <v>5</v>
      </c>
      <c r="C66" s="712" t="s">
        <v>33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499">
        <f>F61*2</f>
        <v>4</v>
      </c>
      <c r="G66" s="360">
        <f ca="1">IF(ISERROR(OFFSET('HARGA SATUAN'!$I$6,MATCH(RAB!C66,'HARGA SATUAN'!$C$7:$C$1492,0),0)),0,OFFSET('HARGA SATUAN'!$I$6,MATCH(RAB!C66,'HARGA SATUAN'!$C$7:$C$1492,0),0))</f>
        <v>9500</v>
      </c>
      <c r="H66" s="361">
        <f t="shared" ca="1" si="20"/>
        <v>0</v>
      </c>
      <c r="I66" s="361">
        <f t="shared" ca="1" si="21"/>
        <v>38000</v>
      </c>
      <c r="J66" s="361">
        <f t="shared" ca="1" si="22"/>
        <v>0</v>
      </c>
      <c r="K66" s="362">
        <f t="shared" ca="1" si="23"/>
        <v>38000</v>
      </c>
    </row>
    <row r="67" spans="2:11">
      <c r="B67" s="711">
        <v>6</v>
      </c>
      <c r="C67" s="712" t="s">
        <v>34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499">
        <f>F61*5.5</f>
        <v>11</v>
      </c>
      <c r="G67" s="360">
        <f ca="1">IF(ISERROR(OFFSET('HARGA SATUAN'!$I$6,MATCH(RAB!C67,'HARGA SATUAN'!$C$7:$C$1492,0),0)),0,OFFSET('HARGA SATUAN'!$I$6,MATCH(RAB!C67,'HARGA SATUAN'!$C$7:$C$1492,0),0))</f>
        <v>6100</v>
      </c>
      <c r="H67" s="361">
        <f t="shared" ca="1" si="20"/>
        <v>0</v>
      </c>
      <c r="I67" s="361">
        <f t="shared" ca="1" si="21"/>
        <v>67100</v>
      </c>
      <c r="J67" s="361">
        <f t="shared" ca="1" si="22"/>
        <v>0</v>
      </c>
      <c r="K67" s="362">
        <f t="shared" ca="1" si="23"/>
        <v>67100</v>
      </c>
    </row>
    <row r="68" spans="2:11">
      <c r="B68" s="711">
        <v>7</v>
      </c>
      <c r="C68" s="712" t="s">
        <v>35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499">
        <f>F61*6</f>
        <v>12</v>
      </c>
      <c r="G68" s="360">
        <f ca="1">IF(ISERROR(OFFSET('HARGA SATUAN'!$I$6,MATCH(RAB!C68,'HARGA SATUAN'!$C$7:$C$1492,0),0)),0,OFFSET('HARGA SATUAN'!$I$6,MATCH(RAB!C68,'HARGA SATUAN'!$C$7:$C$1492,0),0))</f>
        <v>2300</v>
      </c>
      <c r="H68" s="361">
        <f t="shared" ca="1" si="20"/>
        <v>0</v>
      </c>
      <c r="I68" s="361">
        <f t="shared" ca="1" si="21"/>
        <v>27600</v>
      </c>
      <c r="J68" s="361">
        <f t="shared" ca="1" si="22"/>
        <v>0</v>
      </c>
      <c r="K68" s="362">
        <f t="shared" ca="1" si="23"/>
        <v>27600</v>
      </c>
    </row>
    <row r="69" spans="2:11">
      <c r="B69" s="711">
        <v>8</v>
      </c>
      <c r="C69" s="712" t="s">
        <v>1633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Mtr</v>
      </c>
      <c r="F69" s="499">
        <f>F61*4.8</f>
        <v>9.6</v>
      </c>
      <c r="G69" s="360">
        <f ca="1">IF(ISERROR(OFFSET('HARGA SATUAN'!$I$6,MATCH(RAB!C69,'HARGA SATUAN'!$C$7:$C$1492,0),0)),0,OFFSET('HARGA SATUAN'!$I$6,MATCH(RAB!C69,'HARGA SATUAN'!$C$7:$C$1492,0),0))</f>
        <v>23310</v>
      </c>
      <c r="H69" s="361">
        <f t="shared" ca="1" si="20"/>
        <v>0</v>
      </c>
      <c r="I69" s="361">
        <f t="shared" ca="1" si="21"/>
        <v>223776</v>
      </c>
      <c r="J69" s="361">
        <f t="shared" ca="1" si="22"/>
        <v>0</v>
      </c>
      <c r="K69" s="362">
        <f t="shared" ca="1" si="23"/>
        <v>223776</v>
      </c>
    </row>
    <row r="70" spans="2:11">
      <c r="B70" s="711">
        <v>9</v>
      </c>
      <c r="C70" s="712" t="s">
        <v>736</v>
      </c>
      <c r="D70" s="358" t="str">
        <f ca="1">IF(ISERROR(OFFSET('HARGA SATUAN'!$D$6,MATCH(RAB!C70,'HARGA SATUAN'!$C$7:$C$1492,0),0)),"",OFFSET('HARGA SATUAN'!$D$6,MATCH(RAB!C70,'HARGA SATUAN'!$C$7:$C$1492,0),0))</f>
        <v>JASA</v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499">
        <f>F61*1</f>
        <v>2</v>
      </c>
      <c r="G70" s="360">
        <f ca="1">IF(ISERROR(OFFSET('HARGA SATUAN'!$I$6,MATCH(RAB!C70,'HARGA SATUAN'!$C$7:$C$1492,0),0)),0,OFFSET('HARGA SATUAN'!$I$6,MATCH(RAB!C70,'HARGA SATUAN'!$C$7:$C$1492,0),0))</f>
        <v>65400</v>
      </c>
      <c r="H70" s="361">
        <f t="shared" ca="1" si="20"/>
        <v>0</v>
      </c>
      <c r="I70" s="361">
        <f t="shared" ca="1" si="21"/>
        <v>0</v>
      </c>
      <c r="J70" s="361">
        <f t="shared" ca="1" si="22"/>
        <v>130800</v>
      </c>
      <c r="K70" s="362">
        <f t="shared" ca="1" si="23"/>
        <v>130800</v>
      </c>
    </row>
    <row r="71" spans="2:11">
      <c r="B71" s="507"/>
      <c r="C71" s="508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499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20"/>
        <v>0</v>
      </c>
      <c r="I71" s="361">
        <f t="shared" ca="1" si="21"/>
        <v>0</v>
      </c>
      <c r="J71" s="361">
        <f t="shared" ca="1" si="22"/>
        <v>0</v>
      </c>
      <c r="K71" s="362">
        <f t="shared" ca="1" si="23"/>
        <v>0</v>
      </c>
    </row>
    <row r="72" spans="2:11">
      <c r="B72" s="494" t="s">
        <v>1614</v>
      </c>
      <c r="C72" s="498" t="s">
        <v>1617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499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20"/>
        <v>0</v>
      </c>
      <c r="I72" s="361">
        <f t="shared" ca="1" si="21"/>
        <v>0</v>
      </c>
      <c r="J72" s="361">
        <f t="shared" ca="1" si="22"/>
        <v>0</v>
      </c>
      <c r="K72" s="362">
        <f t="shared" ca="1" si="23"/>
        <v>0</v>
      </c>
    </row>
    <row r="73" spans="2:11">
      <c r="B73" s="494" t="s">
        <v>1035</v>
      </c>
      <c r="C73" s="495" t="s">
        <v>1634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716">
        <v>1</v>
      </c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12"/>
        <v>0</v>
      </c>
      <c r="I73" s="361">
        <f t="shared" ca="1" si="13"/>
        <v>0</v>
      </c>
      <c r="J73" s="361">
        <f t="shared" ca="1" si="14"/>
        <v>0</v>
      </c>
      <c r="K73" s="362">
        <f t="shared" ca="1" si="15"/>
        <v>0</v>
      </c>
    </row>
    <row r="74" spans="2:11" ht="30">
      <c r="B74" s="711">
        <v>1</v>
      </c>
      <c r="C74" s="109" t="s">
        <v>1197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716">
        <f>F73*1</f>
        <v>1</v>
      </c>
      <c r="G74" s="360">
        <f ca="1">IF(ISERROR(OFFSET('HARGA SATUAN'!$I$6,MATCH(RAB!C74,'HARGA SATUAN'!$C$7:$C$1492,0),0)),0,OFFSET('HARGA SATUAN'!$I$6,MATCH(RAB!C74,'HARGA SATUAN'!$C$7:$C$1492,0),0))</f>
        <v>1427400</v>
      </c>
      <c r="H74" s="361">
        <f t="shared" ref="H74:H77" ca="1" si="24">IF(OR(D74="MDU",D74="MDU-KD"),(IF($O$3="RAB NON MDU","PLN KD",G74*F74)),0)</f>
        <v>1427400</v>
      </c>
      <c r="I74" s="361">
        <f t="shared" ref="I74:I77" ca="1" si="25">IF(D74="HDW",G74*F74,0)</f>
        <v>0</v>
      </c>
      <c r="J74" s="361">
        <f t="shared" ref="J74:J77" ca="1" si="26">IF(D74="JASA",G74*F74,0)</f>
        <v>0</v>
      </c>
      <c r="K74" s="362">
        <f t="shared" ref="K74:K77" ca="1" si="27">SUM(H74:J74)</f>
        <v>1427400</v>
      </c>
    </row>
    <row r="75" spans="2:11">
      <c r="B75" s="711">
        <v>2</v>
      </c>
      <c r="C75" s="715" t="s">
        <v>513</v>
      </c>
      <c r="D75" s="358" t="str">
        <f ca="1">IF(ISERROR(OFFSET('HARGA SATUAN'!$D$6,MATCH(RAB!C75,'HARGA SATUAN'!$C$7:$C$1492,0),0)),"",OFFSET('HARGA SATUAN'!$D$6,MATCH(RAB!C75,'HARGA SATUAN'!$C$7:$C$1492,0),0))</f>
        <v>MDU-KD</v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716">
        <f>F73*1</f>
        <v>1</v>
      </c>
      <c r="G75" s="360">
        <f ca="1">IF(ISERROR(OFFSET('HARGA SATUAN'!$I$6,MATCH(RAB!C75,'HARGA SATUAN'!$C$7:$C$1492,0),0)),0,OFFSET('HARGA SATUAN'!$I$6,MATCH(RAB!C75,'HARGA SATUAN'!$C$7:$C$1492,0),0))</f>
        <v>3564900</v>
      </c>
      <c r="H75" s="361">
        <f t="shared" ca="1" si="24"/>
        <v>3564900</v>
      </c>
      <c r="I75" s="361">
        <f t="shared" ca="1" si="25"/>
        <v>0</v>
      </c>
      <c r="J75" s="361">
        <f t="shared" ca="1" si="26"/>
        <v>0</v>
      </c>
      <c r="K75" s="362">
        <f t="shared" ca="1" si="27"/>
        <v>3564900</v>
      </c>
    </row>
    <row r="76" spans="2:11">
      <c r="B76" s="711">
        <v>3</v>
      </c>
      <c r="C76" s="715" t="s">
        <v>1142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716">
        <f>F73*1</f>
        <v>1</v>
      </c>
      <c r="G76" s="360">
        <f ca="1">IF(ISERROR(OFFSET('HARGA SATUAN'!$I$6,MATCH(RAB!C76,'HARGA SATUAN'!$C$7:$C$1492,0),0)),0,OFFSET('HARGA SATUAN'!$I$6,MATCH(RAB!C76,'HARGA SATUAN'!$C$7:$C$1492,0),0))</f>
        <v>1113900</v>
      </c>
      <c r="H76" s="361">
        <f t="shared" ca="1" si="24"/>
        <v>0</v>
      </c>
      <c r="I76" s="361">
        <f t="shared" ca="1" si="25"/>
        <v>1113900</v>
      </c>
      <c r="J76" s="361">
        <f t="shared" ca="1" si="26"/>
        <v>0</v>
      </c>
      <c r="K76" s="362">
        <f t="shared" ca="1" si="27"/>
        <v>1113900</v>
      </c>
    </row>
    <row r="77" spans="2:11">
      <c r="B77" s="711">
        <v>4</v>
      </c>
      <c r="C77" s="109" t="s">
        <v>1403</v>
      </c>
      <c r="D77" s="358" t="str">
        <f ca="1">IF(ISERROR(OFFSET('HARGA SATUAN'!$D$6,MATCH(RAB!C77,'HARGA SATUAN'!$C$7:$C$1492,0),0)),"",OFFSET('HARGA SATUAN'!$D$6,MATCH(RAB!C77,'HARGA SATUAN'!$C$7:$C$1492,0),0))</f>
        <v>MDU-KD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716">
        <f>F73*35</f>
        <v>35</v>
      </c>
      <c r="G77" s="360">
        <f ca="1">IF(ISERROR(OFFSET('HARGA SATUAN'!$I$6,MATCH(RAB!C77,'HARGA SATUAN'!$C$7:$C$1492,0),0)),0,OFFSET('HARGA SATUAN'!$I$6,MATCH(RAB!C77,'HARGA SATUAN'!$C$7:$C$1492,0),0))</f>
        <v>30400</v>
      </c>
      <c r="H77" s="361">
        <f t="shared" ca="1" si="24"/>
        <v>1064000</v>
      </c>
      <c r="I77" s="361">
        <f t="shared" ca="1" si="25"/>
        <v>0</v>
      </c>
      <c r="J77" s="361">
        <f t="shared" ca="1" si="26"/>
        <v>0</v>
      </c>
      <c r="K77" s="362">
        <f t="shared" ca="1" si="27"/>
        <v>1064000</v>
      </c>
    </row>
    <row r="78" spans="2:11">
      <c r="B78" s="711">
        <v>5</v>
      </c>
      <c r="C78" s="715" t="s">
        <v>799</v>
      </c>
      <c r="D78" s="358" t="str">
        <f ca="1">IF(ISERROR(OFFSET('HARGA SATUAN'!$D$6,MATCH(RAB!C78,'HARGA SATUAN'!$C$7:$C$1492,0),0)),"",OFFSET('HARGA SATUAN'!$D$6,MATCH(RAB!C78,'HARGA SATUAN'!$C$7:$C$1492,0),0))</f>
        <v>JASA</v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716">
        <f>F73*1</f>
        <v>1</v>
      </c>
      <c r="G78" s="360">
        <f ca="1">IF(ISERROR(OFFSET('HARGA SATUAN'!$I$6,MATCH(RAB!C78,'HARGA SATUAN'!$C$7:$C$1492,0),0)),0,OFFSET('HARGA SATUAN'!$I$6,MATCH(RAB!C78,'HARGA SATUAN'!$C$7:$C$1492,0),0))</f>
        <v>106400</v>
      </c>
      <c r="H78" s="361">
        <f t="shared" ref="H78:H92" ca="1" si="28">IF(OR(D78="MDU",D78="MDU-KD"),(IF($O$3="RAB NON MDU","PLN KD",G78*F78)),0)</f>
        <v>0</v>
      </c>
      <c r="I78" s="361">
        <f t="shared" ref="I78:I92" ca="1" si="29">IF(D78="HDW",G78*F78,0)</f>
        <v>0</v>
      </c>
      <c r="J78" s="361">
        <f t="shared" ref="J78:J92" ca="1" si="30">IF(D78="JASA",G78*F78,0)</f>
        <v>106400</v>
      </c>
      <c r="K78" s="362">
        <f t="shared" ref="K78:K92" ca="1" si="31">SUM(H78:J78)</f>
        <v>106400</v>
      </c>
    </row>
    <row r="79" spans="2:11">
      <c r="B79" s="711">
        <v>6</v>
      </c>
      <c r="C79" s="715" t="s">
        <v>981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368">
        <v>1</v>
      </c>
      <c r="G79" s="360">
        <f ca="1">IF(ISERROR(OFFSET('HARGA SATUAN'!$I$6,MATCH(RAB!C79,'HARGA SATUAN'!$C$7:$C$1492,0),0)),0,OFFSET('HARGA SATUAN'!$I$6,MATCH(RAB!C79,'HARGA SATUAN'!$C$7:$C$1492,0),0))</f>
        <v>32640</v>
      </c>
      <c r="H79" s="361">
        <f t="shared" ref="H79:H80" ca="1" si="32">IF(OR(D79="MDU",D79="MDU-KD"),(IF($O$3="RAB NON MDU","PLN KD",G79*F79)),0)</f>
        <v>0</v>
      </c>
      <c r="I79" s="361">
        <f t="shared" ref="I79:I80" ca="1" si="33">IF(D79="HDW",G79*F79,0)</f>
        <v>0</v>
      </c>
      <c r="J79" s="361">
        <f t="shared" ref="J79:J80" ca="1" si="34">IF(D79="JASA",G79*F79,0)</f>
        <v>32640</v>
      </c>
      <c r="K79" s="362">
        <f t="shared" ref="K79:K80" ca="1" si="35">SUM(H79:J79)</f>
        <v>32640</v>
      </c>
    </row>
    <row r="80" spans="2:11">
      <c r="B80" s="711"/>
      <c r="C80" s="715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368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32"/>
        <v>0</v>
      </c>
      <c r="I80" s="361">
        <f t="shared" ca="1" si="33"/>
        <v>0</v>
      </c>
      <c r="J80" s="361">
        <f t="shared" ca="1" si="34"/>
        <v>0</v>
      </c>
      <c r="K80" s="362">
        <f t="shared" ca="1" si="35"/>
        <v>0</v>
      </c>
    </row>
    <row r="81" spans="2:11">
      <c r="B81" s="501" t="s">
        <v>1035</v>
      </c>
      <c r="C81" s="502" t="s">
        <v>1619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03">
        <v>1</v>
      </c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28"/>
        <v>0</v>
      </c>
      <c r="I81" s="361">
        <f t="shared" ca="1" si="29"/>
        <v>0</v>
      </c>
      <c r="J81" s="361">
        <f t="shared" ca="1" si="30"/>
        <v>0</v>
      </c>
      <c r="K81" s="362">
        <f t="shared" ca="1" si="31"/>
        <v>0</v>
      </c>
    </row>
    <row r="82" spans="2:11">
      <c r="B82" s="501">
        <v>1</v>
      </c>
      <c r="C82" s="502" t="s">
        <v>115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Set</v>
      </c>
      <c r="F82" s="503">
        <f>F81*1</f>
        <v>1</v>
      </c>
      <c r="G82" s="360">
        <f ca="1">IF(ISERROR(OFFSET('HARGA SATUAN'!$I$6,MATCH(RAB!C82,'HARGA SATUAN'!$C$7:$C$1492,0),0)),0,OFFSET('HARGA SATUAN'!$I$6,MATCH(RAB!C82,'HARGA SATUAN'!$C$7:$C$1492,0),0))</f>
        <v>11500</v>
      </c>
      <c r="H82" s="361">
        <f t="shared" ca="1" si="28"/>
        <v>0</v>
      </c>
      <c r="I82" s="361">
        <f t="shared" ca="1" si="29"/>
        <v>11500</v>
      </c>
      <c r="J82" s="361">
        <f t="shared" ca="1" si="30"/>
        <v>0</v>
      </c>
      <c r="K82" s="362">
        <f t="shared" ca="1" si="31"/>
        <v>11500</v>
      </c>
    </row>
    <row r="83" spans="2:11">
      <c r="B83" s="501">
        <v>2</v>
      </c>
      <c r="C83" s="502" t="s">
        <v>145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Set</v>
      </c>
      <c r="F83" s="503">
        <f>F81*1</f>
        <v>1</v>
      </c>
      <c r="G83" s="360">
        <f ca="1">IF(ISERROR(OFFSET('HARGA SATUAN'!$I$6,MATCH(RAB!C83,'HARGA SATUAN'!$C$7:$C$1492,0),0)),0,OFFSET('HARGA SATUAN'!$I$6,MATCH(RAB!C83,'HARGA SATUAN'!$C$7:$C$1492,0),0))</f>
        <v>6200</v>
      </c>
      <c r="H83" s="361">
        <f t="shared" ca="1" si="28"/>
        <v>0</v>
      </c>
      <c r="I83" s="361">
        <f t="shared" ca="1" si="29"/>
        <v>6200</v>
      </c>
      <c r="J83" s="361">
        <f t="shared" ca="1" si="30"/>
        <v>0</v>
      </c>
      <c r="K83" s="362">
        <f t="shared" ca="1" si="31"/>
        <v>6200</v>
      </c>
    </row>
    <row r="84" spans="2:11">
      <c r="B84" s="501">
        <v>3</v>
      </c>
      <c r="C84" s="502" t="s">
        <v>587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Btg</v>
      </c>
      <c r="F84" s="503">
        <f>F81*1</f>
        <v>1</v>
      </c>
      <c r="G84" s="360">
        <f ca="1">IF(ISERROR(OFFSET('HARGA SATUAN'!$I$6,MATCH(RAB!C84,'HARGA SATUAN'!$C$7:$C$1492,0),0)),0,OFFSET('HARGA SATUAN'!$I$6,MATCH(RAB!C84,'HARGA SATUAN'!$C$7:$C$1492,0),0))</f>
        <v>45796</v>
      </c>
      <c r="H84" s="361">
        <f t="shared" ca="1" si="28"/>
        <v>0</v>
      </c>
      <c r="I84" s="361">
        <f t="shared" ca="1" si="29"/>
        <v>45796</v>
      </c>
      <c r="J84" s="361">
        <f t="shared" ca="1" si="30"/>
        <v>0</v>
      </c>
      <c r="K84" s="362">
        <f t="shared" ca="1" si="31"/>
        <v>45796</v>
      </c>
    </row>
    <row r="85" spans="2:11">
      <c r="B85" s="501">
        <v>4</v>
      </c>
      <c r="C85" s="502" t="s">
        <v>118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Set</v>
      </c>
      <c r="F85" s="503">
        <f>F81*1</f>
        <v>1</v>
      </c>
      <c r="G85" s="360">
        <f ca="1">IF(ISERROR(OFFSET('HARGA SATUAN'!$I$6,MATCH(RAB!C85,'HARGA SATUAN'!$C$7:$C$1492,0),0)),0,OFFSET('HARGA SATUAN'!$I$6,MATCH(RAB!C85,'HARGA SATUAN'!$C$7:$C$1492,0),0))</f>
        <v>5300</v>
      </c>
      <c r="H85" s="361">
        <f t="shared" ca="1" si="28"/>
        <v>0</v>
      </c>
      <c r="I85" s="361">
        <f t="shared" ca="1" si="29"/>
        <v>5300</v>
      </c>
      <c r="J85" s="361">
        <f t="shared" ca="1" si="30"/>
        <v>0</v>
      </c>
      <c r="K85" s="362">
        <f t="shared" ca="1" si="31"/>
        <v>5300</v>
      </c>
    </row>
    <row r="86" spans="2:11">
      <c r="B86" s="501">
        <v>5</v>
      </c>
      <c r="C86" s="502" t="s">
        <v>117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3">
        <f>F81*1</f>
        <v>1</v>
      </c>
      <c r="G86" s="360">
        <f ca="1">IF(ISERROR(OFFSET('HARGA SATUAN'!$I$6,MATCH(RAB!C86,'HARGA SATUAN'!$C$7:$C$1492,0),0)),0,OFFSET('HARGA SATUAN'!$I$6,MATCH(RAB!C86,'HARGA SATUAN'!$C$7:$C$1492,0),0))</f>
        <v>58600</v>
      </c>
      <c r="H86" s="361">
        <f t="shared" ca="1" si="28"/>
        <v>0</v>
      </c>
      <c r="I86" s="361">
        <f t="shared" ca="1" si="29"/>
        <v>58600</v>
      </c>
      <c r="J86" s="361">
        <f t="shared" ca="1" si="30"/>
        <v>0</v>
      </c>
      <c r="K86" s="362">
        <f t="shared" ca="1" si="31"/>
        <v>58600</v>
      </c>
    </row>
    <row r="87" spans="2:11">
      <c r="B87" s="501">
        <v>6</v>
      </c>
      <c r="C87" s="109" t="s">
        <v>1154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Set</v>
      </c>
      <c r="F87" s="503">
        <f>F81*1</f>
        <v>1</v>
      </c>
      <c r="G87" s="360">
        <f ca="1">IF(ISERROR(OFFSET('HARGA SATUAN'!$I$6,MATCH(RAB!C87,'HARGA SATUAN'!$C$7:$C$1492,0),0)),0,OFFSET('HARGA SATUAN'!$I$6,MATCH(RAB!C87,'HARGA SATUAN'!$C$7:$C$1492,0),0))</f>
        <v>3888</v>
      </c>
      <c r="H87" s="361">
        <f t="shared" ca="1" si="28"/>
        <v>0</v>
      </c>
      <c r="I87" s="361">
        <f t="shared" ca="1" si="29"/>
        <v>3888</v>
      </c>
      <c r="J87" s="361">
        <f t="shared" ca="1" si="30"/>
        <v>0</v>
      </c>
      <c r="K87" s="362">
        <f t="shared" ca="1" si="31"/>
        <v>3888</v>
      </c>
    </row>
    <row r="88" spans="2:11">
      <c r="B88" s="501">
        <v>7</v>
      </c>
      <c r="C88" s="502" t="s">
        <v>119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Set</v>
      </c>
      <c r="F88" s="503">
        <f>F81*2</f>
        <v>2</v>
      </c>
      <c r="G88" s="360">
        <f ca="1">IF(ISERROR(OFFSET('HARGA SATUAN'!$I$6,MATCH(RAB!C88,'HARGA SATUAN'!$C$7:$C$1492,0),0)),0,OFFSET('HARGA SATUAN'!$I$6,MATCH(RAB!C88,'HARGA SATUAN'!$C$7:$C$1492,0),0))</f>
        <v>8900</v>
      </c>
      <c r="H88" s="361">
        <f t="shared" ca="1" si="28"/>
        <v>0</v>
      </c>
      <c r="I88" s="361">
        <f t="shared" ca="1" si="29"/>
        <v>17800</v>
      </c>
      <c r="J88" s="361">
        <f t="shared" ca="1" si="30"/>
        <v>0</v>
      </c>
      <c r="K88" s="362">
        <f t="shared" ca="1" si="31"/>
        <v>17800</v>
      </c>
    </row>
    <row r="89" spans="2:11">
      <c r="B89" s="374"/>
      <c r="C89" s="500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8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28"/>
        <v>0</v>
      </c>
      <c r="I89" s="361">
        <f t="shared" ca="1" si="29"/>
        <v>0</v>
      </c>
      <c r="J89" s="361">
        <f t="shared" ca="1" si="30"/>
        <v>0</v>
      </c>
      <c r="K89" s="362">
        <f t="shared" ca="1" si="31"/>
        <v>0</v>
      </c>
    </row>
    <row r="90" spans="2:11">
      <c r="B90" s="366" t="s">
        <v>22</v>
      </c>
      <c r="C90" s="367" t="s">
        <v>1615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368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28"/>
        <v>0</v>
      </c>
      <c r="I90" s="361">
        <f t="shared" ca="1" si="29"/>
        <v>0</v>
      </c>
      <c r="J90" s="361">
        <f t="shared" ca="1" si="30"/>
        <v>0</v>
      </c>
      <c r="K90" s="362">
        <f t="shared" ca="1" si="31"/>
        <v>0</v>
      </c>
    </row>
    <row r="91" spans="2:11">
      <c r="B91" s="374"/>
      <c r="C91" s="373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368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28"/>
        <v>0</v>
      </c>
      <c r="I91" s="361">
        <f t="shared" ca="1" si="29"/>
        <v>0</v>
      </c>
      <c r="J91" s="361">
        <f t="shared" ca="1" si="30"/>
        <v>0</v>
      </c>
      <c r="K91" s="362">
        <f t="shared" ca="1" si="31"/>
        <v>0</v>
      </c>
    </row>
    <row r="92" spans="2:11">
      <c r="B92" s="375"/>
      <c r="C92" s="376" t="s">
        <v>475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368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28"/>
        <v>0</v>
      </c>
      <c r="I92" s="361">
        <f t="shared" ca="1" si="29"/>
        <v>0</v>
      </c>
      <c r="J92" s="361">
        <f t="shared" ca="1" si="30"/>
        <v>0</v>
      </c>
      <c r="K92" s="362">
        <f t="shared" ca="1" si="31"/>
        <v>0</v>
      </c>
    </row>
    <row r="93" spans="2:11">
      <c r="B93" s="378">
        <v>1</v>
      </c>
      <c r="C93" s="379" t="s">
        <v>1091</v>
      </c>
      <c r="D93" s="380" t="str">
        <f ca="1">IF(ISERROR(OFFSET('HARGA SATUAN'!$D$6,MATCH(RAB!C93,'HARGA SATUAN'!$C$7:$C$1492,0),0)),"",OFFSET('HARGA SATUAN'!$D$6,MATCH(RAB!C93,'HARGA SATUAN'!$C$7:$C$1492,0),0))</f>
        <v>JASA</v>
      </c>
      <c r="E93" s="381" t="str">
        <f ca="1">IF(ISERROR(OFFSET('HARGA SATUAN'!$E$6,MATCH(RAB!C93,'HARGA SATUAN'!$C$7:$C$1492,0),0)),"",OFFSET('HARGA SATUAN'!$E$6,MATCH(RAB!C93,'HARGA SATUAN'!$C$7:$C$1492,0),0))</f>
        <v>Lot</v>
      </c>
      <c r="F93" s="382">
        <v>1</v>
      </c>
      <c r="G93" s="383">
        <f ca="1">IF(ISERROR(OFFSET('HARGA SATUAN'!$I$6,MATCH(RAB!C93,'HARGA SATUAN'!$C$7:$C$1492,0),0)),0,OFFSET('HARGA SATUAN'!$I$6,MATCH(RAB!C93,'HARGA SATUAN'!$C$7:$C$1492,0),0))</f>
        <v>2.5000000000000001E-2</v>
      </c>
      <c r="H93" s="384"/>
      <c r="I93" s="384"/>
      <c r="J93" s="384">
        <f ca="1">SUM(K15:K17)*G93</f>
        <v>0</v>
      </c>
      <c r="K93" s="385">
        <f ca="1">SUM(H93:J93)</f>
        <v>0</v>
      </c>
    </row>
    <row r="94" spans="2:11">
      <c r="B94" s="386"/>
      <c r="C94" s="387"/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IF(ISERROR(OFFSET('HARGA SATUAN'!$E$6,MATCH(RAB!C94,'HARGA SATUAN'!$C$7:$C$1492,0),0)),"",OFFSET('HARGA SATUAN'!$E$6,MATCH(RAB!C94,'HARGA SATUAN'!$C$7:$C$1492,0),0))</f>
        <v/>
      </c>
      <c r="F94" s="377"/>
      <c r="G94" s="360" t="str">
        <f ca="1">IF(ISERROR(OFFSET('HARGA SATUAN'!$I$6,MATCH(RAB!C94,'HARGA SATUAN'!$C$7:$C$1492,0),0)),"",OFFSET('HARGA SATUAN'!$I$6,MATCH(RAB!C94,'HARGA SATUAN'!$C$7:$C$1492,0),0))</f>
        <v/>
      </c>
      <c r="H94" s="361">
        <f ca="1">IF(OR(D94="MDU",D94="MDU-KD"),IF(G94="PLN",0,G94*F94),0)</f>
        <v>0</v>
      </c>
      <c r="I94" s="361">
        <f ca="1">IF(D94="HDW",IF(G94="PLN",0,G94*F94),0)</f>
        <v>0</v>
      </c>
      <c r="J94" s="361">
        <f ca="1">IF(D94="JASA",IF(G94="PLN",0,G94*F94),0)</f>
        <v>0</v>
      </c>
      <c r="K94" s="362">
        <f ca="1">SUM(H94:J94)</f>
        <v>0</v>
      </c>
    </row>
    <row r="95" spans="2:11" ht="15.75" thickBot="1">
      <c r="B95" s="388"/>
      <c r="C95" s="389"/>
      <c r="D95" s="390"/>
      <c r="E95" s="391"/>
      <c r="F95" s="391"/>
      <c r="G95" s="391"/>
      <c r="H95" s="392"/>
      <c r="I95" s="392"/>
      <c r="J95" s="392"/>
      <c r="K95" s="393"/>
    </row>
    <row r="96" spans="2:11">
      <c r="B96" s="394"/>
      <c r="C96" s="632" t="s">
        <v>1008</v>
      </c>
      <c r="D96" s="632"/>
      <c r="E96" s="632"/>
      <c r="F96" s="632"/>
      <c r="G96" s="395" t="s">
        <v>9</v>
      </c>
      <c r="H96" s="396">
        <f ca="1">SUM(H14:H94)</f>
        <v>63092250</v>
      </c>
      <c r="I96" s="396">
        <f ca="1">SUM(I14:I94)</f>
        <v>9453474</v>
      </c>
      <c r="J96" s="396">
        <f ca="1">SUM(J14:J94)</f>
        <v>2760640</v>
      </c>
      <c r="K96" s="396">
        <f ca="1">SUM(K14:K94)</f>
        <v>75306364</v>
      </c>
    </row>
    <row r="97" spans="2:13">
      <c r="B97" s="398"/>
      <c r="C97" s="615" t="s">
        <v>1457</v>
      </c>
      <c r="D97" s="615"/>
      <c r="E97" s="615"/>
      <c r="F97" s="615"/>
      <c r="G97" s="399" t="s">
        <v>9</v>
      </c>
      <c r="H97" s="400">
        <f ca="1">H96*0.11</f>
        <v>6940147.5</v>
      </c>
      <c r="I97" s="400">
        <f ca="1">I96*0.11</f>
        <v>1039882.14</v>
      </c>
      <c r="J97" s="400">
        <f ca="1">J96*0.11</f>
        <v>303670.40000000002</v>
      </c>
      <c r="K97" s="400">
        <f ca="1">K96*0.11</f>
        <v>8283700.04</v>
      </c>
    </row>
    <row r="98" spans="2:13" ht="15.75" thickBot="1">
      <c r="B98" s="398"/>
      <c r="C98" s="613" t="s">
        <v>463</v>
      </c>
      <c r="D98" s="613"/>
      <c r="E98" s="613"/>
      <c r="F98" s="613"/>
      <c r="G98" s="401" t="s">
        <v>9</v>
      </c>
      <c r="H98" s="402">
        <f ca="1">SUM(H96:H97)</f>
        <v>70032397.5</v>
      </c>
      <c r="I98" s="402">
        <f ca="1">SUM(I96:I97)</f>
        <v>10493356.140000001</v>
      </c>
      <c r="J98" s="401">
        <f ca="1">SUM(J96:J97)</f>
        <v>3064310.4</v>
      </c>
      <c r="K98" s="401">
        <f ca="1">SUM(K96:K97)</f>
        <v>83590064.040000007</v>
      </c>
      <c r="M98" s="484"/>
    </row>
    <row r="99" spans="2:13">
      <c r="B99" s="616" t="str">
        <f ca="1">"Terbilang : "&amp;PROPER(IF(K98=0,"nol",IF(K98&lt;0,"minus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IF(--MID(TEXT(ABS(K98),"000000000000000"),1,3)=0,"",MID(TEXT(ABS(K98),"000000000000000"),1,1)&amp;" ratus "&amp;MID(TEXT(ABS(K98),"000000000000000"),2,1)&amp;" puluh "&amp;MID(TEXT(ABS(K98),"000000000000000"),3,1)&amp;" trilyun ")&amp; IF(--MID(TEXT(ABS(K98),"000000000000000"),4,3)=0,"",MID(TEXT(ABS(K98),"000000000000000"),4,1)&amp;" ratus "&amp;MID(TEXT(ABS(K98),"000000000000000"),5,1)&amp;" puluh "&amp;MID(TEXT(ABS(K98),"000000000000000"),6,1)&amp;" milyar ")&amp; IF(--MID(TEXT(ABS(K98),"000000000000000"),7,3)=0,"",MID(TEXT(ABS(K98),"000000000000000"),7,1)&amp;" ratus "&amp;MID(TEXT(ABS(K98),"000000000000000"),8,1)&amp;" puluh "&amp;MID(TEXT(ABS(K98),"000000000000000"),9,1)&amp;" juta ")&amp; IF(--MID(TEXT(ABS(K98),"000000000000000"),10,3)=0,"",IF(--MID(TEXT(ABS(K98),"000000000000000"),10,3)=1,"*",MID(TEXT(ABS(K98),"000000000000000"),10,1)&amp;" ratus "&amp;MID(TEXT(ABS(K98),"000000000000000"),11,1)&amp;" puluh ")&amp;MID(TEXT(ABS(K98),"000000000000000"),12,1)&amp;" ribu ")&amp; IF(--MID(TEXT(ABS(K98),"000000000000000"),13,3)=0,"",MID(TEXT(ABS(K98),"000000000000000"),13,1)&amp;" ratus "&amp;MID(TEXT(ABS(K98),"000000000000000"),14,1)&amp;" puluh "&amp;MID(TEXT(ABS(K98),"000000000000000"),15,1)),1,"satu"),2,"dua"),3,"tiga"),4,"empat"),5,"lima"),6,"enam"),7,"tujuh"),8,"delapan"),9,"sembilan"),"0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Tiga Juta Lima Ratus Sembilan Puluh Ribu Enam Puluh Empat Rupiah</v>
      </c>
      <c r="C99" s="617"/>
      <c r="D99" s="617"/>
      <c r="E99" s="617"/>
      <c r="F99" s="617"/>
      <c r="G99" s="617"/>
      <c r="H99" s="617"/>
      <c r="I99" s="617"/>
      <c r="J99" s="617"/>
      <c r="K99" s="618"/>
    </row>
    <row r="100" spans="2:13">
      <c r="B100" s="619"/>
      <c r="C100" s="620"/>
      <c r="D100" s="620"/>
      <c r="E100" s="620"/>
      <c r="F100" s="620"/>
      <c r="G100" s="620"/>
      <c r="H100" s="620"/>
      <c r="I100" s="620"/>
      <c r="J100" s="620"/>
      <c r="K100" s="621"/>
    </row>
    <row r="101" spans="2:13" ht="15.75" thickBot="1">
      <c r="B101" s="403" t="str">
        <f>"Harga yang dipakai adalah "&amp;'HARGA SATUAN'!I5&amp;""</f>
        <v>Harga yang dipakai adalah RAB HSS 2023</v>
      </c>
      <c r="C101" s="404"/>
      <c r="D101" s="405"/>
      <c r="E101" s="405"/>
      <c r="F101" s="405"/>
      <c r="G101" s="406"/>
      <c r="H101" s="406"/>
      <c r="I101" s="406"/>
      <c r="J101" s="406"/>
      <c r="K101" s="407"/>
    </row>
    <row r="102" spans="2:13">
      <c r="C102" s="408"/>
      <c r="E102" s="410"/>
      <c r="F102" s="410"/>
      <c r="G102" s="410"/>
    </row>
    <row r="103" spans="2:13">
      <c r="C103" s="337"/>
      <c r="E103" s="410"/>
      <c r="F103" s="410"/>
      <c r="G103" s="410"/>
      <c r="H103" s="622"/>
      <c r="I103" s="622"/>
      <c r="J103" s="623"/>
      <c r="K103" s="623"/>
    </row>
    <row r="104" spans="2:13">
      <c r="C104" s="337"/>
      <c r="E104" s="410"/>
      <c r="F104" s="410"/>
      <c r="G104" s="410"/>
      <c r="H104" s="411"/>
      <c r="I104" s="612" t="s">
        <v>1610</v>
      </c>
      <c r="J104" s="612"/>
      <c r="K104" s="612"/>
    </row>
    <row r="105" spans="2:13">
      <c r="C105" s="337"/>
      <c r="E105" s="410"/>
      <c r="F105" s="410"/>
      <c r="G105" s="410"/>
      <c r="H105" s="411"/>
      <c r="I105" s="612" t="s">
        <v>1546</v>
      </c>
      <c r="J105" s="612"/>
      <c r="K105" s="612"/>
    </row>
    <row r="106" spans="2:13">
      <c r="C106" s="337"/>
      <c r="E106" s="410"/>
      <c r="F106" s="410"/>
      <c r="G106" s="410"/>
      <c r="H106" s="412"/>
      <c r="I106" s="413"/>
      <c r="J106" s="413"/>
      <c r="K106" s="413"/>
    </row>
    <row r="107" spans="2:13">
      <c r="C107" s="337"/>
      <c r="E107" s="410"/>
      <c r="F107" s="410"/>
      <c r="G107" s="410"/>
      <c r="H107" s="412"/>
      <c r="I107" s="412"/>
      <c r="J107" s="412"/>
      <c r="K107" s="412"/>
    </row>
    <row r="108" spans="2:13">
      <c r="C108" s="337"/>
      <c r="E108" s="410"/>
      <c r="F108" s="410"/>
      <c r="G108" s="410"/>
      <c r="H108" s="412"/>
      <c r="I108" s="412"/>
      <c r="J108" s="412"/>
      <c r="K108" s="412"/>
    </row>
    <row r="109" spans="2:13">
      <c r="C109" s="337"/>
      <c r="E109" s="410"/>
      <c r="F109" s="410"/>
      <c r="G109" s="410"/>
      <c r="H109" s="412"/>
      <c r="I109" s="412"/>
      <c r="J109" s="412"/>
      <c r="K109" s="412"/>
    </row>
    <row r="110" spans="2:13">
      <c r="C110" s="337"/>
      <c r="E110" s="410"/>
      <c r="F110" s="410"/>
      <c r="G110" s="410"/>
      <c r="H110" s="414"/>
      <c r="I110" s="612" t="s">
        <v>1547</v>
      </c>
      <c r="J110" s="612"/>
      <c r="K110" s="612"/>
    </row>
    <row r="111" spans="2:13">
      <c r="C111" s="408"/>
      <c r="E111" s="410"/>
      <c r="F111" s="410"/>
      <c r="G111" s="410"/>
      <c r="H111" s="412"/>
      <c r="I111" s="412"/>
      <c r="J111" s="412"/>
      <c r="K111" s="412"/>
    </row>
    <row r="112" spans="2:13">
      <c r="C112" s="408"/>
      <c r="E112" s="410"/>
      <c r="F112" s="410"/>
      <c r="G112" s="410"/>
      <c r="H112" s="412"/>
      <c r="I112" s="412"/>
      <c r="J112" s="412"/>
      <c r="K112" s="412"/>
    </row>
    <row r="113" spans="3:11">
      <c r="C113" s="408"/>
      <c r="E113" s="410"/>
      <c r="F113" s="410"/>
      <c r="G113" s="410"/>
      <c r="H113" s="412"/>
      <c r="I113" s="412"/>
      <c r="J113" s="412"/>
      <c r="K113" s="412"/>
    </row>
  </sheetData>
  <sheetProtection sort="0" autoFilter="0"/>
  <protectedRanges>
    <protectedRange sqref="B91 B73:B89" name="Range1_1"/>
    <protectedRange sqref="F14:F18 F73:F92" name="Range1_1_2_2"/>
    <protectedRange sqref="C91 C73 C75 C78:C89" name="Range1_1_1"/>
    <protectedRange sqref="C76" name="Range1_1_3_13"/>
    <protectedRange sqref="C74" name="Range1_1_3_4"/>
    <protectedRange sqref="C35:C36" name="Range1_1_3_4_1"/>
    <protectedRange sqref="F19:F36" name="Range1_1_2_2_1"/>
    <protectedRange sqref="C34" name="Range1_1_3"/>
    <protectedRange sqref="C44" name="Range1_1_3_1"/>
    <protectedRange sqref="C48" name="Range1_1_3_2"/>
    <protectedRange sqref="C77" name="Range1_1_3_3"/>
  </protectedRanges>
  <mergeCells count="22">
    <mergeCell ref="O3:P4"/>
    <mergeCell ref="B4:K4"/>
    <mergeCell ref="C96:F96"/>
    <mergeCell ref="B11:B13"/>
    <mergeCell ref="C11:C13"/>
    <mergeCell ref="D11:D13"/>
    <mergeCell ref="E11:E13"/>
    <mergeCell ref="F11:F13"/>
    <mergeCell ref="G11:G13"/>
    <mergeCell ref="I12:I13"/>
    <mergeCell ref="I105:K105"/>
    <mergeCell ref="I110:K110"/>
    <mergeCell ref="C98:F98"/>
    <mergeCell ref="G6:K6"/>
    <mergeCell ref="I104:K104"/>
    <mergeCell ref="C97:F97"/>
    <mergeCell ref="B99:K100"/>
    <mergeCell ref="H103:K103"/>
    <mergeCell ref="H11:K11"/>
    <mergeCell ref="H12:H13"/>
    <mergeCell ref="J12:J13"/>
    <mergeCell ref="K12:K13"/>
  </mergeCells>
  <phoneticPr fontId="138" type="noConversion"/>
  <conditionalFormatting sqref="C15 C17">
    <cfRule type="cellIs" dxfId="14" priority="510" operator="equal">
      <formula>0</formula>
    </cfRule>
  </conditionalFormatting>
  <conditionalFormatting sqref="C34:C36">
    <cfRule type="cellIs" dxfId="13" priority="9" operator="equal">
      <formula>0</formula>
    </cfRule>
  </conditionalFormatting>
  <conditionalFormatting sqref="C87">
    <cfRule type="cellIs" dxfId="12" priority="26" operator="equal">
      <formula>0</formula>
    </cfRule>
  </conditionalFormatting>
  <conditionalFormatting sqref="C90">
    <cfRule type="cellIs" dxfId="11" priority="133" operator="equal">
      <formula>0</formula>
    </cfRule>
  </conditionalFormatting>
  <conditionalFormatting sqref="E1:E3 G1:G13 E5:E13 H12:I12 O13 S14:V17 E93:G93 H93:K95 E94:H94 E95:F95 E73:E78 G73:K78 E14:K39 E79:K92 E71:K72">
    <cfRule type="cellIs" dxfId="10" priority="1090" stopIfTrue="1" operator="equal">
      <formula>0</formula>
    </cfRule>
  </conditionalFormatting>
  <conditionalFormatting sqref="E40:E70 G40:K70">
    <cfRule type="cellIs" dxfId="9" priority="10" stopIfTrue="1" operator="equal">
      <formula>0</formula>
    </cfRule>
  </conditionalFormatting>
  <conditionalFormatting sqref="G94:G65560 E99:E65560">
    <cfRule type="cellIs" dxfId="8" priority="224" stopIfTrue="1" operator="equal">
      <formula>0</formula>
    </cfRule>
  </conditionalFormatting>
  <conditionalFormatting sqref="C45">
    <cfRule type="cellIs" dxfId="7" priority="8" operator="equal">
      <formula>0</formula>
    </cfRule>
  </conditionalFormatting>
  <conditionalFormatting sqref="F40:F59">
    <cfRule type="cellIs" dxfId="6" priority="7" stopIfTrue="1" operator="equal">
      <formula>0</formula>
    </cfRule>
  </conditionalFormatting>
  <conditionalFormatting sqref="C44">
    <cfRule type="cellIs" dxfId="5" priority="6" operator="equal">
      <formula>0</formula>
    </cfRule>
  </conditionalFormatting>
  <conditionalFormatting sqref="C48">
    <cfRule type="cellIs" dxfId="4" priority="5" operator="equal">
      <formula>0</formula>
    </cfRule>
  </conditionalFormatting>
  <conditionalFormatting sqref="F60:F70">
    <cfRule type="cellIs" dxfId="3" priority="4" stopIfTrue="1" operator="equal">
      <formula>0</formula>
    </cfRule>
  </conditionalFormatting>
  <conditionalFormatting sqref="C74">
    <cfRule type="cellIs" dxfId="2" priority="3" operator="equal">
      <formula>0</formula>
    </cfRule>
  </conditionalFormatting>
  <conditionalFormatting sqref="F73:F78">
    <cfRule type="cellIs" dxfId="1" priority="2" stopIfTrue="1" operator="equal">
      <formula>0</formula>
    </cfRule>
  </conditionalFormatting>
  <conditionalFormatting sqref="C77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9:F31 C42:C43 H14:K95 F37:F7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0" zoomScale="160" zoomScaleNormal="115" zoomScaleSheetLayoutView="160" workbookViewId="0">
      <selection activeCell="N39" sqref="N39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5" t="s">
        <v>1439</v>
      </c>
      <c r="X2" s="696"/>
      <c r="Y2" s="696"/>
      <c r="Z2" s="696"/>
      <c r="AA2" s="696"/>
      <c r="AB2" s="696"/>
      <c r="AC2" s="696"/>
      <c r="AD2" s="697"/>
    </row>
    <row r="3" spans="3:30">
      <c r="C3" s="238"/>
      <c r="W3" s="698"/>
      <c r="X3" s="699"/>
      <c r="Y3" s="699"/>
      <c r="Z3" s="699"/>
      <c r="AA3" s="699"/>
      <c r="AB3" s="699"/>
      <c r="AC3" s="699"/>
      <c r="AD3" s="70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4" t="s">
        <v>990</v>
      </c>
      <c r="Y5" s="644"/>
      <c r="Z5" s="644"/>
      <c r="AA5" s="644" t="s">
        <v>988</v>
      </c>
      <c r="AB5" s="644"/>
      <c r="AC5" s="644" t="s">
        <v>989</v>
      </c>
      <c r="AD5" s="645"/>
    </row>
    <row r="6" spans="3:30">
      <c r="C6" s="238"/>
      <c r="W6" s="241">
        <v>1</v>
      </c>
      <c r="X6" s="644" t="s">
        <v>993</v>
      </c>
      <c r="Y6" s="644"/>
      <c r="Z6" s="644"/>
      <c r="AA6" s="644"/>
      <c r="AB6" s="644"/>
      <c r="AC6" s="644"/>
      <c r="AD6" s="645"/>
    </row>
    <row r="7" spans="3:30">
      <c r="C7" s="238"/>
      <c r="E7" s="490" t="str">
        <f>PETA!C6</f>
        <v>KOORDINAT : -6.900297, 110.628473</v>
      </c>
      <c r="W7" s="241">
        <v>2</v>
      </c>
      <c r="X7" s="644" t="s">
        <v>994</v>
      </c>
      <c r="Y7" s="644"/>
      <c r="Z7" s="644"/>
      <c r="AA7" s="644"/>
      <c r="AB7" s="644"/>
      <c r="AC7" s="644"/>
      <c r="AD7" s="645"/>
    </row>
    <row r="8" spans="3:30">
      <c r="C8" s="238"/>
      <c r="W8" s="241">
        <v>3</v>
      </c>
      <c r="X8" s="644" t="s">
        <v>995</v>
      </c>
      <c r="Y8" s="644"/>
      <c r="Z8" s="644"/>
      <c r="AA8" s="644"/>
      <c r="AB8" s="644"/>
      <c r="AC8" s="644"/>
      <c r="AD8" s="645"/>
    </row>
    <row r="9" spans="3:30">
      <c r="C9" s="238"/>
      <c r="W9" s="241">
        <v>4</v>
      </c>
      <c r="X9" s="644" t="s">
        <v>996</v>
      </c>
      <c r="Y9" s="644"/>
      <c r="Z9" s="644"/>
      <c r="AA9" s="644"/>
      <c r="AB9" s="644"/>
      <c r="AC9" s="644"/>
      <c r="AD9" s="645"/>
    </row>
    <row r="10" spans="3:30">
      <c r="C10" s="238"/>
      <c r="W10" s="241">
        <v>5</v>
      </c>
      <c r="X10" s="644" t="s">
        <v>997</v>
      </c>
      <c r="Y10" s="644"/>
      <c r="Z10" s="644"/>
      <c r="AA10" s="644"/>
      <c r="AB10" s="644"/>
      <c r="AC10" s="644"/>
      <c r="AD10" s="645"/>
    </row>
    <row r="11" spans="3:30">
      <c r="C11" s="238"/>
      <c r="W11" s="241">
        <v>6</v>
      </c>
      <c r="X11" s="644" t="s">
        <v>998</v>
      </c>
      <c r="Y11" s="644"/>
      <c r="Z11" s="644"/>
      <c r="AA11" s="644"/>
      <c r="AB11" s="644"/>
      <c r="AC11" s="644"/>
      <c r="AD11" s="645"/>
    </row>
    <row r="12" spans="3:30">
      <c r="C12" s="238"/>
      <c r="W12" s="241">
        <v>7</v>
      </c>
      <c r="X12" s="644" t="s">
        <v>999</v>
      </c>
      <c r="Y12" s="644"/>
      <c r="Z12" s="644"/>
      <c r="AA12" s="644"/>
      <c r="AB12" s="644"/>
      <c r="AC12" s="644"/>
      <c r="AD12" s="645"/>
    </row>
    <row r="13" spans="3:30" ht="12.75" customHeight="1">
      <c r="C13" s="238"/>
      <c r="W13" s="241">
        <v>8</v>
      </c>
      <c r="X13" s="644" t="s">
        <v>1000</v>
      </c>
      <c r="Y13" s="644"/>
      <c r="Z13" s="644"/>
      <c r="AA13" s="644"/>
      <c r="AB13" s="644"/>
      <c r="AC13" s="644"/>
      <c r="AD13" s="645"/>
    </row>
    <row r="14" spans="3:30">
      <c r="C14" s="238"/>
      <c r="W14" s="241">
        <v>9</v>
      </c>
      <c r="X14" s="644" t="s">
        <v>1001</v>
      </c>
      <c r="Y14" s="644"/>
      <c r="Z14" s="644"/>
      <c r="AA14" s="644"/>
      <c r="AB14" s="644"/>
      <c r="AC14" s="644"/>
      <c r="AD14" s="645"/>
    </row>
    <row r="15" spans="3:30">
      <c r="C15" s="238"/>
      <c r="W15" s="241">
        <v>10</v>
      </c>
      <c r="X15" s="644" t="s">
        <v>1010</v>
      </c>
      <c r="Y15" s="644"/>
      <c r="Z15" s="644"/>
      <c r="AA15" s="644"/>
      <c r="AB15" s="644"/>
      <c r="AC15" s="644"/>
      <c r="AD15" s="645"/>
    </row>
    <row r="16" spans="3:30">
      <c r="C16" s="238"/>
      <c r="K16" s="506"/>
      <c r="W16" s="241">
        <v>11</v>
      </c>
      <c r="X16" s="644" t="s">
        <v>1455</v>
      </c>
      <c r="Y16" s="644"/>
      <c r="Z16" s="644"/>
      <c r="AA16" s="644"/>
      <c r="AB16" s="644"/>
      <c r="AC16" s="644"/>
      <c r="AD16" s="645"/>
    </row>
    <row r="17" spans="3:30">
      <c r="C17" s="238"/>
      <c r="S17" s="242"/>
      <c r="W17" s="241">
        <v>12</v>
      </c>
      <c r="X17" s="644" t="s">
        <v>1011</v>
      </c>
      <c r="Y17" s="644"/>
      <c r="Z17" s="644"/>
      <c r="AA17" s="644"/>
      <c r="AB17" s="644"/>
      <c r="AC17" s="644"/>
      <c r="AD17" s="645"/>
    </row>
    <row r="18" spans="3:30">
      <c r="C18" s="243"/>
      <c r="D18" s="244"/>
      <c r="E18" s="244"/>
      <c r="W18" s="241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238"/>
      <c r="W19" s="245"/>
      <c r="X19" s="693"/>
      <c r="Y19" s="693"/>
      <c r="Z19" s="693"/>
      <c r="AA19" s="693"/>
      <c r="AB19" s="693"/>
      <c r="AC19" s="693"/>
      <c r="AD19" s="694"/>
    </row>
    <row r="20" spans="3:30">
      <c r="C20" s="238"/>
      <c r="W20" s="680" t="s">
        <v>992</v>
      </c>
      <c r="X20" s="681"/>
      <c r="Y20" s="681"/>
      <c r="Z20" s="681"/>
      <c r="AA20" s="681"/>
      <c r="AB20" s="681"/>
      <c r="AC20" s="681"/>
      <c r="AD20" s="682"/>
    </row>
    <row r="21" spans="3:30">
      <c r="C21" s="238"/>
      <c r="W21" s="683" t="s">
        <v>985</v>
      </c>
      <c r="X21" s="684"/>
      <c r="Y21" s="684"/>
      <c r="Z21" s="685"/>
      <c r="AA21" s="686" t="s">
        <v>986</v>
      </c>
      <c r="AB21" s="687"/>
      <c r="AC21" s="687"/>
      <c r="AD21" s="688"/>
    </row>
    <row r="22" spans="3:30">
      <c r="C22" s="238"/>
      <c r="W22" s="689" t="s">
        <v>1621</v>
      </c>
      <c r="X22" s="690"/>
      <c r="Y22" s="492">
        <v>1</v>
      </c>
      <c r="Z22" s="493"/>
      <c r="AA22" s="691"/>
      <c r="AB22" s="692"/>
      <c r="AC22" s="248"/>
      <c r="AD22" s="249"/>
    </row>
    <row r="23" spans="3:30">
      <c r="C23" s="238"/>
      <c r="W23" s="689" t="s">
        <v>1622</v>
      </c>
      <c r="X23" s="690"/>
      <c r="Y23" s="492">
        <v>1</v>
      </c>
      <c r="Z23" s="493"/>
      <c r="AA23" s="678"/>
      <c r="AB23" s="679"/>
      <c r="AC23" s="248"/>
      <c r="AD23" s="249"/>
    </row>
    <row r="24" spans="3:30">
      <c r="C24" s="238"/>
      <c r="W24" s="673" t="s">
        <v>1623</v>
      </c>
      <c r="X24" s="675"/>
      <c r="Y24" s="246">
        <v>1</v>
      </c>
      <c r="Z24" s="247"/>
      <c r="AA24" s="676"/>
      <c r="AB24" s="677"/>
      <c r="AC24" s="248"/>
      <c r="AD24" s="249"/>
    </row>
    <row r="25" spans="3:30">
      <c r="C25" s="238"/>
      <c r="W25" s="673" t="s">
        <v>1616</v>
      </c>
      <c r="X25" s="675"/>
      <c r="Y25" s="246">
        <v>2</v>
      </c>
      <c r="Z25" s="247"/>
      <c r="AA25" s="678"/>
      <c r="AB25" s="679"/>
      <c r="AC25" s="248"/>
      <c r="AD25" s="249"/>
    </row>
    <row r="26" spans="3:30">
      <c r="C26" s="238"/>
      <c r="W26" s="480" t="s">
        <v>1620</v>
      </c>
      <c r="X26" s="481"/>
      <c r="Y26" s="246">
        <v>4</v>
      </c>
      <c r="Z26" s="247"/>
      <c r="AA26" s="678"/>
      <c r="AB26" s="679"/>
      <c r="AC26" s="248"/>
      <c r="AD26" s="249"/>
    </row>
    <row r="27" spans="3:30">
      <c r="C27" s="238"/>
      <c r="W27" s="480" t="s">
        <v>1618</v>
      </c>
      <c r="X27" s="481"/>
      <c r="Y27" s="246">
        <v>8</v>
      </c>
      <c r="Z27" s="247"/>
      <c r="AA27" s="672"/>
      <c r="AB27" s="667"/>
      <c r="AC27" s="248"/>
      <c r="AD27" s="249"/>
    </row>
    <row r="28" spans="3:30">
      <c r="C28" s="238"/>
      <c r="W28" s="480"/>
      <c r="X28" s="481"/>
      <c r="Y28" s="246"/>
      <c r="Z28" s="247"/>
      <c r="AA28" s="672"/>
      <c r="AB28" s="667"/>
      <c r="AC28" s="248"/>
      <c r="AD28" s="249"/>
    </row>
    <row r="29" spans="3:30">
      <c r="C29" s="238"/>
      <c r="W29" s="480"/>
      <c r="X29" s="481"/>
      <c r="Y29" s="246"/>
      <c r="Z29" s="247"/>
      <c r="AA29" s="672"/>
      <c r="AB29" s="667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2"/>
      <c r="AB30" s="667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2"/>
      <c r="AB31" s="667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2"/>
      <c r="AB32" s="667"/>
      <c r="AC32" s="248"/>
      <c r="AD32" s="249"/>
    </row>
    <row r="33" spans="3:30">
      <c r="C33" s="238"/>
      <c r="W33" s="480"/>
      <c r="X33" s="481"/>
      <c r="Y33" s="246"/>
      <c r="Z33" s="247"/>
      <c r="AA33" s="672"/>
      <c r="AB33" s="667"/>
      <c r="AC33" s="248"/>
      <c r="AD33" s="249"/>
    </row>
    <row r="34" spans="3:30">
      <c r="C34" s="238"/>
      <c r="W34" s="480"/>
      <c r="X34" s="481"/>
      <c r="Y34" s="246"/>
      <c r="Z34" s="247"/>
      <c r="AA34" s="672"/>
      <c r="AB34" s="667"/>
      <c r="AC34" s="248"/>
      <c r="AD34" s="249"/>
    </row>
    <row r="35" spans="3:30">
      <c r="C35" s="238"/>
      <c r="W35" s="673"/>
      <c r="X35" s="674"/>
      <c r="Y35" s="246"/>
      <c r="Z35" s="247"/>
      <c r="AA35" s="672"/>
      <c r="AB35" s="667"/>
      <c r="AC35" s="248"/>
      <c r="AD35" s="249"/>
    </row>
    <row r="36" spans="3:30">
      <c r="C36" s="238"/>
      <c r="W36" s="664"/>
      <c r="X36" s="665"/>
      <c r="Y36" s="246"/>
      <c r="Z36" s="251"/>
      <c r="AA36" s="666"/>
      <c r="AB36" s="667"/>
      <c r="AC36" s="248"/>
      <c r="AD36" s="249"/>
    </row>
    <row r="37" spans="3:30" ht="12.75" customHeight="1">
      <c r="C37" s="238"/>
      <c r="W37" s="668"/>
      <c r="X37" s="669"/>
      <c r="Y37" s="246"/>
      <c r="Z37" s="251"/>
      <c r="AA37" s="670"/>
      <c r="AB37" s="671"/>
      <c r="AC37" s="252"/>
      <c r="AD37" s="253"/>
    </row>
    <row r="38" spans="3:30" ht="12.75" customHeight="1">
      <c r="C38" s="238"/>
      <c r="W38" s="668"/>
      <c r="X38" s="669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4"/>
      <c r="W39" s="668"/>
      <c r="X39" s="669"/>
      <c r="Y39" s="254"/>
      <c r="Z39" s="257"/>
      <c r="AA39" s="660"/>
      <c r="AB39" s="661"/>
      <c r="AC39" s="252"/>
      <c r="AD39" s="253"/>
    </row>
    <row r="40" spans="3:30" ht="12" customHeight="1">
      <c r="C40" s="238"/>
      <c r="D40" s="504"/>
      <c r="W40" s="656"/>
      <c r="X40" s="657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4"/>
      <c r="W41" s="658"/>
      <c r="X41" s="659"/>
      <c r="Y41" s="260"/>
      <c r="Z41" s="261"/>
      <c r="AA41" s="660"/>
      <c r="AB41" s="661"/>
      <c r="AC41" s="252"/>
      <c r="AD41" s="253"/>
    </row>
    <row r="42" spans="3:30" ht="12" customHeight="1">
      <c r="C42" s="238"/>
      <c r="D42" s="504"/>
      <c r="W42" s="662" t="s">
        <v>1456</v>
      </c>
      <c r="X42" s="663"/>
      <c r="Y42" s="663"/>
      <c r="Z42" s="663"/>
      <c r="AA42" s="262"/>
      <c r="AB42" s="262"/>
      <c r="AC42" s="262"/>
      <c r="AD42" s="263"/>
    </row>
    <row r="43" spans="3:30" ht="12" customHeight="1">
      <c r="C43" s="238"/>
      <c r="D43" s="504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4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1" t="s">
        <v>11</v>
      </c>
      <c r="X44" s="642"/>
      <c r="Y44" s="644"/>
      <c r="Z44" s="644"/>
      <c r="AA44" s="644"/>
      <c r="AB44" s="644"/>
      <c r="AC44" s="644"/>
      <c r="AD44" s="645"/>
    </row>
    <row r="45" spans="3:30">
      <c r="C45" s="268"/>
      <c r="D45" s="504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1" t="s">
        <v>984</v>
      </c>
      <c r="X45" s="642"/>
      <c r="Y45" s="644">
        <v>1</v>
      </c>
      <c r="Z45" s="644"/>
      <c r="AA45" s="644"/>
      <c r="AB45" s="644" t="s">
        <v>12</v>
      </c>
      <c r="AC45" s="64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1" t="s">
        <v>15</v>
      </c>
      <c r="X46" s="642"/>
      <c r="Y46" s="655"/>
      <c r="Z46" s="655"/>
      <c r="AA46" s="655"/>
      <c r="AB46" s="644" t="s">
        <v>16</v>
      </c>
      <c r="AC46" s="644"/>
      <c r="AD46" s="271"/>
    </row>
    <row r="47" spans="3:30">
      <c r="C47" s="268"/>
      <c r="D47" s="505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9" t="s">
        <v>17</v>
      </c>
      <c r="X47" s="649"/>
      <c r="Y47" s="649"/>
      <c r="Z47" s="649"/>
      <c r="AA47" s="649"/>
      <c r="AB47" s="649"/>
      <c r="AC47" s="649"/>
      <c r="AD47" s="650"/>
    </row>
    <row r="48" spans="3:30" ht="12.75" customHeight="1">
      <c r="C48" s="268"/>
      <c r="D48" s="505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1" t="str">
        <f>RAB!G6</f>
        <v>KANTOR DIPENDA (DINAS PERTANIAN DAN PANGAN)</v>
      </c>
      <c r="X48" s="651"/>
      <c r="Y48" s="651"/>
      <c r="Z48" s="651"/>
      <c r="AA48" s="651"/>
      <c r="AB48" s="651"/>
      <c r="AC48" s="651"/>
      <c r="AD48" s="65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1"/>
      <c r="X49" s="651"/>
      <c r="Y49" s="651"/>
      <c r="Z49" s="651"/>
      <c r="AA49" s="651"/>
      <c r="AB49" s="651"/>
      <c r="AC49" s="651"/>
      <c r="AD49" s="65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1"/>
      <c r="X50" s="651"/>
      <c r="Y50" s="651"/>
      <c r="Z50" s="651"/>
      <c r="AA50" s="651"/>
      <c r="AB50" s="651"/>
      <c r="AC50" s="651"/>
      <c r="AD50" s="65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3"/>
      <c r="X51" s="653"/>
      <c r="Y51" s="653"/>
      <c r="Z51" s="653"/>
      <c r="AA51" s="653"/>
      <c r="AB51" s="653"/>
      <c r="AC51" s="653"/>
      <c r="AD51" s="65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1" t="s">
        <v>18</v>
      </c>
      <c r="X52" s="642"/>
      <c r="Y52" s="644" t="s">
        <v>1549</v>
      </c>
      <c r="Z52" s="644"/>
      <c r="AA52" s="644"/>
      <c r="AB52" s="644"/>
      <c r="AC52" s="644"/>
      <c r="AD52" s="64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1" t="s">
        <v>19</v>
      </c>
      <c r="X53" s="642"/>
      <c r="Y53" s="644" t="s">
        <v>1549</v>
      </c>
      <c r="Z53" s="644"/>
      <c r="AA53" s="644"/>
      <c r="AB53" s="644"/>
      <c r="AC53" s="644"/>
      <c r="AD53" s="64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1" t="s">
        <v>20</v>
      </c>
      <c r="X54" s="642"/>
      <c r="Y54" s="643" t="s">
        <v>1550</v>
      </c>
      <c r="Z54" s="643"/>
      <c r="AA54" s="643"/>
      <c r="AB54" s="644"/>
      <c r="AC54" s="644"/>
      <c r="AD54" s="64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6" t="s">
        <v>21</v>
      </c>
      <c r="X55" s="647"/>
      <c r="Y55" s="643" t="s">
        <v>1551</v>
      </c>
      <c r="Z55" s="643"/>
      <c r="AA55" s="643"/>
      <c r="AB55" s="643"/>
      <c r="AC55" s="643"/>
      <c r="AD55" s="64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P47" sqref="P47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1" t="s">
        <v>1528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17"/>
      <c r="AE4" s="216"/>
      <c r="AF4" s="216"/>
    </row>
    <row r="5" spans="2:32" ht="13.5" customHeight="1">
      <c r="B5" s="215"/>
      <c r="C5" s="215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17"/>
      <c r="AE5" s="216"/>
      <c r="AF5" s="216"/>
    </row>
    <row r="6" spans="2:32" ht="12.75" customHeight="1">
      <c r="B6" s="215"/>
      <c r="C6" s="215"/>
      <c r="D6" s="704"/>
      <c r="E6" s="705"/>
      <c r="F6" s="705"/>
      <c r="G6" s="705"/>
      <c r="H6" s="705"/>
      <c r="I6" s="705"/>
      <c r="J6" s="705"/>
      <c r="K6" s="705"/>
      <c r="L6" s="705"/>
      <c r="M6" s="705"/>
      <c r="N6" s="705"/>
      <c r="O6" s="705"/>
      <c r="P6" s="705"/>
      <c r="Q6" s="705"/>
      <c r="R6" s="705"/>
      <c r="S6" s="705"/>
      <c r="T6" s="705"/>
      <c r="U6" s="705"/>
      <c r="V6" s="705"/>
      <c r="W6" s="705"/>
      <c r="X6" s="705"/>
      <c r="Y6" s="705"/>
      <c r="Z6" s="705"/>
      <c r="AA6" s="705"/>
      <c r="AB6" s="705"/>
      <c r="AC6" s="706"/>
      <c r="AE6" s="216"/>
      <c r="AF6" s="216"/>
    </row>
    <row r="7" spans="2:32" ht="12.75" customHeight="1" thickBot="1">
      <c r="B7" s="215"/>
      <c r="C7" s="215"/>
      <c r="D7" s="707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08"/>
      <c r="P7" s="708"/>
      <c r="Q7" s="708"/>
      <c r="R7" s="708"/>
      <c r="S7" s="708"/>
      <c r="T7" s="708"/>
      <c r="U7" s="708"/>
      <c r="V7" s="708"/>
      <c r="W7" s="708"/>
      <c r="X7" s="708"/>
      <c r="Y7" s="708"/>
      <c r="Z7" s="708"/>
      <c r="AA7" s="708"/>
      <c r="AB7" s="708"/>
      <c r="AC7" s="70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5" t="s">
        <v>1527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0" t="s">
        <v>1628</v>
      </c>
      <c r="D6" s="710"/>
      <c r="E6" s="710"/>
      <c r="F6" s="710"/>
      <c r="G6" s="710"/>
      <c r="H6" s="710"/>
      <c r="I6" s="710"/>
      <c r="J6" s="710"/>
      <c r="K6" s="710"/>
      <c r="L6" s="710"/>
      <c r="M6" s="710"/>
      <c r="W6" s="182"/>
      <c r="Y6" s="428"/>
      <c r="Z6" s="428"/>
      <c r="AA6" s="428"/>
      <c r="AB6" s="429"/>
      <c r="AC6" s="429"/>
    </row>
    <row r="7" spans="1:29" ht="18" customHeight="1">
      <c r="A7" s="181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2024-02-23T07:28:17Z</dcterms:modified>
</cp:coreProperties>
</file>