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B002420E-4AA0-444B-A032-2BB36F7C6F2D}" xr6:coauthVersionLast="47" xr6:coauthVersionMax="47" xr10:uidLastSave="{00000000-0000-0000-0000-000000000000}"/>
  <bookViews>
    <workbookView xWindow="-120" yWindow="-120" windowWidth="29040" windowHeight="15720" tabRatio="859" firstSheet="1" activeTab="11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RAB!$A$1:$K$74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2" i="11" l="1"/>
  <c r="F39" i="11"/>
  <c r="D33" i="11"/>
  <c r="J33" i="11" s="1"/>
  <c r="E33" i="11"/>
  <c r="G33" i="11"/>
  <c r="D34" i="11"/>
  <c r="H34" i="11" s="1"/>
  <c r="E34" i="11"/>
  <c r="G34" i="11"/>
  <c r="D35" i="11"/>
  <c r="J35" i="11" s="1"/>
  <c r="E35" i="11"/>
  <c r="G35" i="11"/>
  <c r="I35" i="11" l="1"/>
  <c r="J34" i="11"/>
  <c r="H35" i="11"/>
  <c r="I34" i="11"/>
  <c r="K34" i="11" s="1"/>
  <c r="I33" i="11"/>
  <c r="H33" i="11"/>
  <c r="K35" i="11" l="1"/>
  <c r="K33" i="11"/>
  <c r="F26" i="11" l="1"/>
  <c r="F25" i="11"/>
  <c r="F24" i="11"/>
  <c r="F23" i="11"/>
  <c r="F22" i="11"/>
  <c r="D20" i="11"/>
  <c r="J20" i="11" s="1"/>
  <c r="E20" i="11"/>
  <c r="G20" i="11"/>
  <c r="D21" i="11"/>
  <c r="J21" i="11" s="1"/>
  <c r="E21" i="11"/>
  <c r="G21" i="11"/>
  <c r="D22" i="11"/>
  <c r="J22" i="11" s="1"/>
  <c r="E22" i="11"/>
  <c r="G22" i="11"/>
  <c r="D23" i="11"/>
  <c r="H23" i="11" s="1"/>
  <c r="E23" i="11"/>
  <c r="G23" i="11"/>
  <c r="D24" i="11"/>
  <c r="H24" i="11" s="1"/>
  <c r="E24" i="11"/>
  <c r="G24" i="11"/>
  <c r="D25" i="11"/>
  <c r="J25" i="11" s="1"/>
  <c r="E25" i="11"/>
  <c r="G25" i="11"/>
  <c r="D26" i="11"/>
  <c r="E26" i="11"/>
  <c r="G26" i="11"/>
  <c r="D27" i="11"/>
  <c r="H27" i="11" s="1"/>
  <c r="E27" i="11"/>
  <c r="G27" i="11"/>
  <c r="I21" i="11" l="1"/>
  <c r="I25" i="11"/>
  <c r="I20" i="11"/>
  <c r="J27" i="11"/>
  <c r="H20" i="11"/>
  <c r="I27" i="11"/>
  <c r="H25" i="11"/>
  <c r="I24" i="11"/>
  <c r="J23" i="11"/>
  <c r="H21" i="11"/>
  <c r="I23" i="11"/>
  <c r="J26" i="11"/>
  <c r="I26" i="11"/>
  <c r="I22" i="11"/>
  <c r="H26" i="11"/>
  <c r="J24" i="11"/>
  <c r="H22" i="11"/>
  <c r="D28" i="11"/>
  <c r="H28" i="11" s="1"/>
  <c r="E28" i="11"/>
  <c r="G28" i="11"/>
  <c r="F40" i="11"/>
  <c r="F38" i="11"/>
  <c r="F37" i="11"/>
  <c r="F49" i="11"/>
  <c r="F48" i="11"/>
  <c r="F47" i="11"/>
  <c r="F46" i="11"/>
  <c r="F45" i="11"/>
  <c r="F44" i="11"/>
  <c r="F43" i="11"/>
  <c r="K21" i="11" l="1"/>
  <c r="K20" i="11"/>
  <c r="K24" i="11"/>
  <c r="K25" i="11"/>
  <c r="K23" i="11"/>
  <c r="K27" i="11"/>
  <c r="K26" i="11"/>
  <c r="K22" i="11"/>
  <c r="J28" i="11"/>
  <c r="I28" i="11"/>
  <c r="K28" i="11" l="1"/>
  <c r="G41" i="11" l="1"/>
  <c r="G42" i="11"/>
  <c r="G43" i="11"/>
  <c r="G44" i="11"/>
  <c r="G45" i="11"/>
  <c r="G46" i="11"/>
  <c r="G47" i="11"/>
  <c r="G48" i="11"/>
  <c r="G49" i="11"/>
  <c r="G50" i="11"/>
  <c r="G51" i="11"/>
  <c r="G52" i="11"/>
  <c r="G53" i="11"/>
  <c r="D41" i="11"/>
  <c r="H41" i="11" s="1"/>
  <c r="E41" i="11"/>
  <c r="D42" i="11"/>
  <c r="J42" i="11" s="1"/>
  <c r="E42" i="11"/>
  <c r="D43" i="11"/>
  <c r="E43" i="11"/>
  <c r="D44" i="11"/>
  <c r="H44" i="11" s="1"/>
  <c r="E44" i="11"/>
  <c r="D45" i="11"/>
  <c r="H45" i="11" s="1"/>
  <c r="E45" i="11"/>
  <c r="D46" i="11"/>
  <c r="J46" i="11" s="1"/>
  <c r="E46" i="11"/>
  <c r="D47" i="11"/>
  <c r="E47" i="11"/>
  <c r="D48" i="11"/>
  <c r="H48" i="11" s="1"/>
  <c r="E48" i="11"/>
  <c r="D49" i="11"/>
  <c r="H49" i="11" s="1"/>
  <c r="E49" i="11"/>
  <c r="D50" i="11"/>
  <c r="J50" i="11" s="1"/>
  <c r="E50" i="11"/>
  <c r="D51" i="11"/>
  <c r="J51" i="11" s="1"/>
  <c r="E51" i="11"/>
  <c r="D52" i="11"/>
  <c r="I52" i="11" s="1"/>
  <c r="E52" i="11"/>
  <c r="D53" i="11"/>
  <c r="H53" i="11" s="1"/>
  <c r="E53" i="11"/>
  <c r="D31" i="11"/>
  <c r="H31" i="11" s="1"/>
  <c r="E31" i="11"/>
  <c r="G31" i="11"/>
  <c r="D32" i="11"/>
  <c r="J32" i="11" s="1"/>
  <c r="E32" i="11"/>
  <c r="G32" i="11"/>
  <c r="F30" i="11"/>
  <c r="I47" i="11" l="1"/>
  <c r="I43" i="11"/>
  <c r="I49" i="11"/>
  <c r="J41" i="11"/>
  <c r="H52" i="11"/>
  <c r="J45" i="11"/>
  <c r="H43" i="11"/>
  <c r="I41" i="11"/>
  <c r="J49" i="11"/>
  <c r="H47" i="11"/>
  <c r="I45" i="11"/>
  <c r="I51" i="11"/>
  <c r="I50" i="11"/>
  <c r="I46" i="11"/>
  <c r="I42" i="11"/>
  <c r="J53" i="11"/>
  <c r="H51" i="11"/>
  <c r="H50" i="11"/>
  <c r="J48" i="11"/>
  <c r="H46" i="11"/>
  <c r="J44" i="11"/>
  <c r="H42" i="11"/>
  <c r="I53" i="11"/>
  <c r="J52" i="11"/>
  <c r="I48" i="11"/>
  <c r="J47" i="11"/>
  <c r="I44" i="11"/>
  <c r="J43" i="11"/>
  <c r="I32" i="11"/>
  <c r="H32" i="11"/>
  <c r="J31" i="11"/>
  <c r="I31" i="11"/>
  <c r="K50" i="11" l="1"/>
  <c r="K45" i="11"/>
  <c r="K47" i="11"/>
  <c r="K44" i="11"/>
  <c r="K53" i="11"/>
  <c r="K42" i="11"/>
  <c r="K51" i="11"/>
  <c r="K49" i="11"/>
  <c r="K48" i="11"/>
  <c r="K43" i="11"/>
  <c r="K41" i="11"/>
  <c r="K52" i="11"/>
  <c r="K46" i="11"/>
  <c r="K31" i="11"/>
  <c r="K32" i="11"/>
  <c r="D29" i="11" l="1"/>
  <c r="E29" i="11"/>
  <c r="G29" i="11"/>
  <c r="J30" i="11"/>
  <c r="D36" i="11"/>
  <c r="D37" i="11"/>
  <c r="D38" i="11"/>
  <c r="D39" i="11"/>
  <c r="D40" i="11"/>
  <c r="D19" i="11"/>
  <c r="H19" i="11" s="1"/>
  <c r="E19" i="11"/>
  <c r="G19" i="11"/>
  <c r="E7" i="64"/>
  <c r="D17" i="11"/>
  <c r="J17" i="11" s="1"/>
  <c r="E17" i="11"/>
  <c r="G17" i="11"/>
  <c r="D15" i="11"/>
  <c r="J15" i="11" s="1"/>
  <c r="E15" i="11"/>
  <c r="G15" i="11"/>
  <c r="D16" i="11"/>
  <c r="J16" i="11" s="1"/>
  <c r="E16" i="11"/>
  <c r="G16" i="11"/>
  <c r="H29" i="11" l="1"/>
  <c r="I30" i="11"/>
  <c r="J29" i="11"/>
  <c r="I29" i="11"/>
  <c r="H30" i="11"/>
  <c r="J19" i="11"/>
  <c r="I19" i="11"/>
  <c r="I15" i="11"/>
  <c r="H15" i="11"/>
  <c r="I17" i="11"/>
  <c r="H17" i="11"/>
  <c r="I16" i="11"/>
  <c r="H16" i="11"/>
  <c r="K30" i="11" l="1"/>
  <c r="K29" i="11"/>
  <c r="K19" i="11"/>
  <c r="K15" i="11"/>
  <c r="K17" i="11"/>
  <c r="K16" i="11"/>
  <c r="G6" i="11" l="1"/>
  <c r="E36" i="11"/>
  <c r="G36" i="11"/>
  <c r="J37" i="11"/>
  <c r="E37" i="11"/>
  <c r="G37" i="11"/>
  <c r="J38" i="11"/>
  <c r="E38" i="11"/>
  <c r="G38" i="11"/>
  <c r="E39" i="11"/>
  <c r="G39" i="11"/>
  <c r="H40" i="11"/>
  <c r="E40" i="11"/>
  <c r="G40" i="11"/>
  <c r="D20" i="60"/>
  <c r="H36" i="11" l="1"/>
  <c r="H39" i="11"/>
  <c r="J40" i="11"/>
  <c r="J39" i="11"/>
  <c r="I37" i="11"/>
  <c r="H37" i="11"/>
  <c r="J36" i="11"/>
  <c r="I39" i="11"/>
  <c r="H38" i="11"/>
  <c r="I38" i="11"/>
  <c r="I40" i="11"/>
  <c r="I36" i="11"/>
  <c r="D14" i="11"/>
  <c r="J14" i="11" s="1"/>
  <c r="E14" i="11"/>
  <c r="G14" i="11"/>
  <c r="K19" i="60"/>
  <c r="D19" i="60"/>
  <c r="K37" i="11" l="1"/>
  <c r="K39" i="11"/>
  <c r="K40" i="11"/>
  <c r="K36" i="11"/>
  <c r="K38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54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54" i="11"/>
  <c r="D55" i="11"/>
  <c r="H55" i="11" s="1"/>
  <c r="E55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55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62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54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55" i="11"/>
  <c r="I55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55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57" i="11"/>
  <c r="H58" i="11" s="1"/>
  <c r="I57" i="11"/>
  <c r="I58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45" i="29" l="1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59" i="11"/>
  <c r="I59" i="11"/>
  <c r="F364" i="29"/>
  <c r="F69" i="39"/>
  <c r="F72" i="39"/>
  <c r="F367" i="29"/>
  <c r="J54" i="11"/>
  <c r="K54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57" i="11" l="1"/>
  <c r="K58" i="11" s="1"/>
  <c r="K59" i="11" s="1"/>
  <c r="B60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57" i="11"/>
  <c r="J58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59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5" i="41" l="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G13" i="41" l="1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<sst xmlns="http://schemas.openxmlformats.org/spreadsheetml/2006/main" count="4720" uniqueCount="1629">
  <si>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</si>
  <si>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</si>
  <si>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</si>
  <si>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</si>
  <si>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</si>
  <si>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</si>
  <si>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</si>
  <si>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</si>
  <si>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</si>
  <si>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</si>
  <si>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</si>
  <si>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</si>
  <si>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</si>
  <si>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</si>
  <si>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</si>
  <si>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</si>
  <si>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</si>
  <si>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</si>
  <si>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</si>
  <si>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</si>
  <si>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</si>
  <si>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</si>
  <si>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</si>
  <si>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</si>
  <si>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</si>
  <si>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</si>
  <si>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</si>
  <si>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</si>
  <si>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</si>
  <si>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</si>
  <si>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</si>
  <si>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</si>
  <si>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</si>
  <si>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</si>
  <si>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</si>
  <si>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</si>
  <si>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</si>
  <si>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</si>
  <si>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</si>
  <si>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</si>
  <si>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</si>
  <si>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</si>
  <si>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</si>
  <si>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</si>
  <si>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</si>
  <si>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</si>
  <si>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</si>
  <si>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</si>
  <si>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</si>
  <si>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</si>
  <si>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</si>
  <si>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</si>
  <si>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</si>
  <si>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</si>
  <si>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</si>
  <si>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</si>
  <si>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</si>
  <si>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</si>
  <si>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</si>
  <si>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</si>
  <si>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</si>
  <si>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</si>
  <si>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</si>
  <si>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</si>
  <si>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</si>
  <si>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</si>
  <si>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</si>
  <si>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</si>
  <si>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</si>
  <si>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</si>
  <si>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</si>
  <si>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</si>
  <si>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</si>
  <si>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</si>
  <si>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</si>
  <si>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</si>
  <si>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</si>
  <si>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</si>
  <si>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</si>
  <si>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</si>
  <si>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</si>
  <si>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</si>
  <si>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</si>
  <si>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</si>
  <si>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</si>
  <si>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</si>
  <si>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</si>
  <si>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</si>
  <si>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</si>
  <si>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</si>
  <si>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</si>
  <si>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</si>
  <si>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</si>
  <si>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</si>
  <si>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</si>
  <si>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</si>
  <si>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</si>
  <si>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</si>
  <si>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</si>
  <si>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</si>
  <si>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</si>
  <si>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</si>
  <si>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</si>
  <si>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</si>
  <si>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</si>
  <si>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</si>
  <si>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</si>
  <si>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</si>
  <si>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</si>
  <si>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</si>
  <si>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</si>
  <si>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</si>
  <si>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</si>
  <si>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</si>
  <si>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</si>
  <si>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</si>
  <si>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</si>
  <si>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</si>
  <si>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</si>
  <si>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</si>
  <si>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</si>
  <si>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</si>
  <si>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</si>
  <si>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</si>
  <si>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</si>
  <si>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</si>
  <si>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</si>
  <si>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</si>
  <si>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</si>
  <si>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</si>
  <si>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</si>
  <si>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</si>
  <si>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</si>
  <si>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</si>
  <si>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</si>
  <si>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</si>
  <si>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</si>
  <si>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</si>
  <si>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</si>
  <si>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</si>
  <si>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</si>
  <si>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</si>
  <si>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</si>
  <si>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</si>
  <si>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</si>
  <si>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</si>
  <si>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</si>
  <si>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</si>
  <si>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</si>
  <si>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</si>
  <si>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</si>
  <si>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</si>
  <si>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</si>
  <si>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</si>
  <si>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</si>
  <si>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</si>
  <si>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</si>
  <si>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</si>
  <si>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</si>
  <si>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</si>
  <si>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</si>
  <si>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</si>
  <si>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</si>
  <si>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</si>
  <si>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</si>
  <si>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</si>
  <si>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</si>
  <si>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</si>
  <si>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</si>
  <si>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</si>
  <si>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</si>
  <si>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</si>
  <si>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</si>
  <si>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</si>
  <si>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</si>
  <si>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</si>
  <si>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</si>
  <si>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</si>
  <si>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</si>
  <si>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</si>
  <si>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</si>
  <si>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</si>
  <si>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</si>
  <si>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</si>
  <si>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</si>
  <si>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</si>
  <si>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</si>
  <si>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</si>
  <si>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</si>
  <si>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</si>
  <si>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</si>
  <si>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</si>
  <si>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</si>
  <si>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</si>
  <si>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</si>
  <si>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</si>
  <si>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</si>
  <si>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</si>
  <si>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</si>
  <si>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</si>
  <si>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</si>
  <si>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</si>
  <si>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</si>
  <si>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</si>
  <si>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</si>
  <si>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</si>
  <si>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</si>
  <si>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</si>
  <si>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</si>
  <si>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</si>
  <si>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</si>
  <si>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</si>
  <si>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</si>
  <si>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</si>
  <si>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</si>
  <si>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</si>
  <si>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</si>
  <si>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</si>
  <si>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</si>
  <si>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</si>
  <si>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</si>
  <si>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</si>
  <si>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</si>
  <si>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</si>
  <si>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</si>
  <si>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</si>
  <si>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</si>
  <si>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</si>
  <si>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</si>
  <si>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</si>
  <si>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</si>
  <si>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</si>
  <si>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</si>
  <si>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</si>
  <si>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</si>
  <si>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</si>
  <si>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</si>
  <si>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</si>
  <si>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</si>
  <si>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</si>
  <si>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</si>
  <si>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</si>
  <si>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</si>
  <si>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</si>
  <si>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</si>
  <si>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</si>
  <si>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</si>
  <si>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</si>
  <si>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</si>
  <si>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</si>
  <si>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</si>
  <si>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</si>
  <si>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</si>
  <si>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</si>
  <si>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</si>
  <si>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</si>
  <si>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</si>
  <si>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</si>
  <si>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</si>
  <si>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</si>
  <si>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</si>
  <si>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</si>
  <si>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</si>
  <si>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</si>
  <si>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</si>
  <si>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</si>
  <si>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</si>
  <si>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</si>
  <si>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</si>
  <si>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</si>
  <si>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</si>
  <si>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</si>
  <si>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</si>
  <si>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</si>
  <si>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</si>
  <si>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</si>
  <si>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</si>
  <si>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</si>
  <si>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</si>
  <si>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</si>
  <si>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</si>
  <si>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</si>
  <si>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</si>
  <si>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</si>
  <si>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</si>
  <si>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</si>
  <si>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</si>
  <si>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</si>
  <si>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</si>
  <si>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</si>
  <si>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</si>
  <si>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</si>
  <si>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</si>
  <si>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</si>
  <si>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</si>
  <si>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</si>
  <si>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</si>
  <si>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</si>
  <si>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</si>
  <si>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</si>
  <si>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</si>
  <si>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</si>
  <si>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</si>
  <si>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</si>
  <si>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</si>
  <si>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</si>
  <si>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</si>
  <si>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</si>
  <si>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</si>
  <si>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</si>
  <si>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</si>
  <si>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</si>
  <si>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</si>
  <si>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</si>
  <si>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</si>
  <si>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</si>
  <si>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</si>
  <si>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</si>
  <si>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</si>
  <si>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</si>
  <si>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</si>
  <si>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</si>
  <si>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</si>
  <si>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</si>
  <si>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</si>
  <si>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</si>
  <si>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</si>
  <si>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</si>
  <si>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</si>
  <si>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</si>
  <si>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</si>
  <si>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</si>
  <si>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</si>
  <si>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</si>
  <si>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</si>
  <si>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</si>
  <si>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</si>
  <si>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</si>
  <si>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</si>
  <si>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</si>
  <si>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</si>
  <si>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</si>
  <si>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</si>
  <si>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</si>
  <si>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</si>
  <si>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</si>
  <si>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</si>
  <si>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</si>
  <si>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</si>
  <si>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</si>
  <si>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</si>
  <si>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</si>
  <si>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</si>
  <si>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</si>
  <si>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</si>
  <si>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</si>
  <si>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</si>
  <si>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</si>
  <si>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</si>
  <si>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</si>
  <si>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</si>
  <si>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</si>
  <si>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</si>
  <si>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</si>
  <si>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</si>
  <si>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</si>
  <si>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</si>
  <si>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</si>
  <si>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</si>
  <si>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</si>
  <si>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</si>
  <si>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</si>
  <si>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</si>
  <si>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</si>
  <si>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</si>
  <si>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</si>
  <si>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</si>
  <si>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</si>
  <si>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</si>
  <si>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</si>
  <si>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</si>
  <si>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</si>
  <si>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</si>
  <si>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</si>
  <si>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</si>
  <si>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</si>
  <si>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</si>
  <si>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</si>
  <si>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</si>
  <si>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</si>
  <si>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</si>
  <si>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</si>
  <si>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</si>
  <si>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</si>
  <si>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</si>
  <si>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</si>
  <si>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</si>
  <si>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</si>
  <si>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</si>
  <si>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</si>
  <si>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</si>
  <si>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</si>
  <si>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</si>
  <si>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</si>
  <si>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</si>
  <si>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</si>
  <si>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</si>
  <si>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</si>
  <si>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</si>
  <si>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</si>
  <si>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</si>
  <si>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</si>
  <si>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</si>
  <si>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</si>
  <si>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</si>
  <si>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</si>
  <si>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</si>
  <si>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</si>
  <si>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</si>
  <si>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</si>
  <si>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</si>
  <si>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</si>
  <si>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</si>
  <si>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</si>
  <si>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</si>
  <si>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</si>
  <si>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</si>
  <si>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</si>
  <si>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</si>
  <si>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</si>
  <si>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</si>
  <si>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</si>
  <si>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</si>
  <si>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</si>
  <si>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</si>
  <si>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</si>
  <si>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</si>
  <si>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</si>
  <si>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</si>
  <si>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</si>
  <si>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</si>
  <si>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</si>
  <si>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</si>
  <si>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</si>
  <si>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</si>
  <si>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</si>
  <si>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</si>
  <si>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</si>
  <si>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</si>
  <si>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</si>
  <si>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</si>
  <si>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</si>
  <si>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</si>
  <si>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</si>
  <si>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</si>
  <si>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</si>
  <si>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</si>
  <si>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</si>
  <si>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</si>
  <si>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</si>
  <si>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</si>
  <si>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</si>
  <si>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</si>
  <si>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</si>
  <si>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</si>
  <si>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</si>
  <si>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</si>
  <si>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</si>
  <si>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</si>
  <si>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</si>
  <si>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</si>
  <si>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</si>
  <si>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</si>
  <si>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</si>
  <si>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</si>
  <si>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</si>
  <si>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</si>
  <si>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</si>
  <si>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</si>
  <si>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</si>
  <si>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</si>
  <si>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</si>
  <si>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</si>
  <si>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</si>
  <si>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</si>
  <si>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</si>
  <si>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</si>
  <si>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</si>
  <si>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</si>
  <si>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</si>
  <si>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</si>
  <si>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</si>
  <si>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</si>
  <si>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</si>
  <si>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</si>
  <si>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</si>
  <si>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</si>
  <si>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</si>
  <si>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</si>
  <si>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</si>
  <si>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</si>
  <si>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</si>
  <si>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</si>
  <si>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</si>
  <si>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</si>
  <si>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</si>
  <si>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</si>
  <si>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</si>
  <si>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</si>
  <si>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</si>
  <si>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</si>
  <si>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</si>
  <si>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</si>
  <si>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</si>
  <si>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</si>
  <si>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</si>
  <si>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</si>
  <si>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</si>
  <si>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</si>
  <si>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</si>
  <si>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</si>
  <si>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</si>
  <si>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</si>
  <si>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</si>
  <si>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</si>
  <si>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</si>
  <si>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</si>
  <si>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</si>
  <si>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</si>
  <si>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</si>
  <si>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</si>
  <si>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</si>
  <si>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</si>
  <si>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</si>
  <si>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</si>
  <si>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</si>
  <si>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</si>
  <si>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</si>
  <si>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</si>
  <si>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</si>
  <si>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</si>
  <si>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</si>
  <si>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</si>
  <si>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</si>
  <si>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</si>
  <si>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</si>
  <si>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</si>
  <si>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</si>
  <si>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</si>
  <si>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</si>
  <si>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</si>
  <si>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</si>
  <si>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</si>
  <si>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</si>
  <si>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</si>
  <si>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</si>
  <si>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</si>
  <si>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</si>
  <si>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</si>
  <si>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</si>
  <si>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</si>
  <si>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</si>
  <si>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</si>
  <si>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</si>
  <si>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</si>
  <si>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</si>
  <si>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</si>
  <si>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</si>
  <si>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</si>
  <si>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</si>
  <si>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</si>
  <si>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</si>
  <si>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</si>
  <si>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</si>
  <si>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</si>
  <si>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</si>
  <si>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</si>
  <si>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</si>
  <si>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</si>
  <si>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</si>
  <si>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</si>
  <si>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</si>
  <si>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</si>
  <si>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</si>
  <si>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</si>
  <si>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</si>
  <si>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</si>
  <si>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</si>
  <si>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</si>
  <si>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</si>
  <si>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</si>
  <si>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</si>
  <si>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</si>
  <si>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</si>
  <si>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</si>
  <si>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</si>
  <si>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</si>
  <si>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</si>
  <si>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</si>
  <si>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</si>
  <si>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</si>
  <si>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</si>
  <si>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</si>
  <si>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</si>
  <si>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</si>
  <si>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</si>
  <si>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</si>
  <si>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</si>
  <si>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</si>
  <si>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</si>
  <si>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</si>
  <si>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</si>
  <si>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</si>
  <si>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</si>
  <si>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</si>
  <si>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</si>
  <si>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</si>
  <si>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</si>
  <si>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</si>
  <si>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</si>
  <si>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</si>
  <si>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</si>
  <si>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</si>
  <si>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</si>
  <si>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</si>
  <si>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</si>
  <si>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</si>
  <si>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</si>
  <si>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</si>
  <si>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</si>
  <si>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</si>
  <si>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</si>
  <si>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</si>
  <si>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</si>
  <si>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</si>
  <si>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</si>
  <si>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</si>
  <si>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</si>
  <si>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</si>
  <si>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</si>
  <si>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</si>
  <si>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</si>
  <si>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</si>
  <si>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</si>
  <si>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</si>
  <si>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</si>
  <si>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</si>
  <si>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</si>
  <si>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</si>
  <si>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</si>
  <si>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</si>
  <si>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</si>
  <si>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</si>
  <si>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</si>
  <si>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</si>
  <si>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</si>
  <si>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</si>
  <si>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</si>
  <si>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</si>
  <si>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</si>
  <si>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</si>
  <si>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</si>
  <si>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</si>
  <si>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</si>
  <si>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</si>
  <si>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</si>
  <si>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</si>
  <si>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</si>
  <si>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</si>
  <si>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</si>
  <si>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</si>
  <si>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</si>
  <si>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</si>
  <si>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</si>
  <si>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</si>
  <si>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</si>
  <si>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</si>
  <si>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</si>
  <si>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</si>
  <si>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</si>
  <si>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</si>
  <si>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</si>
  <si>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</si>
  <si>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</si>
  <si>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</si>
  <si>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</si>
  <si>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</si>
  <si>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</si>
  <si>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</si>
  <si>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</si>
  <si>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</si>
  <si>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</si>
  <si>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</si>
  <si>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</si>
  <si>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</si>
  <si>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</si>
  <si>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</si>
  <si>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</si>
  <si>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</si>
  <si>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</si>
  <si>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</si>
  <si>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</si>
  <si>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</si>
  <si>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</si>
  <si>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</si>
  <si>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</si>
  <si>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</si>
  <si>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</si>
  <si>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</si>
  <si>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</si>
  <si>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</si>
  <si>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</si>
  <si>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</si>
  <si>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</si>
  <si>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</si>
  <si>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</si>
  <si>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</si>
  <si>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</si>
  <si>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</si>
  <si>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</si>
  <si>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</si>
  <si>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</si>
  <si>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</si>
  <si>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</si>
  <si>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</si>
  <si>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</si>
  <si>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</si>
  <si>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</si>
  <si>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</si>
  <si>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</si>
  <si>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</si>
  <si>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</si>
  <si>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</si>
  <si>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</si>
  <si>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</si>
  <si>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</si>
  <si>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</si>
  <si>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</si>
  <si>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</si>
  <si>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</si>
  <si>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</si>
  <si>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</si>
  <si>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</si>
  <si>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</si>
  <si>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</si>
  <si>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</si>
  <si>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</si>
  <si>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</si>
  <si>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</si>
  <si>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</si>
  <si>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</si>
  <si>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</si>
  <si>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</si>
  <si>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</si>
  <si>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</si>
  <si>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</si>
  <si>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</si>
  <si>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</si>
  <si>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</si>
  <si>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</si>
  <si>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</si>
  <si>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</si>
  <si>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</si>
  <si>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</si>
  <si>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</si>
  <si>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</si>
  <si>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</si>
  <si>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</si>
  <si>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</si>
  <si>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</si>
  <si>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</si>
  <si>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</si>
  <si>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</si>
  <si>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</si>
  <si>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</si>
  <si>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</si>
  <si>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</si>
  <si>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</si>
  <si>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</si>
  <si>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</si>
  <si>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</si>
  <si>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</si>
  <si>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</si>
  <si>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</si>
  <si>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</si>
  <si>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</si>
  <si>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</si>
  <si>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</si>
  <si>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</si>
  <si>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</si>
  <si>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</si>
  <si>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</si>
  <si>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</si>
  <si>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</si>
  <si>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</si>
  <si>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</si>
  <si>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</si>
  <si>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</si>
  <si>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</si>
  <si>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</si>
  <si>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</si>
  <si>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</si>
  <si>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</si>
  <si>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</si>
  <si>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</si>
  <si>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</si>
  <si>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</si>
  <si>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</si>
  <si>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</si>
  <si>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</si>
  <si>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</si>
  <si>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</si>
  <si>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</si>
  <si>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</si>
  <si>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</si>
  <si>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</si>
  <si>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</si>
  <si>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</si>
  <si>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</si>
  <si>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</si>
  <si>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</si>
  <si>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</si>
  <si>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</si>
  <si>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</si>
  <si>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</si>
  <si>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</si>
  <si>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</si>
  <si>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</si>
  <si>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</si>
  <si>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</si>
  <si>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</si>
  <si>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</si>
  <si>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</si>
  <si>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</si>
  <si>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</si>
  <si>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</si>
  <si>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</si>
  <si>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</si>
  <si>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</si>
  <si>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</si>
  <si>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</si>
  <si>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</si>
  <si>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</si>
  <si>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</si>
  <si>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</si>
  <si>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</si>
  <si>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</si>
  <si>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</si>
  <si>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</si>
  <si>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</si>
  <si>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</si>
  <si>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</si>
  <si>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</si>
  <si>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</si>
  <si>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</si>
  <si>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</si>
  <si>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</si>
  <si>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</si>
  <si>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</si>
  <si>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</si>
  <si>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</si>
  <si>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</si>
  <si>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</si>
  <si>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</si>
  <si>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</si>
  <si>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</si>
  <si>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</si>
  <si>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</si>
  <si>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</si>
  <si>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</si>
  <si>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</si>
  <si>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</si>
  <si>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</si>
  <si>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</si>
  <si>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</si>
  <si>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</si>
  <si>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</si>
  <si>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</si>
  <si>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</si>
  <si>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</si>
  <si>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</si>
  <si>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</si>
  <si>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</si>
  <si>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</si>
  <si>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</si>
  <si>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</si>
  <si>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</si>
  <si>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</si>
  <si>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</si>
  <si>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</si>
  <si>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</si>
  <si>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</si>
  <si>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</si>
  <si>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</si>
  <si>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</si>
  <si>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</si>
  <si>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</si>
  <si>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</si>
  <si>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</si>
  <si>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</si>
  <si>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</si>
  <si>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</si>
  <si>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</si>
  <si>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</si>
  <si>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</si>
  <si>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</si>
  <si>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</si>
  <si>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</si>
  <si>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</si>
  <si>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</si>
  <si>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</si>
  <si>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</si>
  <si>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</si>
  <si>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</si>
  <si>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</si>
  <si>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</si>
  <si>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</si>
  <si>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</si>
  <si>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</si>
  <si>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</si>
  <si>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</si>
  <si>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</si>
  <si>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</si>
  <si>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</si>
  <si>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</si>
  <si>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</si>
  <si>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</si>
  <si>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</si>
  <si>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</si>
  <si>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</si>
  <si>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</si>
  <si>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</si>
  <si>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</si>
  <si>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</si>
  <si>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</si>
  <si>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</si>
  <si>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</si>
  <si>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</si>
  <si>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</si>
  <si>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</si>
  <si>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</si>
  <si>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</si>
  <si>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</si>
  <si>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</si>
  <si>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</si>
  <si>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</si>
  <si>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</si>
  <si>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</si>
  <si>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</si>
  <si>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</si>
  <si>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</si>
  <si>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</si>
  <si>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</si>
  <si>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</si>
  <si>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</si>
  <si>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</si>
  <si>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</si>
  <si>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</si>
  <si>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</si>
  <si>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</si>
  <si>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</si>
  <si>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</si>
  <si>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</si>
  <si>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</si>
  <si>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</si>
  <si>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</si>
  <si>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</si>
  <si>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</si>
  <si>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</si>
  <si>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</si>
  <si>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</si>
  <si>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</si>
  <si>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</si>
  <si>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</si>
  <si>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</si>
  <si>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</si>
  <si>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</si>
  <si>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</si>
  <si>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</si>
  <si>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</si>
  <si>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</si>
  <si>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</si>
  <si>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</si>
  <si>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</si>
  <si>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</si>
  <si>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</si>
  <si>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</si>
  <si>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</si>
  <si>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</si>
  <si>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</si>
  <si>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</si>
  <si>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</si>
  <si>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</si>
  <si>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</si>
  <si>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</si>
  <si>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</si>
  <si>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</si>
  <si>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</si>
  <si>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</si>
  <si>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</si>
  <si>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</si>
  <si>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</si>
  <si>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</si>
  <si>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</si>
  <si>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</si>
  <si>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</si>
  <si>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</si>
  <si>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</si>
  <si>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</si>
  <si>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</si>
  <si>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</si>
  <si>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</si>
  <si>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</si>
  <si>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</si>
  <si>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</si>
  <si>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</si>
  <si>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</si>
  <si>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</si>
  <si>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</si>
  <si>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</si>
  <si>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</si>
  <si>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</si>
  <si>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</si>
  <si>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</si>
  <si>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</si>
  <si>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</si>
  <si>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</si>
  <si>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</si>
  <si>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</si>
  <si>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</si>
  <si>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</si>
  <si>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</si>
  <si>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</si>
  <si>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</si>
  <si>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</si>
  <si>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</si>
  <si>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</si>
  <si>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</si>
  <si>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</si>
  <si>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</si>
  <si>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</si>
  <si>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</si>
  <si>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</si>
  <si>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</si>
  <si>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</si>
  <si>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</si>
  <si>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</si>
  <si>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</si>
  <si>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</si>
  <si>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</si>
  <si>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</si>
  <si>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</si>
  <si>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</si>
  <si>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</si>
  <si>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</si>
  <si>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</si>
  <si>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</si>
  <si>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</si>
  <si>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</si>
  <si>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</si>
  <si>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</si>
  <si>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</si>
  <si>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</si>
  <si>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</si>
  <si>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</si>
  <si>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</si>
  <si>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</si>
  <si>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</si>
  <si>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</si>
  <si>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</si>
  <si>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</si>
  <si>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</si>
  <si>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</si>
  <si>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</si>
  <si>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</si>
  <si>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</si>
  <si>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</si>
  <si>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</si>
  <si>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</si>
  <si>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</si>
  <si>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</si>
  <si>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</si>
  <si>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</si>
  <si>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</si>
  <si>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</si>
  <si>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</si>
  <si>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</si>
  <si>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</si>
  <si>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</si>
  <si>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</si>
  <si>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</si>
  <si>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</si>
  <si>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</si>
  <si>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</si>
  <si>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</si>
  <si>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</si>
  <si>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</si>
  <si>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</si>
  <si>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</si>
  <si>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</si>
  <si>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</si>
  <si>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</si>
  <si>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</si>
  <si>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</si>
  <si>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</si>
  <si>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</si>
  <si>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</si>
  <si>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</si>
  <si>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</si>
  <si>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</si>
  <si>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</si>
  <si>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</si>
  <si>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</si>
  <si>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</si>
  <si>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</si>
  <si>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</si>
  <si>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</si>
  <si>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</si>
  <si>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</si>
  <si>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</si>
  <si>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</si>
  <si>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</si>
  <si>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</si>
  <si>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</si>
  <si>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</si>
  <si>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</si>
  <si>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</si>
  <si>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</si>
  <si>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</si>
  <si>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</si>
  <si>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</si>
  <si>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</si>
  <si>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</si>
  <si>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</si>
  <si>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</si>
  <si>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</si>
  <si>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</si>
  <si>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</si>
  <si>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</si>
  <si>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</si>
  <si>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</si>
  <si>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</si>
  <si>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</si>
  <si>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</si>
  <si>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</si>
  <si>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</si>
  <si>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</si>
  <si>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</si>
  <si>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</si>
  <si>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</si>
  <si>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</si>
  <si>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</si>
  <si>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</si>
  <si>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</si>
  <si>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</si>
  <si>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</si>
  <si>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</si>
  <si>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</si>
  <si>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</si>
  <si>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</si>
  <si>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</si>
  <si>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</si>
  <si>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</si>
  <si>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</si>
  <si>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</si>
  <si>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</si>
  <si>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</si>
  <si>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</si>
  <si>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</si>
  <si>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</si>
  <si>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</si>
  <si>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</si>
  <si>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</si>
  <si>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</si>
  <si>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</si>
  <si>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</si>
  <si>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</si>
  <si>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</si>
  <si>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</si>
  <si>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</si>
  <si>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</si>
  <si>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</si>
  <si>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</si>
  <si>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</si>
  <si>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</si>
  <si>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</si>
  <si>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</si>
  <si>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</si>
  <si>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</si>
  <si>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</si>
  <si>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</si>
  <si>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</si>
  <si>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</si>
  <si>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</si>
  <si>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</si>
  <si>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</si>
  <si>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</si>
  <si>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</si>
  <si>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</si>
  <si>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</si>
  <si>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</si>
  <si>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</si>
  <si>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</si>
  <si>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</si>
  <si>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</si>
  <si>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</si>
  <si>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</si>
  <si>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</si>
  <si>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</si>
  <si>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</si>
  <si>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</si>
  <si>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</si>
  <si>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</si>
  <si>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</si>
  <si>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</si>
  <si>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</si>
  <si>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</si>
  <si>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</si>
  <si>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</si>
  <si>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</si>
  <si>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</si>
  <si>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</si>
  <si>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</si>
  <si>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</si>
  <si>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</si>
  <si>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</si>
  <si>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</si>
  <si>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</si>
  <si>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</si>
  <si>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</si>
  <si>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</si>
  <si>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</si>
  <si>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</si>
  <si>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</si>
  <si>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</si>
  <si>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</si>
  <si>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</si>
  <si>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</si>
  <si>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</si>
  <si>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</si>
  <si>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</si>
  <si>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</si>
  <si>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</si>
  <si>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</si>
  <si>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</si>
  <si>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</si>
  <si>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</si>
  <si>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</si>
  <si>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</si>
  <si>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</si>
  <si>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</si>
  <si>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</si>
  <si>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</si>
  <si>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</si>
  <si>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</si>
  <si>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</si>
  <si>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</si>
  <si>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</si>
  <si>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</si>
  <si>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</si>
  <si>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</si>
  <si>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</si>
  <si>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</si>
  <si>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</si>
  <si>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</si>
  <si>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</si>
  <si>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</si>
  <si>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</si>
  <si>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</si>
  <si>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</si>
  <si>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</si>
  <si>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</si>
  <si>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</si>
  <si>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</si>
  <si>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</si>
  <si>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</si>
  <si>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</si>
  <si>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</si>
  <si>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</si>
  <si>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</si>
  <si>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</si>
  <si>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</si>
  <si>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</si>
  <si>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</si>
  <si>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</si>
  <si>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</si>
  <si>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</si>
  <si>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</si>
  <si>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</si>
  <si>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</si>
  <si>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</si>
  <si>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</si>
  <si>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</si>
  <si>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</si>
  <si>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</si>
  <si>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</si>
  <si>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</si>
  <si>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</si>
  <si>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</si>
  <si>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</si>
  <si>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</si>
  <si>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</si>
  <si>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</si>
  <si>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</si>
  <si>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</si>
  <si>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</si>
  <si>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</si>
  <si>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</si>
  <si>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</si>
  <si>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</si>
  <si>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</si>
  <si>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</si>
  <si>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</si>
  <si>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</si>
  <si>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</si>
  <si>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</si>
  <si>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</si>
  <si>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</si>
  <si>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</si>
  <si>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</si>
  <si>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</si>
  <si>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</si>
  <si>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</si>
  <si>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</si>
  <si>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</si>
  <si>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</si>
  <si>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</si>
  <si>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</si>
  <si>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</si>
  <si>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</si>
  <si>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</si>
  <si>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</si>
  <si>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</si>
  <si>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</si>
  <si>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</si>
  <si>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</si>
  <si>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</si>
  <si>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</si>
  <si>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</si>
  <si>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</si>
  <si>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</si>
  <si>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</si>
  <si>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</si>
  <si>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</si>
  <si>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</si>
  <si>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</si>
  <si>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</si>
  <si>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</si>
  <si>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</si>
  <si>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</si>
  <si>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</si>
  <si>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</si>
  <si>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</si>
  <si>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</si>
  <si>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</si>
  <si>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</si>
  <si>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</si>
  <si>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</si>
  <si>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</si>
  <si>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</si>
  <si>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</si>
  <si>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</si>
  <si>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</si>
  <si>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</si>
  <si>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</si>
  <si>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</si>
  <si>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</si>
  <si>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</si>
  <si>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</si>
  <si>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</si>
  <si>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</si>
  <si>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</si>
  <si>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</si>
  <si>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</si>
  <si>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</si>
  <si>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</si>
  <si>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</si>
  <si>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</si>
  <si>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</si>
  <si>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</si>
  <si>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</si>
  <si>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</si>
  <si>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</si>
  <si>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</si>
  <si>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</si>
  <si>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</si>
  <si>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</si>
  <si>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</si>
  <si>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</si>
  <si>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</si>
  <si>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</si>
  <si>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</si>
  <si>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</si>
  <si>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</si>
  <si>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</si>
  <si>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</si>
  <si>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</si>
  <si>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</si>
  <si>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</si>
  <si>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</si>
  <si>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</si>
  <si>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</si>
  <si>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</si>
  <si>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</si>
  <si>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</si>
  <si>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</si>
  <si>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</si>
  <si>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</si>
  <si>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</si>
  <si>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</si>
  <si>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</si>
  <si>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</si>
  <si>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</si>
  <si>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</si>
  <si>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</si>
  <si>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</si>
  <si>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</si>
  <si>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</si>
  <si>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</si>
  <si>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</si>
  <si>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</si>
  <si>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</si>
  <si>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</si>
  <si>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</si>
  <si>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</si>
  <si>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</si>
  <si>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</si>
  <si>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</si>
  <si>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</si>
  <si>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</si>
  <si>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</si>
  <si>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</si>
  <si>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</si>
  <si>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</si>
  <si>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</si>
  <si>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</si>
  <si>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</si>
  <si>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</si>
  <si>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</si>
  <si>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</si>
  <si>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</si>
  <si>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</si>
  <si>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</si>
  <si>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</si>
  <si>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</si>
  <si>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</si>
  <si>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</si>
  <si>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</si>
  <si>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</si>
  <si>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</si>
  <si>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</si>
  <si>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</si>
  <si>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</si>
  <si>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</si>
  <si>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</si>
  <si>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</si>
  <si>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</si>
  <si>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</si>
  <si>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</si>
  <si>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</si>
  <si>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</si>
  <si>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</si>
  <si>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</si>
  <si>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</si>
  <si>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</si>
  <si>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</si>
  <si>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</si>
  <si>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</si>
  <si>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</si>
  <si>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</si>
  <si>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</si>
  <si>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</si>
  <si>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</si>
  <si>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</si>
  <si>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</si>
  <si>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</si>
  <si>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</si>
  <si>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</si>
  <si>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</si>
  <si>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</si>
  <si>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</si>
  <si>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</si>
  <si>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</si>
  <si>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</si>
  <si>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</si>
  <si>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</si>
  <si>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</si>
  <si>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</si>
  <si>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</si>
  <si>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</si>
  <si>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</si>
  <si>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</si>
  <si>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</si>
  <si>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</si>
  <si>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</si>
  <si>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</si>
  <si>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</si>
  <si>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</si>
  <si>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</si>
  <si>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</si>
  <si>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</si>
  <si>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</si>
  <si>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</si>
  <si>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</si>
  <si>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</si>
  <si>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</si>
  <si>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</si>
  <si>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</si>
  <si>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</si>
  <si>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</si>
  <si>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</si>
  <si>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</si>
  <si>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</si>
  <si>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</si>
  <si>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</si>
  <si>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</si>
  <si>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</si>
  <si>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</si>
  <si>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</si>
  <si>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</si>
  <si>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</si>
  <si>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</si>
  <si>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</si>
  <si>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</si>
  <si>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</si>
  <si>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</si>
  <si>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</si>
  <si>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</si>
  <si>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</si>
  <si>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</si>
  <si>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</si>
  <si>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</si>
  <si>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</si>
  <si>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</si>
  <si>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</si>
  <si>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</si>
  <si>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</si>
  <si>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</si>
  <si>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</si>
  <si>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</si>
  <si>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</si>
  <si>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</si>
  <si>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</si>
  <si>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</si>
  <si>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</si>
  <si>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</si>
  <si>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</si>
  <si>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</si>
  <si>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</si>
  <si>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</si>
  <si>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</si>
  <si>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</si>
  <si>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</si>
  <si>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</si>
  <si>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</si>
  <si>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</si>
  <si>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</si>
  <si>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</si>
  <si>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</si>
  <si>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</si>
  <si>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</si>
  <si>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</si>
  <si>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</si>
  <si>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</si>
  <si>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</si>
  <si>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</si>
  <si>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</si>
  <si>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</si>
  <si>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</si>
  <si>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</si>
  <si>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</si>
  <si>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</si>
  <si>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</si>
  <si>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</si>
  <si>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</si>
  <si>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</si>
  <si>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</si>
  <si>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</si>
  <si>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</si>
  <si>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</si>
  <si>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</si>
  <si>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</si>
  <si>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</si>
  <si>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</si>
  <si>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</si>
  <si>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</si>
  <si>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</si>
  <si>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</si>
  <si>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</si>
  <si>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</si>
  <si>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</si>
  <si>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</si>
  <si>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</si>
  <si>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</si>
  <si>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</si>
  <si>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</si>
  <si>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</si>
  <si>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</si>
  <si>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</si>
  <si>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</si>
  <si>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</si>
  <si>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</si>
  <si>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</si>
  <si>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</si>
  <si>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</si>
  <si>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</si>
  <si>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</si>
  <si>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</si>
  <si>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</si>
  <si>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</si>
  <si>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</si>
  <si>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</si>
  <si>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</si>
  <si>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</si>
  <si>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</si>
  <si>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</si>
  <si>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</si>
  <si>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</si>
  <si>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Pemasangan APP </t>
  </si>
  <si>
    <t>KONSTRUKSI JARINGAN 3 PHASE</t>
  </si>
  <si>
    <t>CJ6-T</t>
  </si>
  <si>
    <t>KONDUKTOR</t>
  </si>
  <si>
    <t>Pemasangan APP 1 Fasa Di Bangunan</t>
  </si>
  <si>
    <t>R3</t>
  </si>
  <si>
    <t>C9-200</t>
  </si>
  <si>
    <t>Daya 1.300 VA</t>
  </si>
  <si>
    <t>DS BOGORAME, KEC DEMAK</t>
  </si>
  <si>
    <t>KOORDINAT : -6.903315, 110.631655</t>
  </si>
  <si>
    <t>KOS GOLDYS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</si>
</sst>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43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43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8" fontId="36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168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8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81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7" fillId="0" borderId="0" applyFont="0" applyFill="0" applyBorder="0" applyAlignment="0" applyProtection="0"/>
    <xf numFmtId="184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204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5" fontId="36" fillId="0" borderId="3"/>
    <xf numFmtId="185" fontId="22" fillId="0" borderId="3"/>
    <xf numFmtId="42" fontId="23" fillId="0" borderId="0" applyFont="0" applyFill="0" applyBorder="0" applyAlignment="0" applyProtection="0"/>
    <xf numFmtId="42" fontId="48" fillId="0" borderId="0" applyFont="0" applyFill="0" applyBorder="0" applyAlignment="0" applyProtection="0"/>
    <xf numFmtId="172" fontId="36" fillId="0" borderId="0" applyFont="0" applyFill="0" applyBorder="0" applyAlignment="0" applyProtection="0"/>
    <xf numFmtId="172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44" fontId="36" fillId="0" borderId="0" applyFont="0" applyFill="0" applyBorder="0" applyAlignment="0" applyProtection="0"/>
    <xf numFmtId="44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70" fillId="0" borderId="0" applyFont="0" applyFill="0" applyBorder="0" applyAlignment="0" applyProtection="0"/>
    <xf numFmtId="187" fontId="72" fillId="0" borderId="0">
      <protection locked="0"/>
    </xf>
    <xf numFmtId="14" fontId="64" fillId="0" borderId="0" applyFill="0" applyBorder="0" applyAlignment="0"/>
    <xf numFmtId="188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89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0" fontId="77" fillId="0" borderId="0">
      <protection locked="0"/>
    </xf>
    <xf numFmtId="190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1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2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2" fontId="36" fillId="0" borderId="0"/>
    <xf numFmtId="192" fontId="22" fillId="0" borderId="0"/>
    <xf numFmtId="192" fontId="36" fillId="0" borderId="0"/>
    <xf numFmtId="192" fontId="22" fillId="0" borderId="0"/>
    <xf numFmtId="192" fontId="36" fillId="0" borderId="0"/>
    <xf numFmtId="192" fontId="22" fillId="0" borderId="0"/>
    <xf numFmtId="192" fontId="22" fillId="0" borderId="0"/>
    <xf numFmtId="192" fontId="36" fillId="0" borderId="0"/>
    <xf numFmtId="171" fontId="83" fillId="0" borderId="0"/>
    <xf numFmtId="171" fontId="84" fillId="0" borderId="0"/>
    <xf numFmtId="171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3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1" fontId="84" fillId="0" borderId="0"/>
    <xf numFmtId="0" fontId="84" fillId="0" borderId="0"/>
    <xf numFmtId="194" fontId="84" fillId="0" borderId="0"/>
    <xf numFmtId="195" fontId="84" fillId="0" borderId="0"/>
    <xf numFmtId="0" fontId="84" fillId="0" borderId="0"/>
    <xf numFmtId="196" fontId="84" fillId="0" borderId="0"/>
    <xf numFmtId="196" fontId="84" fillId="0" borderId="0"/>
    <xf numFmtId="196" fontId="84" fillId="0" borderId="0"/>
    <xf numFmtId="194" fontId="84" fillId="0" borderId="0"/>
    <xf numFmtId="0" fontId="84" fillId="0" borderId="0"/>
    <xf numFmtId="0" fontId="36" fillId="0" borderId="0"/>
    <xf numFmtId="0" fontId="22" fillId="0" borderId="0"/>
    <xf numFmtId="181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7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6" fontId="84" fillId="0" borderId="0"/>
    <xf numFmtId="196" fontId="84" fillId="0" borderId="0"/>
    <xf numFmtId="196" fontId="84" fillId="0" borderId="0"/>
    <xf numFmtId="196" fontId="84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3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3" fontId="43" fillId="0" borderId="0"/>
    <xf numFmtId="193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5" fontId="36" fillId="0" borderId="0" applyFont="0" applyFill="0" applyBorder="0" applyAlignment="0" applyProtection="0"/>
    <xf numFmtId="175" fontId="22" fillId="0" borderId="0" applyFont="0" applyFill="0" applyBorder="0" applyAlignment="0" applyProtection="0"/>
    <xf numFmtId="199" fontId="36" fillId="0" borderId="0" applyFont="0" applyFill="0" applyBorder="0" applyAlignment="0" applyProtection="0"/>
    <xf numFmtId="199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74" fillId="0" borderId="0"/>
    <xf numFmtId="200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1" fontId="36" fillId="0" borderId="0" applyFill="0" applyBorder="0" applyAlignment="0"/>
    <xf numFmtId="201" fontId="22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9" fillId="0" borderId="0"/>
    <xf numFmtId="165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165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16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5" fillId="0" borderId="0"/>
    <xf numFmtId="165" fontId="22" fillId="0" borderId="0" applyFont="0" applyFill="0" applyBorder="0" applyAlignment="0" applyProtection="0"/>
    <xf numFmtId="0" fontId="5" fillId="0" borderId="0"/>
    <xf numFmtId="166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69" fillId="0" borderId="0" applyFont="0" applyFill="0" applyBorder="0" applyAlignment="0" applyProtection="0"/>
    <xf numFmtId="166" fontId="69" fillId="0" borderId="0" applyFont="0" applyFill="0" applyBorder="0" applyAlignment="0" applyProtection="0"/>
    <xf numFmtId="166" fontId="16" fillId="0" borderId="0" applyFont="0" applyFill="0" applyBorder="0" applyAlignment="0" applyProtection="0"/>
    <xf numFmtId="42" fontId="16" fillId="0" borderId="0" applyFont="0" applyFill="0" applyBorder="0" applyAlignment="0" applyProtection="0"/>
    <xf numFmtId="42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" fillId="0" borderId="0"/>
    <xf numFmtId="0" fontId="16" fillId="0" borderId="0"/>
    <xf numFmtId="0" fontId="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100"/>
    <xf numFmtId="0" fontId="89" fillId="0" borderId="101"/>
    <xf numFmtId="166" fontId="22" fillId="0" borderId="0" applyFont="0" applyFill="0" applyBorder="0" applyAlignment="0" applyProtection="0"/>
  </cellStyleXfs>
  <cellXfs count="711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41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41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41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43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8" fontId="45" fillId="0" borderId="0" xfId="714" applyFont="1" applyFill="1" applyAlignment="1">
      <alignment horizontal="center" wrapText="1"/>
    </xf>
    <xf numFmtId="168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8" fontId="45" fillId="0" borderId="21" xfId="715" applyNumberFormat="1" applyFont="1" applyFill="1" applyBorder="1" applyAlignment="1">
      <alignment horizontal="center" vertical="center" wrapText="1"/>
    </xf>
    <xf numFmtId="168" fontId="45" fillId="0" borderId="21" xfId="714" applyFont="1" applyFill="1" applyBorder="1" applyAlignment="1">
      <alignment horizontal="center" vertical="center" wrapText="1"/>
    </xf>
    <xf numFmtId="168" fontId="45" fillId="0" borderId="33" xfId="714" applyFont="1" applyFill="1" applyBorder="1" applyAlignment="1">
      <alignment horizontal="center" vertical="center" wrapText="1"/>
    </xf>
    <xf numFmtId="43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43" fontId="44" fillId="0" borderId="0" xfId="1615" applyNumberFormat="1" applyFont="1" applyAlignment="1">
      <alignment horizontal="left" vertical="center"/>
    </xf>
    <xf numFmtId="43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6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41" fontId="96" fillId="0" borderId="0" xfId="1448" applyNumberFormat="1" applyFont="1" applyAlignment="1">
      <alignment wrapText="1"/>
    </xf>
    <xf numFmtId="41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8" fontId="45" fillId="0" borderId="21" xfId="717" applyNumberFormat="1" applyFont="1" applyFill="1" applyBorder="1" applyAlignment="1" applyProtection="1">
      <alignment horizontal="center" vertical="center" wrapText="1"/>
    </xf>
    <xf numFmtId="41" fontId="45" fillId="0" borderId="21" xfId="1451" applyNumberFormat="1" applyFont="1" applyBorder="1" applyAlignment="1">
      <alignment horizontal="center" vertical="center" wrapText="1"/>
    </xf>
    <xf numFmtId="168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8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8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8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43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93" fillId="33" borderId="68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9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21" fillId="33" borderId="72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41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8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3" fillId="0" borderId="0" xfId="1538"/>
    <xf numFmtId="43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43" fontId="0" fillId="0" borderId="3" xfId="1026" applyFont="1" applyFill="1" applyBorder="1" applyProtection="1"/>
    <xf numFmtId="43" fontId="113" fillId="0" borderId="3" xfId="1538" applyNumberFormat="1" applyBorder="1"/>
    <xf numFmtId="43" fontId="141" fillId="0" borderId="3" xfId="1026" applyFont="1" applyBorder="1" applyProtection="1"/>
    <xf numFmtId="43" fontId="0" fillId="0" borderId="3" xfId="1026" applyFont="1" applyBorder="1" applyProtection="1"/>
    <xf numFmtId="43" fontId="129" fillId="0" borderId="3" xfId="1538" applyNumberFormat="1" applyFont="1" applyBorder="1"/>
    <xf numFmtId="0" fontId="62" fillId="0" borderId="3" xfId="1538" applyFont="1" applyBorder="1"/>
    <xf numFmtId="41" fontId="113" fillId="0" borderId="3" xfId="1538" applyNumberFormat="1" applyBorder="1"/>
    <xf numFmtId="43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43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43" fontId="50" fillId="0" borderId="0" xfId="1538" applyNumberFormat="1" applyFont="1"/>
    <xf numFmtId="0" fontId="113" fillId="29" borderId="3" xfId="1538" applyFill="1" applyBorder="1"/>
    <xf numFmtId="168" fontId="113" fillId="29" borderId="3" xfId="1538" applyNumberFormat="1" applyFill="1" applyBorder="1" applyAlignment="1">
      <alignment horizontal="right"/>
    </xf>
    <xf numFmtId="166" fontId="113" fillId="0" borderId="0" xfId="1538" applyNumberFormat="1"/>
    <xf numFmtId="43" fontId="113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43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2" fillId="0" borderId="20" xfId="1615" applyFont="1" applyBorder="1" applyAlignment="1">
      <alignment horizontal="center" vertical="center"/>
    </xf>
    <xf numFmtId="0" fontId="152" fillId="0" borderId="21" xfId="1615" applyFont="1" applyBorder="1" applyAlignment="1">
      <alignment horizontal="left" vertical="center" wrapText="1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451" applyFont="1" applyBorder="1" applyAlignment="1">
      <alignment horizontal="left" vertical="center" wrapText="1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3" applyFont="1" applyBorder="1" applyAlignment="1">
      <alignment vertical="center" wrapText="1"/>
    </xf>
    <xf numFmtId="0" fontId="153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6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37" fontId="151" fillId="0" borderId="0" xfId="1614" applyNumberFormat="1" applyFont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41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83" xfId="2670" applyFont="1" applyFill="1" applyBorder="1" applyAlignment="1">
      <alignment horizontal="left" vertical="center"/>
    </xf>
    <xf numFmtId="0" fontId="161" fillId="39" borderId="84" xfId="2670" applyFont="1" applyFill="1" applyBorder="1" applyAlignment="1">
      <alignment horizontal="center" vertical="center"/>
    </xf>
    <xf numFmtId="0" fontId="161" fillId="39" borderId="86" xfId="2670" applyFont="1" applyFill="1" applyBorder="1" applyAlignment="1">
      <alignment horizontal="left" vertical="center"/>
    </xf>
    <xf numFmtId="0" fontId="161" fillId="39" borderId="82" xfId="2670" applyFont="1" applyFill="1" applyBorder="1" applyAlignment="1">
      <alignment horizontal="center" vertical="center"/>
    </xf>
    <xf numFmtId="0" fontId="161" fillId="39" borderId="88" xfId="2670" applyFont="1" applyFill="1" applyBorder="1" applyAlignment="1">
      <alignment horizontal="left" vertical="center"/>
    </xf>
    <xf numFmtId="0" fontId="161" fillId="39" borderId="89" xfId="2670" applyFont="1" applyFill="1" applyBorder="1" applyAlignment="1">
      <alignment horizontal="center" vertical="center"/>
    </xf>
    <xf numFmtId="43" fontId="142" fillId="40" borderId="85" xfId="2672" applyFont="1" applyFill="1" applyBorder="1" applyAlignment="1" applyProtection="1">
      <alignment horizontal="right" vertical="center" wrapText="1"/>
      <protection locked="0"/>
    </xf>
    <xf numFmtId="43" fontId="142" fillId="40" borderId="87" xfId="2672" applyFont="1" applyFill="1" applyBorder="1" applyAlignment="1" applyProtection="1">
      <alignment horizontal="right" vertical="center"/>
      <protection locked="0"/>
    </xf>
    <xf numFmtId="168" fontId="142" fillId="40" borderId="87" xfId="2672" applyNumberFormat="1" applyFont="1" applyFill="1" applyBorder="1" applyAlignment="1" applyProtection="1">
      <alignment horizontal="right" vertical="center"/>
      <protection locked="0"/>
    </xf>
    <xf numFmtId="168" fontId="142" fillId="40" borderId="90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4" xfId="2673" applyFont="1" applyFill="1" applyBorder="1" applyAlignment="1">
      <alignment vertical="center" wrapText="1"/>
    </xf>
    <xf numFmtId="0" fontId="148" fillId="43" borderId="94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8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49" fontId="93" fillId="33" borderId="60" xfId="0" applyNumberFormat="1" applyFont="1" applyFill="1" applyBorder="1" applyAlignment="1">
      <alignment horizontal="left" vertical="center" wrapText="1"/>
    </xf>
    <xf numFmtId="49" fontId="93" fillId="33" borderId="61" xfId="0" applyNumberFormat="1" applyFont="1" applyFill="1" applyBorder="1" applyAlignment="1">
      <alignment horizontal="left" vertical="center"/>
    </xf>
    <xf numFmtId="165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6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8" fontId="146" fillId="47" borderId="0" xfId="2672" applyNumberFormat="1" applyFont="1" applyFill="1" applyBorder="1" applyAlignment="1" applyProtection="1">
      <alignment horizontal="right" vertical="center"/>
    </xf>
    <xf numFmtId="0" fontId="176" fillId="0" borderId="69" xfId="1450" applyFont="1" applyBorder="1" applyAlignment="1">
      <alignment horizontal="center" vertical="center"/>
    </xf>
    <xf numFmtId="0" fontId="176" fillId="0" borderId="99" xfId="1450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7" fillId="0" borderId="21" xfId="1652" applyFont="1" applyBorder="1" applyAlignment="1">
      <alignment horizontal="left"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129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left" vertical="center" wrapText="1"/>
    </xf>
    <xf numFmtId="0" fontId="22" fillId="0" borderId="21" xfId="1451" applyBorder="1" applyAlignment="1">
      <alignment horizontal="center" wrapText="1"/>
    </xf>
    <xf numFmtId="0" fontId="22" fillId="0" borderId="21" xfId="1451" applyBorder="1" applyAlignment="1">
      <alignment horizontal="center" vertical="center" wrapText="1"/>
    </xf>
    <xf numFmtId="3" fontId="115" fillId="0" borderId="21" xfId="1451" applyNumberFormat="1" applyFont="1" applyBorder="1" applyAlignment="1">
      <alignment horizontal="center" vertical="center" wrapText="1"/>
    </xf>
    <xf numFmtId="0" fontId="129" fillId="48" borderId="21" xfId="1652" applyFont="1" applyFill="1" applyBorder="1" applyAlignment="1">
      <alignment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0" fontId="53" fillId="0" borderId="3" xfId="1614" applyFont="1" applyBorder="1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168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9" fillId="0" borderId="96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7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166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5" xfId="2673" applyNumberFormat="1" applyFont="1" applyFill="1" applyBorder="1" applyAlignment="1">
      <alignment horizontal="center" vertical="center" wrapText="1"/>
    </xf>
    <xf numFmtId="0" fontId="165" fillId="41" borderId="91" xfId="2673" applyFont="1" applyFill="1" applyBorder="1" applyAlignment="1">
      <alignment horizontal="center" vertical="center" wrapText="1"/>
    </xf>
    <xf numFmtId="0" fontId="165" fillId="41" borderId="92" xfId="2673" applyFont="1" applyFill="1" applyBorder="1" applyAlignment="1">
      <alignment horizontal="center" vertical="center" wrapText="1"/>
    </xf>
    <xf numFmtId="0" fontId="165" fillId="41" borderId="93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166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0" fontId="165" fillId="42" borderId="91" xfId="2673" applyFont="1" applyFill="1" applyBorder="1" applyAlignment="1">
      <alignment horizontal="center" vertical="center" wrapText="1"/>
    </xf>
    <xf numFmtId="0" fontId="165" fillId="42" borderId="92" xfId="2673" applyFont="1" applyFill="1" applyBorder="1" applyAlignment="1">
      <alignment horizontal="center" vertical="center" wrapText="1"/>
    </xf>
    <xf numFmtId="0" fontId="165" fillId="42" borderId="93" xfId="2673" applyFont="1" applyFill="1" applyBorder="1" applyAlignment="1">
      <alignment horizontal="center" vertical="center" wrapText="1"/>
    </xf>
    <xf numFmtId="166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5" xfId="2673" applyNumberFormat="1" applyFont="1" applyFill="1" applyBorder="1" applyAlignment="1">
      <alignment horizontal="center" vertical="center" wrapText="1"/>
    </xf>
    <xf numFmtId="0" fontId="10" fillId="34" borderId="77" xfId="2670" applyFill="1" applyBorder="1" applyAlignment="1">
      <alignment horizontal="center" vertical="center"/>
    </xf>
    <xf numFmtId="0" fontId="140" fillId="0" borderId="78" xfId="2670" applyFont="1" applyBorder="1" applyAlignment="1">
      <alignment horizontal="left" vertical="center"/>
    </xf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horizontal="center" vertical="center"/>
    </xf>
    <xf numFmtId="0" fontId="113" fillId="38" borderId="3" xfId="1538" applyFill="1" applyBorder="1" applyAlignment="1">
      <alignment horizontal="center" vertical="center" wrapText="1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207" fontId="121" fillId="0" borderId="73" xfId="1450" applyNumberFormat="1" applyFont="1" applyBorder="1" applyAlignment="1">
      <alignment horizontal="left" vertical="center"/>
    </xf>
    <xf numFmtId="207" fontId="176" fillId="0" borderId="74" xfId="1450" applyNumberFormat="1" applyFont="1" applyBorder="1" applyAlignment="1">
      <alignment horizontal="left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49" fontId="116" fillId="33" borderId="50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79" xfId="0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0" fontId="93" fillId="33" borderId="80" xfId="0" applyFont="1" applyFill="1" applyBorder="1" applyAlignment="1">
      <alignment horizontal="center" vertical="center"/>
    </xf>
    <xf numFmtId="0" fontId="93" fillId="33" borderId="81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center"/>
    </xf>
    <xf numFmtId="0" fontId="120" fillId="33" borderId="73" xfId="0" applyFont="1" applyFill="1" applyBorder="1" applyAlignment="1">
      <alignment horizontal="center" vertical="center"/>
    </xf>
    <xf numFmtId="0" fontId="120" fillId="33" borderId="74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93" fillId="33" borderId="61" xfId="0" applyFont="1" applyFill="1" applyBorder="1" applyAlignment="1">
      <alignment horizontal="left" vertical="center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center" vertical="center"/>
    </xf>
    <xf numFmtId="0" fontId="93" fillId="33" borderId="40" xfId="0" applyFont="1" applyFill="1" applyBorder="1" applyAlignment="1">
      <alignment horizontal="center" vertical="center"/>
    </xf>
    <xf numFmtId="0" fontId="121" fillId="33" borderId="75" xfId="0" applyFont="1" applyFill="1" applyBorder="1" applyAlignment="1">
      <alignment horizontal="center" vertical="center" wrapText="1"/>
    </xf>
    <xf numFmtId="0" fontId="121" fillId="33" borderId="76" xfId="0" applyFont="1" applyFill="1" applyBorder="1" applyAlignment="1">
      <alignment horizontal="center" vertical="center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116" fillId="33" borderId="64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0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02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69</xdr:row>
      <xdr:rowOff>81642</xdr:rowOff>
    </xdr:from>
    <xdr:to>
      <xdr:col>12</xdr:col>
      <xdr:colOff>41108</xdr:colOff>
      <xdr:row>72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24121" y="816637"/>
          <a:ext cx="1488201" cy="1760571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10</xdr:col>
      <xdr:colOff>364435</xdr:colOff>
      <xdr:row>23</xdr:row>
      <xdr:rowOff>94203</xdr:rowOff>
    </xdr:from>
    <xdr:to>
      <xdr:col>19</xdr:col>
      <xdr:colOff>157006</xdr:colOff>
      <xdr:row>23</xdr:row>
      <xdr:rowOff>132521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E40ECCFE-BE37-162B-22FC-56E5686B009B}"/>
            </a:ext>
          </a:extLst>
        </xdr:cNvPr>
        <xdr:cNvCxnSpPr/>
      </xdr:nvCxnSpPr>
      <xdr:spPr>
        <a:xfrm flipV="1">
          <a:off x="3727174" y="3572899"/>
          <a:ext cx="3221571" cy="38318"/>
        </a:xfrm>
        <a:prstGeom prst="line">
          <a:avLst/>
        </a:prstGeom>
        <a:ln w="127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111997</xdr:colOff>
      <xdr:row>32</xdr:row>
      <xdr:rowOff>92109</xdr:rowOff>
    </xdr:from>
    <xdr:to>
      <xdr:col>11</xdr:col>
      <xdr:colOff>237225</xdr:colOff>
      <xdr:row>33</xdr:row>
      <xdr:rowOff>96423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AA1AB2CF-BFCA-42D4-B41A-6C1867886D9C}"/>
            </a:ext>
          </a:extLst>
        </xdr:cNvPr>
        <xdr:cNvGrpSpPr/>
      </xdr:nvGrpSpPr>
      <xdr:grpSpPr>
        <a:xfrm rot="21333083">
          <a:off x="3855736" y="4904305"/>
          <a:ext cx="125228" cy="15340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4" name="Oval 23">
            <a:extLst>
              <a:ext uri="{FF2B5EF4-FFF2-40B4-BE49-F238E27FC236}">
                <a16:creationId xmlns:a16="http://schemas.microsoft.com/office/drawing/2014/main" id="{ED3F2D0E-B938-3936-0624-059CB57983B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3F512F9E-4E24-9398-8C04-07BF5E252069}"/>
              </a:ext>
            </a:extLst>
          </xdr:cNvPr>
          <xdr:cNvCxnSpPr>
            <a:stCxn id="24" idx="1"/>
            <a:endCxn id="2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906BCBD7-2112-2D85-2AAA-DF99CE702AEF}"/>
              </a:ext>
            </a:extLst>
          </xdr:cNvPr>
          <xdr:cNvCxnSpPr>
            <a:stCxn id="24" idx="3"/>
            <a:endCxn id="2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135024</xdr:colOff>
      <xdr:row>27</xdr:row>
      <xdr:rowOff>26167</xdr:rowOff>
    </xdr:from>
    <xdr:to>
      <xdr:col>11</xdr:col>
      <xdr:colOff>260252</xdr:colOff>
      <xdr:row>28</xdr:row>
      <xdr:rowOff>30481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1E3C34C9-7BF9-464B-8010-00DF46E76788}"/>
            </a:ext>
          </a:extLst>
        </xdr:cNvPr>
        <xdr:cNvGrpSpPr/>
      </xdr:nvGrpSpPr>
      <xdr:grpSpPr>
        <a:xfrm rot="21333083">
          <a:off x="3878763" y="4101210"/>
          <a:ext cx="125228" cy="15340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" name="Oval 31">
            <a:extLst>
              <a:ext uri="{FF2B5EF4-FFF2-40B4-BE49-F238E27FC236}">
                <a16:creationId xmlns:a16="http://schemas.microsoft.com/office/drawing/2014/main" id="{E4E0AD08-10F5-2648-956C-EB6C95FC60F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12D83122-F0CF-24E6-8BF2-B692018E124D}"/>
              </a:ext>
            </a:extLst>
          </xdr:cNvPr>
          <xdr:cNvCxnSpPr>
            <a:stCxn id="32" idx="1"/>
            <a:endCxn id="3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EC1BF22F-2D67-AD8B-11A5-FB33715E515A}"/>
              </a:ext>
            </a:extLst>
          </xdr:cNvPr>
          <xdr:cNvCxnSpPr>
            <a:stCxn id="32" idx="3"/>
            <a:endCxn id="3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128744</xdr:colOff>
      <xdr:row>21</xdr:row>
      <xdr:rowOff>151771</xdr:rowOff>
    </xdr:from>
    <xdr:to>
      <xdr:col>11</xdr:col>
      <xdr:colOff>253972</xdr:colOff>
      <xdr:row>23</xdr:row>
      <xdr:rowOff>2220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65C94FE8-1BD8-4CE3-9F11-B932ED3887CD}"/>
            </a:ext>
          </a:extLst>
        </xdr:cNvPr>
        <xdr:cNvGrpSpPr/>
      </xdr:nvGrpSpPr>
      <xdr:grpSpPr>
        <a:xfrm rot="21333083">
          <a:off x="3872483" y="3332293"/>
          <a:ext cx="125228" cy="14862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7" name="Oval 36">
            <a:extLst>
              <a:ext uri="{FF2B5EF4-FFF2-40B4-BE49-F238E27FC236}">
                <a16:creationId xmlns:a16="http://schemas.microsoft.com/office/drawing/2014/main" id="{C61A8B10-BBB3-87D9-175B-9262CAEBD01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2A5CDFC3-FDF8-46C0-9D5F-D40267C3B527}"/>
              </a:ext>
            </a:extLst>
          </xdr:cNvPr>
          <xdr:cNvCxnSpPr>
            <a:stCxn id="37" idx="1"/>
            <a:endCxn id="3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38D5EF8A-CCCD-884C-F862-655A3A09529D}"/>
              </a:ext>
            </a:extLst>
          </xdr:cNvPr>
          <xdr:cNvCxnSpPr>
            <a:stCxn id="37" idx="3"/>
            <a:endCxn id="3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130577</xdr:colOff>
      <xdr:row>37</xdr:row>
      <xdr:rowOff>102735</xdr:rowOff>
    </xdr:from>
    <xdr:to>
      <xdr:col>11</xdr:col>
      <xdr:colOff>255805</xdr:colOff>
      <xdr:row>38</xdr:row>
      <xdr:rowOff>90485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39EC5A1B-D65D-47ED-A525-39F33B9A1B06}"/>
            </a:ext>
          </a:extLst>
        </xdr:cNvPr>
        <xdr:cNvGrpSpPr/>
      </xdr:nvGrpSpPr>
      <xdr:grpSpPr>
        <a:xfrm rot="21333083">
          <a:off x="3874316" y="5676931"/>
          <a:ext cx="125228" cy="15340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5" name="Oval 44">
            <a:extLst>
              <a:ext uri="{FF2B5EF4-FFF2-40B4-BE49-F238E27FC236}">
                <a16:creationId xmlns:a16="http://schemas.microsoft.com/office/drawing/2014/main" id="{BA033DD3-F666-52DA-05D8-96C41FA0781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9F7B7B7E-B121-B129-6731-662ABF16A561}"/>
              </a:ext>
            </a:extLst>
          </xdr:cNvPr>
          <xdr:cNvCxnSpPr>
            <a:stCxn id="45" idx="1"/>
            <a:endCxn id="4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23FFB27B-C086-974C-1010-D89757C293AB}"/>
              </a:ext>
            </a:extLst>
          </xdr:cNvPr>
          <xdr:cNvCxnSpPr>
            <a:stCxn id="45" idx="3"/>
            <a:endCxn id="4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164363</xdr:colOff>
      <xdr:row>22</xdr:row>
      <xdr:rowOff>126221</xdr:rowOff>
    </xdr:from>
    <xdr:to>
      <xdr:col>11</xdr:col>
      <xdr:colOff>168662</xdr:colOff>
      <xdr:row>32</xdr:row>
      <xdr:rowOff>92340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1B0BC71D-D499-4E6B-9A82-F98022AA1F32}"/>
            </a:ext>
          </a:extLst>
        </xdr:cNvPr>
        <xdr:cNvCxnSpPr>
          <a:stCxn id="24" idx="0"/>
        </xdr:cNvCxnSpPr>
      </xdr:nvCxnSpPr>
      <xdr:spPr>
        <a:xfrm flipH="1" flipV="1">
          <a:off x="3908102" y="3455830"/>
          <a:ext cx="4299" cy="1448706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274153</xdr:colOff>
      <xdr:row>42</xdr:row>
      <xdr:rowOff>62153</xdr:rowOff>
    </xdr:from>
    <xdr:to>
      <xdr:col>15</xdr:col>
      <xdr:colOff>74542</xdr:colOff>
      <xdr:row>46</xdr:row>
      <xdr:rowOff>31540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AD781846-888B-4AA8-A897-4983F4E0FA89}"/>
            </a:ext>
          </a:extLst>
        </xdr:cNvPr>
        <xdr:cNvSpPr/>
      </xdr:nvSpPr>
      <xdr:spPr>
        <a:xfrm>
          <a:off x="4017892" y="6398349"/>
          <a:ext cx="1324389" cy="565734"/>
        </a:xfrm>
        <a:prstGeom prst="rect">
          <a:avLst/>
        </a:prstGeom>
        <a:solidFill>
          <a:schemeClr val="bg1"/>
        </a:solidFill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KOS</a:t>
          </a:r>
          <a:br>
            <a:rPr lang="en-ID" sz="800" b="1">
              <a:solidFill>
                <a:srgbClr val="FF0000"/>
              </a:solidFill>
            </a:rPr>
          </a:br>
          <a:r>
            <a:rPr lang="en-ID" sz="800" b="1">
              <a:solidFill>
                <a:srgbClr val="FF0000"/>
              </a:solidFill>
            </a:rPr>
            <a:t>GOLDYS</a:t>
          </a:r>
          <a:r>
            <a:rPr lang="en-ID" sz="800" b="1" baseline="0">
              <a:solidFill>
                <a:srgbClr val="FF0000"/>
              </a:solidFill>
            </a:rPr>
            <a:t> KOS</a:t>
          </a:r>
          <a:endParaRPr lang="en-ID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309399</xdr:colOff>
      <xdr:row>31</xdr:row>
      <xdr:rowOff>22306</xdr:rowOff>
    </xdr:from>
    <xdr:to>
      <xdr:col>13</xdr:col>
      <xdr:colOff>118899</xdr:colOff>
      <xdr:row>34</xdr:row>
      <xdr:rowOff>133293</xdr:rowOff>
    </xdr:to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EF1F28F8-39E7-46A8-AFA9-1479D5DCF333}"/>
            </a:ext>
          </a:extLst>
        </xdr:cNvPr>
        <xdr:cNvSpPr txBox="1"/>
      </xdr:nvSpPr>
      <xdr:spPr>
        <a:xfrm>
          <a:off x="4053138" y="4685415"/>
          <a:ext cx="571500" cy="558248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8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 editAs="oneCell">
    <xdr:from>
      <xdr:col>2</xdr:col>
      <xdr:colOff>87925</xdr:colOff>
      <xdr:row>47</xdr:row>
      <xdr:rowOff>41098</xdr:rowOff>
    </xdr:from>
    <xdr:to>
      <xdr:col>7</xdr:col>
      <xdr:colOff>175846</xdr:colOff>
      <xdr:row>54</xdr:row>
      <xdr:rowOff>112066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0F76AF-1D43-7FC1-7766-A8A724021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8425" y="7302079"/>
          <a:ext cx="2110152" cy="1257929"/>
        </a:xfrm>
        <a:prstGeom prst="rect">
          <a:avLst/>
        </a:prstGeom>
      </xdr:spPr>
    </xdr:pic>
    <xdr:clientData/>
  </xdr:twoCellAnchor>
  <xdr:twoCellAnchor>
    <xdr:from>
      <xdr:col>10</xdr:col>
      <xdr:colOff>371124</xdr:colOff>
      <xdr:row>23</xdr:row>
      <xdr:rowOff>94294</xdr:rowOff>
    </xdr:from>
    <xdr:to>
      <xdr:col>11</xdr:col>
      <xdr:colOff>41413</xdr:colOff>
      <xdr:row>44</xdr:row>
      <xdr:rowOff>28351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BD5A4F90-3F07-466C-B69B-C7693B74A172}"/>
            </a:ext>
          </a:extLst>
        </xdr:cNvPr>
        <xdr:cNvCxnSpPr/>
      </xdr:nvCxnSpPr>
      <xdr:spPr>
        <a:xfrm>
          <a:off x="3733863" y="3572990"/>
          <a:ext cx="51289" cy="3089731"/>
        </a:xfrm>
        <a:prstGeom prst="line">
          <a:avLst/>
        </a:prstGeom>
        <a:ln w="127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5861</xdr:colOff>
      <xdr:row>23</xdr:row>
      <xdr:rowOff>79130</xdr:rowOff>
    </xdr:from>
    <xdr:to>
      <xdr:col>16</xdr:col>
      <xdr:colOff>29307</xdr:colOff>
      <xdr:row>32</xdr:row>
      <xdr:rowOff>43962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30A4BAA4-F545-4739-B126-DBA02A7F034E}"/>
            </a:ext>
          </a:extLst>
        </xdr:cNvPr>
        <xdr:cNvCxnSpPr/>
      </xdr:nvCxnSpPr>
      <xdr:spPr>
        <a:xfrm>
          <a:off x="5647592" y="3640015"/>
          <a:ext cx="23446" cy="1342293"/>
        </a:xfrm>
        <a:prstGeom prst="line">
          <a:avLst/>
        </a:prstGeom>
        <a:ln w="127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180560</xdr:colOff>
      <xdr:row>33</xdr:row>
      <xdr:rowOff>96192</xdr:rowOff>
    </xdr:from>
    <xdr:to>
      <xdr:col>11</xdr:col>
      <xdr:colOff>187242</xdr:colOff>
      <xdr:row>37</xdr:row>
      <xdr:rowOff>102966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E97A6C0-502D-4049-B575-D2203729B532}"/>
            </a:ext>
          </a:extLst>
        </xdr:cNvPr>
        <xdr:cNvCxnSpPr>
          <a:stCxn id="24" idx="4"/>
          <a:endCxn id="45" idx="0"/>
        </xdr:cNvCxnSpPr>
      </xdr:nvCxnSpPr>
      <xdr:spPr>
        <a:xfrm>
          <a:off x="3924299" y="5057475"/>
          <a:ext cx="6682" cy="61968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102566</xdr:colOff>
      <xdr:row>34</xdr:row>
      <xdr:rowOff>57215</xdr:rowOff>
    </xdr:from>
    <xdr:to>
      <xdr:col>11</xdr:col>
      <xdr:colOff>309578</xdr:colOff>
      <xdr:row>36</xdr:row>
      <xdr:rowOff>150553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3EA854C2-0142-4E11-BFD7-FE84884F944A}"/>
            </a:ext>
          </a:extLst>
        </xdr:cNvPr>
        <xdr:cNvSpPr/>
      </xdr:nvSpPr>
      <xdr:spPr>
        <a:xfrm rot="5400000">
          <a:off x="3754055" y="5259835"/>
          <a:ext cx="391511" cy="207012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///</a:t>
          </a:r>
        </a:p>
      </xdr:txBody>
    </xdr:sp>
    <xdr:clientData/>
  </xdr:twoCellAnchor>
  <xdr:twoCellAnchor>
    <xdr:from>
      <xdr:col>9</xdr:col>
      <xdr:colOff>241640</xdr:colOff>
      <xdr:row>36</xdr:row>
      <xdr:rowOff>107446</xdr:rowOff>
    </xdr:from>
    <xdr:to>
      <xdr:col>11</xdr:col>
      <xdr:colOff>51140</xdr:colOff>
      <xdr:row>38</xdr:row>
      <xdr:rowOff>148516</xdr:rowOff>
    </xdr:to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424B9DBB-E24B-4216-A55A-357C628B5A88}"/>
            </a:ext>
          </a:extLst>
        </xdr:cNvPr>
        <xdr:cNvSpPr txBox="1"/>
      </xdr:nvSpPr>
      <xdr:spPr>
        <a:xfrm>
          <a:off x="3223379" y="5515989"/>
          <a:ext cx="571500" cy="37237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9</xdr:col>
      <xdr:colOff>248014</xdr:colOff>
      <xdr:row>18</xdr:row>
      <xdr:rowOff>97107</xdr:rowOff>
    </xdr:from>
    <xdr:to>
      <xdr:col>9</xdr:col>
      <xdr:colOff>373242</xdr:colOff>
      <xdr:row>19</xdr:row>
      <xdr:rowOff>96643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7BD36CD6-69F8-40AC-A1C9-7BCE9D242073}"/>
            </a:ext>
          </a:extLst>
        </xdr:cNvPr>
        <xdr:cNvGrpSpPr/>
      </xdr:nvGrpSpPr>
      <xdr:grpSpPr>
        <a:xfrm rot="21333083">
          <a:off x="3229753" y="2830368"/>
          <a:ext cx="125228" cy="14862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79384236-EED1-55AB-34FB-A2D60DB8B08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2D250ECC-EAE9-8E87-0972-BC5FBCF046AF}"/>
              </a:ext>
            </a:extLst>
          </xdr:cNvPr>
          <xdr:cNvCxnSpPr>
            <a:stCxn id="5" idx="1"/>
            <a:endCxn id="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816E541B-48E2-0F62-8B88-A08448C788F2}"/>
              </a:ext>
            </a:extLst>
          </xdr:cNvPr>
          <xdr:cNvCxnSpPr>
            <a:stCxn id="5" idx="3"/>
            <a:endCxn id="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82826</xdr:colOff>
      <xdr:row>17</xdr:row>
      <xdr:rowOff>16565</xdr:rowOff>
    </xdr:from>
    <xdr:to>
      <xdr:col>11</xdr:col>
      <xdr:colOff>2950</xdr:colOff>
      <xdr:row>23</xdr:row>
      <xdr:rowOff>130647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2A547E76-D4F9-4AF9-A6CF-A247F9A64738}"/>
            </a:ext>
          </a:extLst>
        </xdr:cNvPr>
        <xdr:cNvCxnSpPr/>
      </xdr:nvCxnSpPr>
      <xdr:spPr>
        <a:xfrm>
          <a:off x="2683565" y="2600739"/>
          <a:ext cx="1063124" cy="1008604"/>
        </a:xfrm>
        <a:prstGeom prst="line">
          <a:avLst/>
        </a:prstGeom>
        <a:ln w="127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358845</xdr:colOff>
      <xdr:row>19</xdr:row>
      <xdr:rowOff>71286</xdr:rowOff>
    </xdr:from>
    <xdr:to>
      <xdr:col>11</xdr:col>
      <xdr:colOff>128933</xdr:colOff>
      <xdr:row>22</xdr:row>
      <xdr:rowOff>81853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476E5566-8DD5-42FC-80A5-62B18132566C}"/>
            </a:ext>
          </a:extLst>
        </xdr:cNvPr>
        <xdr:cNvCxnSpPr>
          <a:stCxn id="37" idx="2"/>
          <a:endCxn id="5" idx="5"/>
        </xdr:cNvCxnSpPr>
      </xdr:nvCxnSpPr>
      <xdr:spPr>
        <a:xfrm flipH="1" flipV="1">
          <a:off x="3340584" y="2953634"/>
          <a:ext cx="532088" cy="457828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281609</xdr:colOff>
      <xdr:row>38</xdr:row>
      <xdr:rowOff>66261</xdr:rowOff>
    </xdr:from>
    <xdr:to>
      <xdr:col>15</xdr:col>
      <xdr:colOff>81998</xdr:colOff>
      <xdr:row>42</xdr:row>
      <xdr:rowOff>35647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CC54FE1D-E98A-4605-9435-BE55C1AC861F}"/>
            </a:ext>
          </a:extLst>
        </xdr:cNvPr>
        <xdr:cNvSpPr/>
      </xdr:nvSpPr>
      <xdr:spPr>
        <a:xfrm>
          <a:off x="4025348" y="5806109"/>
          <a:ext cx="1324389" cy="565734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chemeClr val="tx1"/>
              </a:solidFill>
            </a:rPr>
            <a:t>PARKIRAN</a:t>
          </a:r>
          <a:r>
            <a:rPr lang="en-ID" sz="800" b="1" baseline="0">
              <a:solidFill>
                <a:schemeClr val="tx1"/>
              </a:solidFill>
            </a:rPr>
            <a:t> REINS KAFE</a:t>
          </a:r>
          <a:endParaRPr lang="en-ID" sz="8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99392</xdr:colOff>
      <xdr:row>24</xdr:row>
      <xdr:rowOff>115957</xdr:rowOff>
    </xdr:from>
    <xdr:to>
      <xdr:col>10</xdr:col>
      <xdr:colOff>239368</xdr:colOff>
      <xdr:row>33</xdr:row>
      <xdr:rowOff>77060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3A91D931-E6C8-4D47-8C5A-32D97BC3AEEB}"/>
            </a:ext>
          </a:extLst>
        </xdr:cNvPr>
        <xdr:cNvSpPr/>
      </xdr:nvSpPr>
      <xdr:spPr>
        <a:xfrm>
          <a:off x="1938131" y="3743740"/>
          <a:ext cx="1663976" cy="1294603"/>
        </a:xfrm>
        <a:prstGeom prst="rect">
          <a:avLst/>
        </a:prstGeom>
        <a:solidFill>
          <a:schemeClr val="bg1"/>
        </a:solidFill>
        <a:ln w="952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 baseline="0">
              <a:solidFill>
                <a:schemeClr val="tx1"/>
              </a:solidFill>
            </a:rPr>
            <a:t> REINS KAFE</a:t>
          </a:r>
          <a:endParaRPr lang="en-ID" sz="800" b="1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503462</xdr:colOff>
      <xdr:row>9</xdr:row>
      <xdr:rowOff>122463</xdr:rowOff>
    </xdr:from>
    <xdr:to>
      <xdr:col>20</xdr:col>
      <xdr:colOff>295275</xdr:colOff>
      <xdr:row>48</xdr:row>
      <xdr:rowOff>122464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C381B0-8A00-B6A7-D6BF-E52A5391A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0391" y="1741713"/>
          <a:ext cx="10201277" cy="636814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  <sheetName val="DExp.Lm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  <sheetName val="prod03"/>
      <sheetName val="C"/>
      <sheetName val="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  <sheetName val="DExp.Lmb"/>
      <sheetName val="Usulan"/>
      <sheetName val="JAN07"/>
      <sheetName val="graf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  <sheetName val="Harga BBM Indonesia"/>
      <sheetName val="MASTER"/>
      <sheetName val="FORM-B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  <sheetName val="NerSubsis"/>
      <sheetName val="UPDATE 25 JANUARI 2007"/>
      <sheetName val="UshDeb00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  <sheetName val="MENU1"/>
      <sheetName val="MEMO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  <sheetName val="item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Usul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  <sheetName val="Usulan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  <sheetName val="item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  <sheetName val="tarif_baru"/>
      <sheetName val="Rekap PMG."/>
      <sheetName val="LK2004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  <sheetName val="KAJIAN"/>
      <sheetName val="RAB"/>
      <sheetName val="TDL 2019"/>
      <sheetName val="PUNCAK-89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Asumsi &amp; Hasil"/>
      <sheetName val="Material"/>
      <sheetName val="COVER A1_A3"/>
      <sheetName val="Summary"/>
      <sheetName val="aruskas"/>
      <sheetName val="prod03"/>
      <sheetName val="JAN07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Daftar_Isi"/>
      <sheetName val="AI_(IS1)"/>
      <sheetName val="AI_(IS2)(1)"/>
      <sheetName val="AI_(IS2)_(2)"/>
      <sheetName val="REK_TRW_(IS3)"/>
      <sheetName val="REK_TRW_(IS4)"/>
      <sheetName val="RKAP_Investasi"/>
      <sheetName val="Harga_BBM_Indonesia"/>
      <sheetName val="Single_Line"/>
      <sheetName val="DATA_PENGUSAHA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  <sheetName val="Resource Plan (2)"/>
      <sheetName val="10 INDIKATOR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  <sheetName val="Smg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Asumsi"/>
      <sheetName val="JAN07"/>
      <sheetName val="MATERIAL juni 05"/>
      <sheetName val="UPDATE 25 JANUARI 20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  <sheetName val="UPAH 2012"/>
      <sheetName val="Daftar Harga 2012 mmk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>
        <row r="120">
          <cell r="H120">
            <v>9000</v>
          </cell>
        </row>
      </sheetData>
      <sheetData sheetId="231">
        <row r="120">
          <cell r="H120">
            <v>9000</v>
          </cell>
        </row>
      </sheetData>
      <sheetData sheetId="232">
        <row r="120">
          <cell r="H120">
            <v>9000</v>
          </cell>
        </row>
      </sheetData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>
        <row r="120">
          <cell r="H120">
            <v>9000</v>
          </cell>
        </row>
      </sheetData>
      <sheetData sheetId="238">
        <row r="120">
          <cell r="H120">
            <v>9000</v>
          </cell>
        </row>
      </sheetData>
      <sheetData sheetId="239">
        <row r="120">
          <cell r="H120">
            <v>9000</v>
          </cell>
        </row>
      </sheetData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>
        <row r="120">
          <cell r="H120">
            <v>9000</v>
          </cell>
        </row>
      </sheetData>
      <sheetData sheetId="245">
        <row r="120">
          <cell r="H120">
            <v>9000</v>
          </cell>
        </row>
      </sheetData>
      <sheetData sheetId="246"/>
      <sheetData sheetId="247"/>
      <sheetData sheetId="248"/>
      <sheetData sheetId="249"/>
      <sheetData sheetId="250"/>
      <sheetData sheetId="251"/>
      <sheetData sheetId="252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  <sheetName val="Resume"/>
      <sheetName val="D2. ANALISA HS INSHAR"/>
      <sheetName val="DTU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  <sheetName val="TDL 2020"/>
      <sheetName val="DATA PLG"/>
      <sheetName val="Asumsi &amp; Hasil"/>
      <sheetName val="Resource Plan (2)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  <sheetName val="Format"/>
      <sheetName val="Data Pelanggan TM"/>
      <sheetName val="Menu"/>
      <sheetName val="Parameter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  <sheetName val="KKO"/>
      <sheetName val="PDL"/>
      <sheetName val="RAB"/>
      <sheetName val="INP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  <sheetName val="E3. ANALISA HS HAR TEK SUTM"/>
      <sheetName val="E6. ANALISA HS HAR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RAB"/>
      <sheetName val="DTU"/>
      <sheetName val="Jasa"/>
      <sheetName val="Mat"/>
      <sheetName val="aruskas"/>
      <sheetName val="Hal-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  <sheetName val="Format"/>
      <sheetName val="aruskas"/>
      <sheetName val="Hal-1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Format"/>
      <sheetName val="W-NAD"/>
      <sheetName val="Cover"/>
      <sheetName val="Standar Konstruksi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  <sheetName val="Neraca seAPJ"/>
      <sheetName val="TABEL"/>
      <sheetName val="PkRp"/>
      <sheetName val="Forma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  <sheetName val="JAN07"/>
      <sheetName val="W1"/>
      <sheetName val="NerSubsis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  <sheetName val="JAN07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E3. ANALISA HS HAR TEK SUTM"/>
      <sheetName val="E6. ANALISA HS HAR"/>
      <sheetName val="PIC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E3. ANALISA HS HAR TEK SUTM"/>
      <sheetName val="E6. ANALISA HS HAR"/>
      <sheetName val="Asumsi"/>
      <sheetName val="aruskas"/>
      <sheetName val="Hal-1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  <sheetName val="Valuatio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  <sheetName val="master 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  <sheetName val="ca"/>
      <sheetName val="JURNAL"/>
      <sheetName val="BB PUSAT"/>
      <sheetName val="DTstok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  <sheetName val="bantu"/>
      <sheetName val="Valuation"/>
      <sheetName val="FORM-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  <sheetName val="Sudah Berjalan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  <sheetName val="LAIN2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  <sheetName val="Cover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  <sheetName val="KINERJA_PMT"/>
      <sheetName val="master rab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  <sheetName val="SuMBER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  <sheetName val="Resume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  <sheetName val="Dasar Pemadaman"/>
      <sheetName val="Supl.X"/>
      <sheetName val="Harga bahan &amp; upah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  <sheetName val="x"/>
      <sheetName val="HB BARU"/>
      <sheetName val="bantu"/>
      <sheetName val="JAN07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1" t="s">
        <v>1134</v>
      </c>
      <c r="C4" s="521"/>
      <c r="D4" s="521"/>
      <c r="E4" s="521"/>
      <c r="F4" s="521"/>
      <c r="G4" s="521"/>
      <c r="H4" s="52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2" t="s">
        <v>0</v>
      </c>
      <c r="C7" s="522" t="s">
        <v>1</v>
      </c>
      <c r="D7" s="523" t="s">
        <v>42</v>
      </c>
      <c r="E7" s="523" t="s">
        <v>43</v>
      </c>
      <c r="F7" s="523" t="s">
        <v>1135</v>
      </c>
      <c r="G7" s="524" t="s">
        <v>41</v>
      </c>
      <c r="H7" s="520" t="s">
        <v>1042</v>
      </c>
      <c r="I7" s="520" t="s">
        <v>1137</v>
      </c>
      <c r="J7" s="520" t="s">
        <v>1026</v>
      </c>
      <c r="K7" s="514" t="s">
        <v>1024</v>
      </c>
      <c r="L7" s="515"/>
    </row>
    <row r="8" spans="1:12" ht="15" customHeight="1">
      <c r="B8" s="522"/>
      <c r="C8" s="522"/>
      <c r="D8" s="523"/>
      <c r="E8" s="523"/>
      <c r="F8" s="523"/>
      <c r="G8" s="524"/>
      <c r="H8" s="520"/>
      <c r="I8" s="520"/>
      <c r="J8" s="520"/>
      <c r="K8" s="516"/>
      <c r="L8" s="517"/>
    </row>
    <row r="9" spans="1:12" ht="15" customHeight="1">
      <c r="B9" s="522"/>
      <c r="C9" s="522"/>
      <c r="D9" s="523"/>
      <c r="E9" s="523"/>
      <c r="F9" s="523"/>
      <c r="G9" s="524"/>
      <c r="H9" s="520"/>
      <c r="I9" s="520"/>
      <c r="J9" s="520"/>
      <c r="K9" s="518"/>
      <c r="L9" s="51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2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6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2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3x35+1x35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50</v>
      </c>
      <c r="G14" s="41">
        <f ca="1">IF(ISERROR(OFFSET('HARGA SATUAN'!$I$6,MATCH(C14,'HARGA SATUAN'!$C$7:$C$1492,0),0)),"",OFFSET('HARGA SATUAN'!$I$6,MATCH(C14,'HARGA SATUAN'!$C$7:$C$1492,0),0))</f>
        <v>30400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2 x 10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40</v>
      </c>
      <c r="G15" s="41">
        <f ca="1">IF(ISERROR(OFFSET('HARGA SATUAN'!$I$6,MATCH(C15,'HARGA SATUAN'!$C$7:$C$1492,0),0)),"",OFFSET('HARGA SATUAN'!$I$6,MATCH(C15,'HARGA SATUAN'!$C$7:$C$1492,0),0))</f>
        <v>4300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SUMIFS(RAB!$F$14:$F$53,RAB!$C$14:$C$53,C714)</f>
        <v>2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SUMIFS(RAB!$F$14:$F$53,RAB!$C$14:$C$53,C715)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SUMIFS(RAB!$F$14:$F$53,RAB!$C$14:$C$53,C716)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SUMIFS(RAB!$F$14:$F$53,RAB!$C$14:$C$53,C717)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SUMIFS(RAB!$F$14:$F$53,RAB!$C$14:$C$53,C718)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SUMIFS(RAB!$F$14:$F$53,RAB!$C$14:$C$53,C719)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SUMIFS(RAB!$F$14:$F$53,RAB!$C$14:$C$53,C720)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SUMIFS(RAB!$F$14:$F$53,RAB!$C$14:$C$53,C721)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SUMIFS(RAB!$F$14:$F$53,RAB!$C$14:$C$53,C722)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SUMIFS(RAB!$F$14:$F$53,RAB!$C$14:$C$53,C723)</f>
        <v>2</v>
      </c>
      <c r="E723" s="26">
        <f t="shared" ca="1" si="33"/>
        <v>1</v>
      </c>
      <c r="F723" s="26">
        <f ca="1">IF(D723=0,0,SUM($E$713:E723))</f>
        <v>2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SUMIFS(RAB!$F$14:$F$53,RAB!$C$14:$C$53,C724)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SUMIFS(RAB!$F$14:$F$53,RAB!$C$14:$C$53,C725)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SUMIFS(RAB!$F$14:$F$53,RAB!$C$14:$C$53,C726)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SUMIFS(RAB!$F$14:$F$53,RAB!$C$14:$C$53,C727)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SUMIFS(RAB!$F$14:$F$53,RAB!$C$14:$C$53,C728)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SUMIFS(RAB!$F$14:$F$53,RAB!$C$14:$C$53,C729)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SUMIFS(RAB!$F$14:$F$53,RAB!$C$14:$C$53,C730)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SUMIFS(RAB!$F$14:$F$53,RAB!$C$14:$C$53,C731)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SUMIFS(RAB!$F$14:$F$53,RAB!$C$14:$C$53,C732)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SUMIFS(RAB!$F$14:$F$53,RAB!$C$14:$C$53,C733)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SUMIFS(RAB!$F$14:$F$53,RAB!$C$14:$C$53,C734)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SUMIFS(RAB!$F$14:$F$53,RAB!$C$14:$C$53,C735)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SUMIFS(RAB!$F$14:$F$53,RAB!$C$14:$C$53,C736)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SUMIFS(RAB!$F$14:$F$53,RAB!$C$14:$C$53,C737)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SUMIFS(RAB!$F$14:$F$53,RAB!$C$14:$C$53,C738)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SUMIFS(RAB!$F$14:$F$53,RAB!$C$14:$C$53,C739)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SUMIFS(RAB!$F$14:$F$53,RAB!$C$14:$C$53,C740)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SUMIFS(RAB!$F$14:$F$53,RAB!$C$14:$C$53,C741)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SUMIFS(RAB!$F$14:$F$53,RAB!$C$14:$C$53,C742)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SUMIFS(RAB!$F$14:$F$53,RAB!$C$14:$C$53,C743)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SUMIFS(RAB!$F$14:$F$53,RAB!$C$14:$C$53,C744)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SUMIFS(RAB!$F$14:$F$53,RAB!$C$14:$C$53,C745)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SUMIFS(RAB!$F$14:$F$53,RAB!$C$14:$C$53,C746)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SUMIFS(RAB!$F$14:$F$53,RAB!$C$14:$C$53,C747)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SUMIFS(RAB!$F$14:$F$53,RAB!$C$14:$C$53,C748)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SUMIFS(RAB!$F$14:$F$53,RAB!$C$14:$C$53,C749)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SUMIFS(RAB!$F$14:$F$53,RAB!$C$14:$C$53,C750)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SUMIFS(RAB!$F$14:$F$53,RAB!$C$14:$C$53,C751)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SUMIFS(RAB!$F$14:$F$53,RAB!$C$14:$C$53,C752)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SUMIFS(RAB!$F$14:$F$53,RAB!$C$14:$C$53,C753)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SUMIFS(RAB!$F$14:$F$53,RAB!$C$14:$C$53,C754)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SUMIFS(RAB!$F$14:$F$53,RAB!$C$14:$C$53,C755)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SUMIFS(RAB!$F$14:$F$53,RAB!$C$14:$C$53,C756)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SUMIFS(RAB!$F$14:$F$53,RAB!$C$14:$C$53,C757)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SUMIFS(RAB!$F$14:$F$53,RAB!$C$14:$C$53,C758)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SUMIFS(RAB!$F$14:$F$53,RAB!$C$14:$C$53,C759)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SUMIFS(RAB!$F$14:$F$53,RAB!$C$14:$C$53,C760)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SUMIFS(RAB!$F$14:$F$53,RAB!$C$14:$C$53,C761)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SUMIFS(RAB!$F$14:$F$53,RAB!$C$14:$C$53,C762)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SUMIFS(RAB!$F$14:$F$53,RAB!$C$14:$C$53,C763)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SUMIFS(RAB!$F$14:$F$53,RAB!$C$14:$C$53,C764)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SUMIFS(RAB!$F$14:$F$53,RAB!$C$14:$C$53,C765)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SUMIFS(RAB!$F$14:$F$53,RAB!$C$14:$C$53,C766)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SUMIFS(RAB!$F$14:$F$53,RAB!$C$14:$C$53,C767)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SUMIFS(RAB!$F$14:$F$53,RAB!$C$14:$C$53,C768)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SUMIFS(RAB!$F$14:$F$53,RAB!$C$14:$C$53,C769)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SUMIFS(RAB!$F$14:$F$53,RAB!$C$14:$C$53,C770)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SUMIFS(RAB!$F$14:$F$53,RAB!$C$14:$C$53,C771)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SUMIFS(RAB!$F$14:$F$53,RAB!$C$14:$C$53,C772)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SUMIFS(RAB!$F$14:$F$53,RAB!$C$14:$C$53,C773)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SUMIFS(RAB!$F$14:$F$53,RAB!$C$14:$C$53,C774)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SUMIFS(RAB!$F$14:$F$53,RAB!$C$14:$C$53,C775)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SUMIFS(RAB!$F$14:$F$53,RAB!$C$14:$C$53,C776)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SUMIFS(RAB!$F$14:$F$53,RAB!$C$14:$C$53,C777)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SUMIFS(RAB!$F$14:$F$53,RAB!$C$14:$C$53,C778)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SUMIFS(RAB!$F$14:$F$53,RAB!$C$14:$C$53,C779)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SUMIFS(RAB!$F$14:$F$53,RAB!$C$14:$C$53,C780)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SUMIFS(RAB!$F$14:$F$53,RAB!$C$14:$C$53,C781)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SUMIFS(RAB!$F$14:$F$53,RAB!$C$14:$C$53,C782)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SUMIFS(RAB!$F$14:$F$53,RAB!$C$14:$C$53,C783)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SUMIFS(RAB!$F$14:$F$53,RAB!$C$14:$C$53,C784)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SUMIFS(RAB!$F$14:$F$53,RAB!$C$14:$C$53,C785)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SUMIFS(RAB!$F$14:$F$53,RAB!$C$14:$C$53,C786)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SUMIFS(RAB!$F$14:$F$53,RAB!$C$14:$C$53,C787)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SUMIFS(RAB!$F$14:$F$53,RAB!$C$14:$C$53,C788)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SUMIFS(RAB!$F$14:$F$53,RAB!$C$14:$C$53,C789)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SUMIFS(RAB!$F$14:$F$53,RAB!$C$14:$C$53,C790)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SUMIFS(RAB!$F$14:$F$53,RAB!$C$14:$C$53,C791)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SUMIFS(RAB!$F$14:$F$53,RAB!$C$14:$C$53,C792)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SUMIFS(RAB!$F$14:$F$53,RAB!$C$14:$C$53,C793)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SUMIFS(RAB!$F$14:$F$53,RAB!$C$14:$C$53,C794)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SUMIFS(RAB!$F$14:$F$53,RAB!$C$14:$C$53,C795)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SUMIFS(RAB!$F$14:$F$53,RAB!$C$14:$C$53,C796)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SUMIFS(RAB!$F$14:$F$53,RAB!$C$14:$C$53,C797)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SUMIFS(RAB!$F$14:$F$53,RAB!$C$14:$C$53,C798)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SUMIFS(RAB!$F$14:$F$53,RAB!$C$14:$C$53,C799)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SUMIFS(RAB!$F$14:$F$53,RAB!$C$14:$C$53,C800)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SUMIFS(RAB!$F$14:$F$53,RAB!$C$14:$C$53,C801)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SUMIFS(RAB!$F$14:$F$53,RAB!$C$14:$C$53,C802)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SUMIFS(RAB!$F$14:$F$53,RAB!$C$14:$C$53,C803)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SUMIFS(RAB!$F$14:$F$53,RAB!$C$14:$C$53,C804)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SUMIFS(RAB!$F$14:$F$53,RAB!$C$14:$C$53,C805)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SUMIFS(RAB!$F$14:$F$53,RAB!$C$14:$C$53,C806)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SUMIFS(RAB!$F$14:$F$53,RAB!$C$14:$C$53,C807)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SUMIFS(RAB!$F$14:$F$53,RAB!$C$14:$C$53,C808)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SUMIFS(RAB!$F$14:$F$53,RAB!$C$14:$C$53,C809)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SUMIFS(RAB!$F$14:$F$53,RAB!$C$14:$C$53,C810)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SUMIFS(RAB!$F$14:$F$53,RAB!$C$14:$C$53,C811)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SUMIFS(RAB!$F$14:$F$53,RAB!$C$14:$C$53,C812)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SUMIFS(RAB!$F$14:$F$53,RAB!$C$14:$C$53,C813)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SUMIFS(RAB!$F$14:$F$53,RAB!$C$14:$C$53,C814)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SUMIFS(RAB!$F$14:$F$53,RAB!$C$14:$C$53,C815)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SUMIFS(RAB!$F$14:$F$53,RAB!$C$14:$C$53,C816)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SUMIFS(RAB!$F$14:$F$53,RAB!$C$14:$C$53,C817)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SUMIFS(RAB!$F$14:$F$53,RAB!$C$14:$C$53,C818)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SUMIFS(RAB!$F$14:$F$53,RAB!$C$14:$C$53,C819)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SUMIFS(RAB!$F$14:$F$53,RAB!$C$14:$C$53,C820)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SUMIFS(RAB!$F$14:$F$53,RAB!$C$14:$C$53,C821)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SUMIFS(RAB!$F$14:$F$53,RAB!$C$14:$C$53,C822)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SUMIFS(RAB!$F$14:$F$53,RAB!$C$14:$C$53,C823)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SUMIFS(RAB!$F$14:$F$53,RAB!$C$14:$C$53,C824)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SUMIFS(RAB!$F$14:$F$53,RAB!$C$14:$C$53,C825)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SUMIFS(RAB!$F$14:$F$53,RAB!$C$14:$C$53,C826)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SUMIFS(RAB!$F$14:$F$53,RAB!$C$14:$C$53,C827)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SUMIFS(RAB!$F$14:$F$53,RAB!$C$14:$C$53,C828)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SUMIFS(RAB!$F$14:$F$53,RAB!$C$14:$C$53,C829)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SUMIFS(RAB!$F$14:$F$53,RAB!$C$14:$C$53,C830)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SUMIFS(RAB!$F$14:$F$53,RAB!$C$14:$C$53,C831)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SUMIFS(RAB!$F$14:$F$53,RAB!$C$14:$C$53,C832)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SUMIFS(RAB!$F$14:$F$53,RAB!$C$14:$C$53,C833)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SUMIFS(RAB!$F$14:$F$53,RAB!$C$14:$C$53,C834)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SUMIFS(RAB!$F$14:$F$53,RAB!$C$14:$C$53,C835)</f>
        <v>50</v>
      </c>
      <c r="E835" s="26">
        <f t="shared" ca="1" si="34"/>
        <v>1</v>
      </c>
      <c r="F835" s="26">
        <f ca="1">IF(D835=0,0,SUM($E$713:E835))</f>
        <v>3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SUMIFS(RAB!$F$14:$F$53,RAB!$C$14:$C$53,C836)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SUMIFS(RAB!$F$14:$F$53,RAB!$C$14:$C$53,C837)</f>
        <v>40</v>
      </c>
      <c r="E837" s="26">
        <f t="shared" ca="1" si="34"/>
        <v>1</v>
      </c>
      <c r="F837" s="26">
        <f ca="1">IF(D837=0,0,SUM($E$713:E837))</f>
        <v>4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SUMIFS(RAB!$F$14:$F$53,RAB!$C$14:$C$53,C838)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SUMIFS(RAB!$F$14:$F$53,RAB!$C$14:$C$53,C839)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SUMIFS(RAB!$F$14:$F$53,RAB!$C$14:$C$53,C840)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SUMIFS(RAB!$F$14:$F$53,RAB!$C$14:$C$53,C841)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SUMIFS(RAB!$F$14:$F$53,RAB!$C$14:$C$53,C842)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SUMIFS(RAB!$F$14:$F$53,RAB!$C$14:$C$53,C843)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SUMIFS(RAB!$F$14:$F$53,RAB!$C$14:$C$53,C844)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SUMIFS(RAB!$F$14:$F$53,RAB!$C$14:$C$53,C845)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SUMIFS(RAB!$F$14:$F$53,RAB!$C$14:$C$53,C846)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SUMIFS(RAB!$F$14:$F$53,RAB!$C$14:$C$53,C847)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SUMIFS(RAB!$F$14:$F$53,RAB!$C$14:$C$53,C848)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SUMIFS(RAB!$F$14:$F$53,RAB!$C$14:$C$53,C849)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SUMIFS(RAB!$F$14:$F$53,RAB!$C$14:$C$53,C850)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SUMIFS(RAB!$F$14:$F$53,RAB!$C$14:$C$53,C851)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SUMIFS(RAB!$F$14:$F$53,RAB!$C$14:$C$53,C852)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SUMIFS(RAB!$F$14:$F$53,RAB!$C$14:$C$53,C853)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SUMIFS(RAB!$F$14:$F$53,RAB!$C$14:$C$53,C854)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SUMIFS(RAB!$F$14:$F$53,RAB!$C$14:$C$53,C855)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SUMIFS(RAB!$F$14:$F$53,RAB!$C$14:$C$53,C856)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SUMIFS(RAB!$F$14:$F$53,RAB!$C$14:$C$53,C857)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SUMIFS(RAB!$F$14:$F$53,RAB!$C$14:$C$53,C858)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SUMIFS(RAB!$F$14:$F$53,RAB!$C$14:$C$53,C859)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SUMIFS(RAB!$F$14:$F$53,RAB!$C$14:$C$53,C860)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SUMIFS(RAB!$F$14:$F$53,RAB!$C$14:$C$53,C861)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SUMIFS(RAB!$F$14:$F$53,RAB!$C$14:$C$53,C862)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SUMIFS(RAB!$F$14:$F$53,RAB!$C$14:$C$53,C863)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SUMIFS(RAB!$F$14:$F$53,RAB!$C$14:$C$53,C864)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SUMIFS(RAB!$F$14:$F$53,RAB!$C$14:$C$53,C865)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SUMIFS(RAB!$F$14:$F$53,RAB!$C$14:$C$53,C866)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SUMIFS(RAB!$F$14:$F$53,RAB!$C$14:$C$53,C867)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SUMIFS(RAB!$F$14:$F$53,RAB!$C$14:$C$53,C868)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SUMIFS(RAB!$F$14:$F$53,RAB!$C$14:$C$53,C869)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SUMIFS(RAB!$F$14:$F$53,RAB!$C$14:$C$53,C870)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SUMIFS(RAB!$F$14:$F$53,RAB!$C$14:$C$53,C871)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SUMIFS(RAB!$F$14:$F$53,RAB!$C$14:$C$53,C872)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SUMIFS(RAB!$F$14:$F$53,RAB!$C$14:$C$53,C873)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SUMIFS(RAB!$F$14:$F$53,RAB!$C$14:$C$53,C874)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SUMIFS(RAB!$F$14:$F$53,RAB!$C$14:$C$53,C875)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SUMIFS(RAB!$F$14:$F$53,RAB!$C$14:$C$53,C876)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SUMIFS(RAB!$F$14:$F$53,RAB!$C$14:$C$53,C877)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SUMIFS(RAB!$F$14:$F$53,RAB!$C$14:$C$53,C878)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SUMIFS(RAB!$F$14:$F$53,RAB!$C$14:$C$53,C879)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SUMIFS(RAB!$F$14:$F$53,RAB!$C$14:$C$53,C880)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SUMIFS(RAB!$F$14:$F$53,RAB!$C$14:$C$53,C881)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SUMIFS(RAB!$F$14:$F$53,RAB!$C$14:$C$53,C882)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SUMIFS(RAB!$F$14:$F$53,RAB!$C$14:$C$53,C883)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SUMIFS(RAB!$F$14:$F$53,RAB!$C$14:$C$53,C884)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SUMIFS(RAB!$F$14:$F$53,RAB!$C$14:$C$53,C885)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SUMIFS(RAB!$F$14:$F$53,RAB!$C$14:$C$53,C886)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SUMIFS(RAB!$F$14:$F$53,RAB!$C$14:$C$53,C887)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SUMIFS(RAB!$F$14:$F$53,RAB!$C$14:$C$53,C888)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SUMIFS(RAB!$F$14:$F$53,RAB!$C$14:$C$53,C889)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SUMIFS(RAB!$F$14:$F$53,RAB!$C$14:$C$53,C890)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SUMIFS(RAB!$F$14:$F$53,RAB!$C$14:$C$53,C891)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SUMIFS(RAB!$F$14:$F$53,RAB!$C$14:$C$53,C892)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SUMIFS(RAB!$F$14:$F$53,RAB!$C$14:$C$53,C893)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SUMIFS(RAB!$F$14:$F$53,RAB!$C$14:$C$53,C894)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SUMIFS(RAB!$F$14:$F$53,RAB!$C$14:$C$53,C895)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SUMIFS(RAB!$F$14:$F$53,RAB!$C$14:$C$53,C896)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SUMIFS(RAB!$F$14:$F$53,RAB!$C$14:$C$53,C897)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SUMIFS(RAB!$F$14:$F$53,RAB!$C$14:$C$53,C898)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SUMIFS(RAB!$F$14:$F$53,RAB!$C$14:$C$53,C899)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SUMIFS(RAB!$F$14:$F$53,RAB!$C$14:$C$53,C900)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SUMIFS(RAB!$F$14:$F$53,RAB!$C$14:$C$53,C901)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SUMIFS(RAB!$F$14:$F$53,RAB!$C$14:$C$53,C902)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SUMIFS(RAB!$F$14:$F$53,RAB!$C$14:$C$53,C903)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SUMIFS(RAB!$F$14:$F$53,RAB!$C$14:$C$53,C904)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SUMIFS(RAB!$F$14:$F$53,RAB!$C$14:$C$53,C905)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SUMIFS(RAB!$F$14:$F$53,RAB!$C$14:$C$53,C906)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SUMIFS(RAB!$F$14:$F$53,RAB!$C$14:$C$53,C907)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SUMIFS(RAB!$F$14:$F$53,RAB!$C$14:$C$53,C908)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SUMIFS(RAB!$F$14:$F$53,RAB!$C$14:$C$53,C909)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SUMIFS(RAB!$F$14:$F$53,RAB!$C$14:$C$53,C910)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SUMIFS(RAB!$F$14:$F$53,RAB!$C$14:$C$53,C911)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SUMIFS(RAB!$F$14:$F$53,RAB!$C$14:$C$53,C912)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SUMIFS(RAB!$F$14:$F$53,RAB!$C$14:$C$53,C913)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SUMIFS(RAB!$F$14:$F$53,RAB!$C$14:$C$53,C914)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SUMIFS(RAB!$F$14:$F$53,RAB!$C$14:$C$53,C915)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SUMIFS(RAB!$F$14:$F$53,RAB!$C$14:$C$53,C916)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SUMIFS(RAB!$F$14:$F$53,RAB!$C$14:$C$53,C917)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SUMIFS(RAB!$F$14:$F$53,RAB!$C$14:$C$53,C918)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SUMIFS(RAB!$F$14:$F$53,RAB!$C$14:$C$53,C919)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SUMIFS(RAB!$F$14:$F$53,RAB!$C$14:$C$53,C920)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SUMIFS(RAB!$F$14:$F$53,RAB!$C$14:$C$53,C921)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SUMIFS(RAB!$F$14:$F$53,RAB!$C$14:$C$53,C922)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SUMIFS(RAB!$F$14:$F$53,RAB!$C$14:$C$53,C923)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SUMIFS(RAB!$F$14:$F$53,RAB!$C$14:$C$53,C924)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SUMIFS(RAB!$F$14:$F$53,RAB!$C$14:$C$53,C925)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SUMIFS(RAB!$F$14:$F$53,RAB!$C$14:$C$53,C926)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SUMIFS(RAB!$F$14:$F$53,RAB!$C$14:$C$53,C927)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SUMIFS(RAB!$F$14:$F$53,RAB!$C$14:$C$53,C928)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SUMIFS(RAB!$F$14:$F$53,RAB!$C$14:$C$53,C929)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SUMIFS(RAB!$F$14:$F$53,RAB!$C$14:$C$53,C930)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SUMIFS(RAB!$F$14:$F$53,RAB!$C$14:$C$53,C931)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SUMIFS(RAB!$F$14:$F$53,RAB!$C$14:$C$53,C932)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SUMIFS(RAB!$F$14:$F$53,RAB!$C$14:$C$53,C933)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SUMIFS(RAB!$F$14:$F$53,RAB!$C$14:$C$53,C934)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SUMIFS(RAB!$F$14:$F$53,RAB!$C$14:$C$53,C935)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SUMIFS(RAB!$F$14:$F$53,RAB!$C$14:$C$53,C936)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SUMIFS(RAB!$F$14:$F$53,RAB!$C$14:$C$53,C937)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SUMIFS(RAB!$F$14:$F$53,RAB!$C$14:$C$53,C938)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SUMIFS(RAB!$F$14:$F$53,RAB!$C$14:$C$53,C939)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SUMIFS(RAB!$F$14:$F$53,RAB!$C$14:$C$53,C940)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SUMIFS(RAB!$F$14:$F$53,RAB!$C$14:$C$53,C941)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SUMIFS(RAB!$F$14:$F$53,RAB!$C$14:$C$53,C942)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SUMIFS(RAB!$F$14:$F$53,RAB!$C$14:$C$53,C943)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SUMIFS(RAB!$F$14:$F$53,RAB!$C$14:$C$53,C944)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SUMIFS(RAB!$F$14:$F$53,RAB!$C$14:$C$53,C945)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SUMIFS(RAB!$F$14:$F$53,RAB!$C$14:$C$53,C946)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SUMIFS(RAB!$F$14:$F$53,RAB!$C$14:$C$53,C947)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SUMIFS(RAB!$F$14:$F$53,RAB!$C$14:$C$53,C948)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SUMIFS(RAB!$F$14:$F$53,RAB!$C$14:$C$53,C949)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SUMIFS(RAB!$F$14:$F$53,RAB!$C$14:$C$53,C950)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SUMIFS(RAB!$F$14:$F$53,RAB!$C$14:$C$53,C951)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SUMIFS(RAB!$F$14:$F$53,RAB!$C$14:$C$53,C952)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SUMIFS(RAB!$F$14:$F$53,RAB!$C$14:$C$53,C953)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SUMIFS(RAB!$F$14:$F$53,RAB!$C$14:$C$53,C954)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SUMIFS(RAB!$F$14:$F$53,RAB!$C$14:$C$53,C955)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SUMIFS(RAB!$F$14:$F$53,RAB!$C$14:$C$53,C956)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SUMIFS(RAB!$F$14:$F$53,RAB!$C$14:$C$53,C957)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SUMIFS(RAB!$F$14:$F$53,RAB!$C$14:$C$53,C958)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SUMIFS(RAB!$F$14:$F$53,RAB!$C$14:$C$53,C959)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SUMIFS(RAB!$F$14:$F$53,RAB!$C$14:$C$53,C960)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SUMIFS(RAB!$F$14:$F$53,RAB!$C$14:$C$53,C961)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SUMIFS(RAB!$F$14:$F$53,RAB!$C$14:$C$53,C962)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SUMIFS(RAB!$F$14:$F$53,RAB!$C$14:$C$53,C963)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SUMIFS(RAB!$F$14:$F$53,RAB!$C$14:$C$53,C964)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SUMIFS(RAB!$F$14:$F$53,RAB!$C$14:$C$53,C965)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SUMIFS(RAB!$F$14:$F$53,RAB!$C$14:$C$53,C966)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SUMIFS(RAB!$F$14:$F$53,RAB!$C$14:$C$53,C967)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SUMIFS(RAB!$F$14:$F$53,RAB!$C$14:$C$53,C968)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SUMIFS(RAB!$F$14:$F$53,RAB!$C$14:$C$53,C969)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SUMIFS(RAB!$F$14:$F$53,RAB!$C$14:$C$53,C970)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SUMIFS(RAB!$F$14:$F$53,RAB!$C$14:$C$53,C971)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SUMIFS(RAB!$F$14:$F$53,RAB!$C$14:$C$53,C972)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SUMIFS(RAB!$F$14:$F$53,RAB!$C$14:$C$53,C973)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SUMIFS(RAB!$F$14:$F$53,RAB!$C$14:$C$53,C974)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SUMIFS(RAB!$F$14:$F$53,RAB!$C$14:$C$53,C975)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SUMIFS(RAB!$F$14:$F$53,RAB!$C$14:$C$53,C976)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SUMIFS(RAB!$F$14:$F$53,RAB!$C$14:$C$53,C977)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SUMIFS(RAB!$F$14:$F$53,RAB!$C$14:$C$53,C978)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SUMIFS(RAB!$F$14:$F$53,RAB!$C$14:$C$53,C979)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SUMIFS(RAB!$F$14:$F$53,RAB!$C$14:$C$53,C980)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SUMIFS(RAB!$F$14:$F$53,RAB!$C$14:$C$53,C981)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SUMIFS(RAB!$F$14:$F$53,RAB!$C$14:$C$53,C982)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SUMIFS(RAB!$F$14:$F$53,RAB!$C$14:$C$53,C983)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SUMIFS(RAB!$F$14:$F$53,RAB!$C$14:$C$53,C984)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SUMIFS(RAB!$F$14:$F$53,RAB!$C$14:$C$53,C985)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SUMIFS(RAB!$F$14:$F$53,RAB!$C$14:$C$53,C986)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SUMIFS(RAB!$F$14:$F$53,RAB!$C$14:$C$53,C987)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SUMIFS(RAB!$F$14:$F$53,RAB!$C$14:$C$53,C988)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SUMIFS(RAB!$F$14:$F$53,RAB!$C$14:$C$53,C989)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SUMIFS(RAB!$F$14:$F$53,RAB!$C$14:$C$53,C990)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SUMIFS(RAB!$F$14:$F$53,RAB!$C$14:$C$53,C991)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SUMIFS(RAB!$F$14:$F$53,RAB!$C$14:$C$53,C992)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SUMIFS(RAB!$F$14:$F$53,RAB!$C$14:$C$53,C993)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SUMIFS(RAB!$F$14:$F$53,RAB!$C$14:$C$53,C994)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SUMIFS(RAB!$F$14:$F$53,RAB!$C$14:$C$53,C995)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SUMIFS(RAB!$F$14:$F$53,RAB!$C$14:$C$53,C996)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SUMIFS(RAB!$F$14:$F$53,RAB!$C$14:$C$53,C997)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SUMIFS(RAB!$F$14:$F$53,RAB!$C$14:$C$53,C998)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SUMIFS(RAB!$F$14:$F$53,RAB!$C$14:$C$53,C999)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SUMIFS(RAB!$F$14:$F$53,RAB!$C$14:$C$53,C1000)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SUMIFS(RAB!$F$14:$F$53,RAB!$C$14:$C$53,C1001)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SUMIFS(RAB!$F$14:$F$53,RAB!$C$14:$C$53,C1002)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SUMIFS(RAB!$F$14:$F$53,RAB!$C$14:$C$53,C1003)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SUMIFS(RAB!$F$14:$F$53,RAB!$C$14:$C$53,C1004)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SUMIFS(RAB!$F$14:$F$53,RAB!$C$14:$C$53,C1005)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SUMIFS(RAB!$F$14:$F$53,RAB!$C$14:$C$53,C1006)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SUMIFS(RAB!$F$14:$F$53,RAB!$C$14:$C$53,C1007)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SUMIFS(RAB!$F$14:$F$53,RAB!$C$14:$C$53,C1008)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SUMIFS(RAB!$F$14:$F$53,RAB!$C$14:$C$53,C1009)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SUMIFS(RAB!$F$14:$F$53,RAB!$C$14:$C$53,C1010)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SUMIFS(RAB!$F$14:$F$53,RAB!$C$14:$C$53,C1011)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SUMIFS(RAB!$F$14:$F$53,RAB!$C$14:$C$53,C1012)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SUMIFS(RAB!$F$14:$F$53,RAB!$C$14:$C$53,C1013)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SUMIFS(RAB!$F$14:$F$53,RAB!$C$14:$C$53,C1014)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SUMIFS(RAB!$F$14:$F$53,RAB!$C$14:$C$53,C1015)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SUMIFS(RAB!$F$14:$F$53,RAB!$C$14:$C$53,C1016)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SUMIFS(RAB!$F$14:$F$53,RAB!$C$14:$C$53,C1017)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SUMIFS(RAB!$F$14:$F$53,RAB!$C$14:$C$53,C1018)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SUMIFS(RAB!$F$14:$F$53,RAB!$C$14:$C$53,C1019)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SUMIFS(RAB!$F$14:$F$53,RAB!$C$14:$C$53,C1020)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SUMIFS(RAB!$F$14:$F$53,RAB!$C$14:$C$53,C1021)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SUMIFS(RAB!$F$14:$F$53,RAB!$C$14:$C$53,C1022)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SUMIFS(RAB!$F$14:$F$53,RAB!$C$14:$C$53,C1023)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SUMIFS(RAB!$F$14:$F$53,RAB!$C$14:$C$53,C1024)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SUMIFS(RAB!$F$14:$F$53,RAB!$C$14:$C$53,C1025)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SUMIFS(RAB!$F$14:$F$53,RAB!$C$14:$C$53,C1026)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SUMIFS(RAB!$F$14:$F$53,RAB!$C$14:$C$53,C1027)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SUMIFS(RAB!$F$14:$F$53,RAB!$C$14:$C$53,C1028)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SUMIFS(RAB!$F$14:$F$53,RAB!$C$14:$C$53,C1029)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SUMIFS(RAB!$F$14:$F$53,RAB!$C$14:$C$53,C1030)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SUMIFS(RAB!$F$14:$F$53,RAB!$C$14:$C$53,C1031)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SUMIFS(RAB!$F$14:$F$53,RAB!$C$14:$C$53,C1032)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SUMIFS(RAB!$F$14:$F$53,RAB!$C$14:$C$53,C1033)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SUMIFS(RAB!$F$14:$F$53,RAB!$C$14:$C$53,C1034)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SUMIFS(RAB!$F$14:$F$53,RAB!$C$14:$C$53,C1035)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SUMIFS(RAB!$F$14:$F$53,RAB!$C$14:$C$53,C1036)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SUMIFS(RAB!$F$14:$F$53,RAB!$C$14:$C$53,C1037)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SUMIFS(RAB!$F$14:$F$53,RAB!$C$14:$C$53,C1038)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SUMIFS(RAB!$F$14:$F$53,RAB!$C$14:$C$53,C1039)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SUMIFS(RAB!$F$14:$F$53,RAB!$C$14:$C$53,C1040)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SUMIFS(RAB!$F$14:$F$53,RAB!$C$14:$C$53,C1041)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SUMIFS(RAB!$F$14:$F$53,RAB!$C$14:$C$53,C1042)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SUMIFS(RAB!$F$14:$F$53,RAB!$C$14:$C$53,C1043)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SUMIFS(RAB!$F$14:$F$53,RAB!$C$14:$C$53,C1044)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SUMIFS(RAB!$F$14:$F$53,RAB!$C$14:$C$53,C1045)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SUMIFS(RAB!$F$14:$F$53,RAB!$C$14:$C$53,C1046)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SUMIFS(RAB!$F$14:$F$53,RAB!$C$14:$C$53,C1047)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SUMIFS(RAB!$F$14:$F$53,RAB!$C$14:$C$53,C1048)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SUMIFS(RAB!$F$14:$F$53,RAB!$C$14:$C$53,C1049)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SUMIFS(RAB!$F$14:$F$53,RAB!$C$14:$C$53,C1050)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SUMIFS(RAB!$F$14:$F$53,RAB!$C$14:$C$53,C1051)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SUMIFS(RAB!$F$14:$F$53,RAB!$C$14:$C$53,C1052)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SUMIFS(RAB!$F$14:$F$53,RAB!$C$14:$C$53,C1053)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SUMIFS(RAB!$F$14:$F$53,RAB!$C$14:$C$53,C1054)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SUMIFS(RAB!$F$14:$F$53,RAB!$C$14:$C$53,C1055)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SUMIFS(RAB!$F$14:$F$53,RAB!$C$14:$C$53,C1056)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SUMIFS(RAB!$F$14:$F$53,RAB!$C$14:$C$53,C1057)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SUMIFS(RAB!$F$14:$F$53,RAB!$C$14:$C$53,C1058)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SUMIFS(RAB!$F$14:$F$53,RAB!$C$14:$C$53,C1059)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SUMIFS(RAB!$F$14:$F$53,RAB!$C$14:$C$53,C1060)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SUMIFS(RAB!$F$14:$F$53,RAB!$C$14:$C$53,C1061)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SUMIFS(RAB!$F$14:$F$53,RAB!$C$14:$C$53,C1062)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SUMIFS(RAB!$F$14:$F$53,RAB!$C$14:$C$53,C1063)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SUMIFS(RAB!$F$14:$F$53,RAB!$C$14:$C$53,C1064)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SUMIFS(RAB!$F$14:$F$53,RAB!$C$14:$C$53,C1065)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SUMIFS(RAB!$F$14:$F$53,RAB!$C$14:$C$53,C1066)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SUMIFS(RAB!$F$14:$F$53,RAB!$C$14:$C$53,C1067)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SUMIFS(RAB!$F$14:$F$53,RAB!$C$14:$C$53,C1068)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SUMIFS(RAB!$F$14:$F$53,RAB!$C$14:$C$53,C1069)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SUMIFS(RAB!$F$14:$F$53,RAB!$C$14:$C$53,C1070)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SUMIFS(RAB!$F$14:$F$53,RAB!$C$14:$C$53,C1071)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SUMIFS(RAB!$F$14:$F$53,RAB!$C$14:$C$53,C1072)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SUMIFS(RAB!$F$14:$F$53,RAB!$C$14:$C$53,C1073)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SUMIFS(RAB!$F$14:$F$53,RAB!$C$14:$C$53,C1074)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SUMIFS(RAB!$F$14:$F$53,RAB!$C$14:$C$53,C1075)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SUMIFS(RAB!$F$14:$F$53,RAB!$C$14:$C$53,C1076)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SUMIFS(RAB!$F$14:$F$53,RAB!$C$14:$C$53,C1077)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SUMIFS(RAB!$F$14:$F$53,RAB!$C$14:$C$53,C1078)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SUMIFS(RAB!$F$14:$F$53,RAB!$C$14:$C$53,C1079)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SUMIFS(RAB!$F$14:$F$53,RAB!$C$14:$C$53,C1080)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SUMIFS(RAB!$F$14:$F$53,RAB!$C$14:$C$53,C1081)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SUMIFS(RAB!$F$14:$F$53,RAB!$C$14:$C$53,C1082)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SUMIFS(RAB!$F$14:$F$53,RAB!$C$14:$C$53,C1083)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SUMIFS(RAB!$F$14:$F$53,RAB!$C$14:$C$53,C1084)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SUMIFS(RAB!$F$14:$F$53,RAB!$C$14:$C$53,C1085)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SUMIFS(RAB!$F$14:$F$53,RAB!$C$14:$C$53,C1086)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SUMIFS(RAB!$F$14:$F$53,RAB!$C$14:$C$53,C1087)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SUMIFS(RAB!$F$14:$F$53,RAB!$C$14:$C$53,C1088)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SUMIFS(RAB!$F$14:$F$53,RAB!$C$14:$C$53,C1089)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SUMIFS(RAB!$F$14:$F$53,RAB!$C$14:$C$53,C1090)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SUMIFS(RAB!$F$14:$F$53,RAB!$C$14:$C$53,C1091)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SUMIFS(RAB!$F$14:$F$53,RAB!$C$14:$C$53,C1092)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SUMIFS(RAB!$F$14:$F$53,RAB!$C$14:$C$53,C1093)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SUMIFS(RAB!$F$14:$F$53,RAB!$C$14:$C$53,C1094)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SUMIFS(RAB!$F$14:$F$53,RAB!$C$14:$C$53,C1095)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SUMIFS(RAB!$F$14:$F$53,RAB!$C$14:$C$53,C1096)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SUMIFS(RAB!$F$14:$F$53,RAB!$C$14:$C$53,C1097)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SUMIFS(RAB!$F$14:$F$53,RAB!$C$14:$C$53,C1098)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SUMIFS(RAB!$F$14:$F$53,RAB!$C$14:$C$53,C1099)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SUMIFS(RAB!$F$14:$F$53,RAB!$C$14:$C$53,C1100)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SUMIFS(RAB!$F$14:$F$53,RAB!$C$14:$C$53,C1101)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SUMIFS(RAB!$F$14:$F$53,RAB!$C$14:$C$53,C1102)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SUMIFS(RAB!$F$14:$F$53,RAB!$C$14:$C$53,C1103)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SUMIFS(RAB!$F$14:$F$53,RAB!$C$14:$C$53,C1104)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SUMIFS(RAB!$F$14:$F$53,RAB!$C$14:$C$53,C1105)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SUMIFS(RAB!$F$14:$F$53,RAB!$C$14:$C$53,C1106)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SUMIFS(RAB!$F$14:$F$53,RAB!$C$14:$C$53,C1107)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SUMIFS(RAB!$F$14:$F$53,RAB!$C$14:$C$53,C1108)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SUMIFS(RAB!$F$14:$F$53,RAB!$C$14:$C$53,C1109)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SUMIFS(RAB!$F$14:$F$53,RAB!$C$14:$C$53,C1110)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SUMIFS(RAB!$F$14:$F$53,RAB!$C$14:$C$53,C1111)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SUMIFS(RAB!$F$14:$F$53,RAB!$C$14:$C$53,C1112)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SUMIFS(RAB!$F$14:$F$53,RAB!$C$14:$C$53,C1113)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SUMIFS(RAB!$F$14:$F$53,RAB!$C$14:$C$53,C1114)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SUMIFS(RAB!$F$14:$F$53,RAB!$C$14:$C$53,C1115)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SUMIFS(RAB!$F$14:$F$53,RAB!$C$14:$C$53,C1116)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SUMIFS(RAB!$F$14:$F$53,RAB!$C$14:$C$53,C1117)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SUMIFS(RAB!$F$14:$F$53,RAB!$C$14:$C$53,C1118)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SUMIFS(RAB!$F$14:$F$53,RAB!$C$14:$C$53,C1119)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SUMIFS(RAB!$F$14:$F$53,RAB!$C$14:$C$53,C1120)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SUMIFS(RAB!$F$14:$F$53,RAB!$C$14:$C$53,C1121)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SUMIFS(RAB!$F$14:$F$53,RAB!$C$14:$C$53,C1122)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SUMIFS(RAB!$F$14:$F$53,RAB!$C$14:$C$53,C1123)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SUMIFS(RAB!$F$14:$F$53,RAB!$C$14:$C$53,C1124)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SUMIFS(RAB!$F$14:$F$53,RAB!$C$14:$C$53,C1125)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SUMIFS(RAB!$F$14:$F$53,RAB!$C$14:$C$53,C1126)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SUMIFS(RAB!$F$14:$F$53,RAB!$C$14:$C$53,C1127)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SUMIFS(RAB!$F$14:$F$53,RAB!$C$14:$C$53,C1128)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SUMIFS(RAB!$F$14:$F$53,RAB!$C$14:$C$53,C1129)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SUMIFS(RAB!$F$14:$F$53,RAB!$C$14:$C$53,C1130)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SUMIFS(RAB!$F$14:$F$53,RAB!$C$14:$C$53,C1131)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SUMIFS(RAB!$F$14:$F$53,RAB!$C$14:$C$53,C1132)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SUMIFS(RAB!$F$14:$F$53,RAB!$C$14:$C$53,C1133)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SUMIFS(RAB!$F$14:$F$53,RAB!$C$14:$C$53,C1134)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SUMIFS(RAB!$F$14:$F$53,RAB!$C$14:$C$53,C1135)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SUMIFS(RAB!$F$14:$F$53,RAB!$C$14:$C$53,C1136)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SUMIFS(RAB!$F$14:$F$53,RAB!$C$14:$C$53,C1137)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SUMIFS(RAB!$F$14:$F$53,RAB!$C$14:$C$53,C1138)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SUMIFS(RAB!$F$14:$F$53,RAB!$C$14:$C$53,C1139)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SUMIFS(RAB!$F$14:$F$53,RAB!$C$14:$C$53,C1140)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SUMIFS(RAB!$F$14:$F$53,RAB!$C$14:$C$53,C1141)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SUMIFS(RAB!$F$14:$F$53,RAB!$C$14:$C$53,C1142)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SUMIFS(RAB!$F$14:$F$53,RAB!$C$14:$C$53,C1143)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SUMIFS(RAB!$F$14:$F$53,RAB!$C$14:$C$53,C1144)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SUMIFS(RAB!$F$14:$F$53,RAB!$C$14:$C$53,C1145)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SUMIFS(RAB!$F$14:$F$53,RAB!$C$14:$C$53,C1146)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SUMIFS(RAB!$F$14:$F$53,RAB!$C$14:$C$53,C1147)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SUMIFS(RAB!$F$14:$F$53,RAB!$C$14:$C$53,C1148)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SUMIFS(RAB!$F$14:$F$53,RAB!$C$14:$C$53,C1149)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SUMIFS(RAB!$F$14:$F$53,RAB!$C$14:$C$53,C1150)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SUMIFS(RAB!$F$14:$F$53,RAB!$C$14:$C$53,C1151)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SUMIFS(RAB!$F$14:$F$53,RAB!$C$14:$C$53,C1152)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SUMIFS(RAB!$F$14:$F$53,RAB!$C$14:$C$53,C1153)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SUMIFS(RAB!$F$14:$F$53,RAB!$C$14:$C$53,C1154)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SUMIFS(RAB!$F$14:$F$53,RAB!$C$14:$C$53,C1155)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SUMIFS(RAB!$F$14:$F$53,RAB!$C$14:$C$53,C1156)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SUMIFS(RAB!$F$14:$F$53,RAB!$C$14:$C$53,C1157)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SUMIFS(RAB!$F$14:$F$53,RAB!$C$14:$C$53,C1158)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SUMIFS(RAB!$F$14:$F$53,RAB!$C$14:$C$53,C1159)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SUMIFS(RAB!$F$14:$F$53,RAB!$C$14:$C$53,C1160)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SUMIFS(RAB!$F$14:$F$53,RAB!$C$14:$C$53,C1161)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SUMIFS(RAB!$F$14:$F$53,RAB!$C$14:$C$53,C1162)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SUMIFS(RAB!$F$14:$F$53,RAB!$C$14:$C$53,C1163)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SUMIFS(RAB!$F$14:$F$53,RAB!$C$14:$C$53,C1164)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SUMIFS(RAB!$F$14:$F$53,RAB!$C$14:$C$53,C1165)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SUMIFS(RAB!$F$14:$F$53,RAB!$C$14:$C$53,C1166)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SUMIFS(RAB!$F$14:$F$53,RAB!$C$14:$C$53,C1167)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SUMIFS(RAB!$F$14:$F$53,RAB!$C$14:$C$53,C1168)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SUMIFS(RAB!$F$14:$F$53,RAB!$C$14:$C$53,C1169)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SUMIFS(RAB!$F$14:$F$53,RAB!$C$14:$C$53,C1170)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SUMIFS(RAB!$F$14:$F$53,RAB!$C$14:$C$53,C1171)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SUMIFS(RAB!$F$14:$F$53,RAB!$C$14:$C$53,C1172)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SUMIFS(RAB!$F$14:$F$53,RAB!$C$14:$C$53,C1173)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SUMIFS(RAB!$F$14:$F$53,RAB!$C$14:$C$53,C1174)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SUMIFS(RAB!$F$14:$F$53,RAB!$C$14:$C$53,C1175)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SUMIFS(RAB!$F$14:$F$53,RAB!$C$14:$C$53,C1176)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SUMIFS(RAB!$F$14:$F$53,RAB!$C$14:$C$53,C1177)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SUMIFS(RAB!$F$14:$F$53,RAB!$C$14:$C$53,C1178)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SUMIFS(RAB!$F$14:$F$53,RAB!$C$14:$C$53,C1179)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SUMIFS(RAB!$F$14:$F$53,RAB!$C$14:$C$53,C1180)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SUMIFS(RAB!$F$14:$F$53,RAB!$C$14:$C$53,C1181)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SUMIFS(RAB!$F$14:$F$53,RAB!$C$14:$C$53,C1182)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SUMIFS(RAB!$F$14:$F$53,RAB!$C$14:$C$53,C1183)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SUMIFS(RAB!$F$14:$F$53,RAB!$C$14:$C$53,C1184)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SUMIFS(RAB!$F$14:$F$53,RAB!$C$14:$C$53,C1185)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SUMIFS(RAB!$F$14:$F$53,RAB!$C$14:$C$53,C1186)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SUMIFS(RAB!$F$14:$F$53,RAB!$C$14:$C$53,C1187)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SUMIFS(RAB!$F$14:$F$53,RAB!$C$14:$C$53,C1188)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SUMIFS(RAB!$F$14:$F$53,RAB!$C$14:$C$53,C1189)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SUMIFS(RAB!$F$14:$F$53,RAB!$C$14:$C$53,C1190)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SUMIFS(RAB!$F$14:$F$53,RAB!$C$14:$C$53,C1191)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SUMIFS(RAB!$F$14:$F$53,RAB!$C$14:$C$53,C1192)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SUMIFS(RAB!$F$14:$F$53,RAB!$C$14:$C$53,C1193)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SUMIFS(RAB!$F$14:$F$53,RAB!$C$14:$C$53,C1194)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SUMIFS(RAB!$F$14:$F$53,RAB!$C$14:$C$53,C1195)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SUMIFS(RAB!$F$14:$F$53,RAB!$C$14:$C$53,C1196)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SUMIFS(RAB!$F$14:$F$53,RAB!$C$14:$C$53,C1197)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SUMIFS(RAB!$F$14:$F$53,RAB!$C$14:$C$53,C1198)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SUMIFS(RAB!$F$14:$F$53,RAB!$C$14:$C$53,C1199)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SUMIFS(RAB!$F$14:$F$53,RAB!$C$14:$C$53,C1200)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SUMIFS(RAB!$F$14:$F$53,RAB!$C$14:$C$53,C1201)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SUMIFS(RAB!$F$14:$F$53,RAB!$C$14:$C$53,C1202)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SUMIFS(RAB!$F$14:$F$53,RAB!$C$14:$C$53,C1203)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SUMIFS(RAB!$F$14:$F$53,RAB!$C$14:$C$53,C1204)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SUMIFS(RAB!$F$14:$F$53,RAB!$C$14:$C$53,C1205)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SUMIFS(RAB!$F$14:$F$53,RAB!$C$14:$C$53,C1206)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SUMIFS(RAB!$F$14:$F$53,RAB!$C$14:$C$53,C1207)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SUMIFS(RAB!$F$14:$F$53,RAB!$C$14:$C$53,C1208)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SUMIFS(RAB!$F$14:$F$53,RAB!$C$14:$C$53,C1209)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SUMIFS(RAB!$F$14:$F$53,RAB!$C$14:$C$53,C1210)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SUMIFS(RAB!$F$14:$F$53,RAB!$C$14:$C$53,C1211)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SUMIFS(RAB!$F$14:$F$53,RAB!$C$14:$C$53,C1212)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SUMIFS(RAB!$F$14:$F$53,RAB!$C$14:$C$53,C1213)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SUMIFS(RAB!$F$14:$F$53,RAB!$C$14:$C$53,C1214)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SUMIFS(RAB!$F$14:$F$53,RAB!$C$14:$C$53,C1215)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SUMIFS(RAB!$F$14:$F$53,RAB!$C$14:$C$53,C1216)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SUMIFS(RAB!$F$14:$F$53,RAB!$C$14:$C$53,C1217)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SUMIFS(RAB!$F$14:$F$53,RAB!$C$14:$C$53,C1218)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SUMIFS(RAB!$F$14:$F$53,RAB!$C$14:$C$53,C1219)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SUMIFS(RAB!$F$14:$F$53,RAB!$C$14:$C$53,C1220)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SUMIFS(RAB!$F$14:$F$53,RAB!$C$14:$C$53,C1221)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SUMIFS(RAB!$F$14:$F$53,RAB!$C$14:$C$53,C1222)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SUMIFS(RAB!$F$14:$F$53,RAB!$C$14:$C$53,C1223)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SUMIFS(RAB!$F$14:$F$53,RAB!$C$14:$C$53,C1224)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SUMIFS(RAB!$F$14:$F$53,RAB!$C$14:$C$53,C1225)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SUMIFS(RAB!$F$14:$F$53,RAB!$C$14:$C$53,C1226)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SUMIFS(RAB!$F$14:$F$53,RAB!$C$14:$C$53,C1227)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SUMIFS(RAB!$F$14:$F$53,RAB!$C$14:$C$53,C1228)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SUMIFS(RAB!$F$14:$F$53,RAB!$C$14:$C$53,C1229)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SUMIFS(RAB!$F$14:$F$53,RAB!$C$14:$C$53,C1230)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SUMIFS(RAB!$F$14:$F$53,RAB!$C$14:$C$53,C1231)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SUMIFS(RAB!$F$14:$F$53,RAB!$C$14:$C$53,C1232)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SUMIFS(RAB!$F$14:$F$53,RAB!$C$14:$C$53,C1233)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SUMIFS(RAB!$F$14:$F$53,RAB!$C$14:$C$53,C1234)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SUMIFS(RAB!$F$14:$F$53,RAB!$C$14:$C$53,C1235)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SUMIFS(RAB!$F$14:$F$53,RAB!$C$14:$C$53,C1236)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SUMIFS(RAB!$F$14:$F$53,RAB!$C$14:$C$53,C1237)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SUMIFS(RAB!$F$14:$F$53,RAB!$C$14:$C$53,C1238)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SUMIFS(RAB!$F$14:$F$53,RAB!$C$14:$C$53,C1239)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SUMIFS(RAB!$F$14:$F$53,RAB!$C$14:$C$53,C1240)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SUMIFS(RAB!$F$14:$F$53,RAB!$C$14:$C$53,C1241)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SUMIFS(RAB!$F$14:$F$53,RAB!$C$14:$C$53,C1242)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SUMIFS(RAB!$F$14:$F$53,RAB!$C$14:$C$53,C1243)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SUMIFS(RAB!$F$14:$F$53,RAB!$C$14:$C$53,C1244)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SUMIFS(RAB!$F$14:$F$53,RAB!$C$14:$C$53,C1245)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SUMIFS(RAB!$F$14:$F$53,RAB!$C$14:$C$53,C1246)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SUMIFS(RAB!$F$14:$F$53,RAB!$C$14:$C$53,C1247)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SUMIFS(RAB!$F$14:$F$53,RAB!$C$14:$C$53,C1248)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SUMIFS(RAB!$F$14:$F$53,RAB!$C$14:$C$53,C1249)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SUMIFS(RAB!$F$14:$F$53,RAB!$C$14:$C$53,C1250)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SUMIFS(RAB!$F$14:$F$53,RAB!$C$14:$C$53,C1251)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SUMIFS(RAB!$F$14:$F$53,RAB!$C$14:$C$53,C1252)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SUMIFS(RAB!$F$14:$F$53,RAB!$C$14:$C$53,C1253)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SUMIFS(RAB!$F$14:$F$53,RAB!$C$14:$C$53,C1254)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SUMIFS(RAB!$F$14:$F$53,RAB!$C$14:$C$53,C1255)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SUMIFS(RAB!$F$14:$F$53,RAB!$C$14:$C$53,C1256)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SUMIFS(RAB!$F$14:$F$53,RAB!$C$14:$C$53,C1257)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SUMIFS(RAB!$F$14:$F$53,RAB!$C$14:$C$53,C1258)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SUMIFS(RAB!$F$14:$F$53,RAB!$C$14:$C$53,C1259)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SUMIFS(RAB!$F$14:$F$53,RAB!$C$14:$C$53,C1260)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SUMIFS(RAB!$F$14:$F$53,RAB!$C$14:$C$53,C1261)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SUMIFS(RAB!$F$14:$F$53,RAB!$C$14:$C$53,C1262)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SUMIFS(RAB!$F$14:$F$53,RAB!$C$14:$C$53,C1263)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SUMIFS(RAB!$F$14:$F$53,RAB!$C$14:$C$53,C1264)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SUMIFS(RAB!$F$14:$F$53,RAB!$C$14:$C$53,C1265)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SUMIFS(RAB!$F$14:$F$53,RAB!$C$14:$C$53,C1266)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SUMIFS(RAB!$F$14:$F$53,RAB!$C$14:$C$53,C1267)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SUMIFS(RAB!$F$14:$F$53,RAB!$C$14:$C$53,C1268)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SUMIFS(RAB!$F$14:$F$53,RAB!$C$14:$C$53,C1269)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SUMIFS(RAB!$F$14:$F$53,RAB!$C$14:$C$53,C1270)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SUMIFS(RAB!$F$14:$F$53,RAB!$C$14:$C$53,C1271)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SUMIFS(RAB!$F$14:$F$53,RAB!$C$14:$C$53,C1272)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SUMIFS(RAB!$F$14:$F$53,RAB!$C$14:$C$53,C1273)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SUMIFS(RAB!$F$14:$F$53,RAB!$C$14:$C$53,C1274)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SUMIFS(RAB!$F$14:$F$53,RAB!$C$14:$C$53,C1275)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SUMIFS(RAB!$F$14:$F$53,RAB!$C$14:$C$53,C1276)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SUMIFS(RAB!$F$14:$F$53,RAB!$C$14:$C$53,C1277)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SUMIFS(RAB!$F$14:$F$53,RAB!$C$14:$C$53,C1278)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SUMIFS(RAB!$F$14:$F$53,RAB!$C$14:$C$53,C1279)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SUMIFS(RAB!$F$14:$F$53,RAB!$C$14:$C$53,C1280)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SUMIFS(RAB!$F$14:$F$53,RAB!$C$14:$C$53,C1281)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SUMIFS(RAB!$F$14:$F$53,RAB!$C$14:$C$53,C1282)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SUMIFS(RAB!$F$14:$F$53,RAB!$C$14:$C$53,C1283)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SUMIFS(RAB!$F$14:$F$53,RAB!$C$14:$C$53,C1284)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SUMIFS(RAB!$F$14:$F$53,RAB!$C$14:$C$53,C1285)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SUMIFS(RAB!$F$14:$F$53,RAB!$C$14:$C$53,C1286)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SUMIFS(RAB!$F$14:$F$53,RAB!$C$14:$C$53,C1287)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SUMIFS(RAB!$F$14:$F$53,RAB!$C$14:$C$53,C1288)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SUMIFS(RAB!$F$14:$F$53,RAB!$C$14:$C$53,C1289)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SUMIFS(RAB!$F$14:$F$53,RAB!$C$14:$C$53,C1290)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SUMIFS(RAB!$F$14:$F$53,RAB!$C$14:$C$53,C1291)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SUMIFS(RAB!$F$14:$F$53,RAB!$C$14:$C$53,C1292)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SUMIFS(RAB!$F$14:$F$53,RAB!$C$14:$C$53,C1293)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SUMIFS(RAB!$F$14:$F$53,RAB!$C$14:$C$53,C1294)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SUMIFS(RAB!$F$14:$F$53,RAB!$C$14:$C$53,C1295)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SUMIFS(RAB!$F$14:$F$53,RAB!$C$14:$C$53,C1296)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SUMIFS(RAB!$F$14:$F$53,RAB!$C$14:$C$53,C1297)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SUMIFS(RAB!$F$14:$F$53,RAB!$C$14:$C$53,C1298)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SUMIFS(RAB!$F$14:$F$53,RAB!$C$14:$C$53,C1299)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SUMIFS(RAB!$F$14:$F$53,RAB!$C$14:$C$53,C1300)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SUMIFS(RAB!$F$14:$F$53,RAB!$C$14:$C$53,C1301)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SUMIFS(RAB!$F$14:$F$53,RAB!$C$14:$C$53,C1302)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SUMIFS(RAB!$F$14:$F$53,RAB!$C$14:$C$53,C1303)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SUMIFS(RAB!$F$14:$F$53,RAB!$C$14:$C$53,C1304)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SUMIFS(RAB!$F$14:$F$53,RAB!$C$14:$C$53,C1305)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SUMIFS(RAB!$F$14:$F$53,RAB!$C$14:$C$53,C1306)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SUMIFS(RAB!$F$14:$F$53,RAB!$C$14:$C$53,C1307)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SUMIFS(RAB!$F$14:$F$53,RAB!$C$14:$C$53,C1308)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SUMIFS(RAB!$F$14:$F$53,RAB!$C$14:$C$53,C1309)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SUMIFS(RAB!$F$14:$F$53,RAB!$C$14:$C$53,C1310)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SUMIFS(RAB!$F$14:$F$53,RAB!$C$14:$C$53,C1311)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SUMIFS(RAB!$F$14:$F$53,RAB!$C$14:$C$53,C1312)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SUMIFS(RAB!$F$14:$F$53,RAB!$C$14:$C$53,C1313)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SUMIFS(RAB!$F$14:$F$53,RAB!$C$14:$C$53,C1314)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SUMIFS(RAB!$F$14:$F$53,RAB!$C$14:$C$53,C1315)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SUMIFS(RAB!$F$14:$F$53,RAB!$C$14:$C$53,C1316)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SUMIFS(RAB!$F$14:$F$53,RAB!$C$14:$C$53,C1317)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SUMIFS(RAB!$F$14:$F$53,RAB!$C$14:$C$53,C1318)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SUMIFS(RAB!$F$14:$F$53,RAB!$C$14:$C$53,C1319)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SUMIFS(RAB!$F$14:$F$53,RAB!$C$14:$C$53,C1320)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9" priority="5" operator="equal">
      <formula>0</formula>
    </cfRule>
  </conditionalFormatting>
  <conditionalFormatting sqref="A10:L65536">
    <cfRule type="cellIs" dxfId="48" priority="1" operator="equal">
      <formula>0</formula>
    </cfRule>
  </conditionalFormatting>
  <conditionalFormatting sqref="C12:C711">
    <cfRule type="cellIs" dxfId="47" priority="66" stopIfTrue="1" operator="equal">
      <formula>0</formula>
    </cfRule>
  </conditionalFormatting>
  <conditionalFormatting sqref="E712:E65536">
    <cfRule type="cellIs" dxfId="46" priority="16" stopIfTrue="1" operator="equal">
      <formula>0</formula>
    </cfRule>
  </conditionalFormatting>
  <conditionalFormatting sqref="G1:G11 E6:E11 E1:E3 H7 H10:H11 F10:F711 G712:G65536">
    <cfRule type="cellIs" dxfId="45" priority="69" stopIfTrue="1" operator="equal">
      <formula>0</formula>
    </cfRule>
  </conditionalFormatting>
  <conditionalFormatting sqref="G12:H711">
    <cfRule type="cellIs" dxfId="44" priority="12" stopIfTrue="1" operator="equal">
      <formula>0</formula>
    </cfRule>
  </conditionalFormatting>
  <conditionalFormatting sqref="I7:K7">
    <cfRule type="cellIs" dxfId="43" priority="4" stopIfTrue="1" operator="equal">
      <formula>0</formula>
    </cfRule>
  </conditionalFormatting>
  <conditionalFormatting sqref="I10:L711">
    <cfRule type="cellIs" dxfId="42" priority="2" stopIfTrue="1" operator="equal">
      <formula>0</formula>
    </cfRule>
  </conditionalFormatting>
  <conditionalFormatting sqref="L1:L6">
    <cfRule type="cellIs" dxfId="41" priority="10" operator="equal">
      <formula>0</formula>
    </cfRule>
  </conditionalFormatting>
  <conditionalFormatting sqref="M1:IV1048576 A8:G9">
    <cfRule type="cellIs" dxfId="4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1" t="s">
        <v>1127</v>
      </c>
      <c r="C4" s="541"/>
      <c r="D4" s="541"/>
      <c r="E4" s="541"/>
      <c r="F4" s="541"/>
      <c r="G4" s="541"/>
      <c r="H4" s="541"/>
      <c r="I4" s="541"/>
      <c r="J4" s="541"/>
      <c r="K4" s="54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4" t="str">
        <f>RAB!G6</f>
        <v>KOS GOLDYS</v>
      </c>
      <c r="H6" s="534"/>
      <c r="I6" s="534"/>
      <c r="J6" s="534"/>
      <c r="K6" s="53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BOGORAME,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2" t="s">
        <v>0</v>
      </c>
      <c r="C11" s="544" t="s">
        <v>1</v>
      </c>
      <c r="D11" s="547" t="s">
        <v>42</v>
      </c>
      <c r="E11" s="547" t="s">
        <v>43</v>
      </c>
      <c r="F11" s="547" t="s">
        <v>2</v>
      </c>
      <c r="G11" s="548" t="s">
        <v>41</v>
      </c>
      <c r="H11" s="547" t="s">
        <v>3</v>
      </c>
      <c r="I11" s="547"/>
      <c r="J11" s="547"/>
      <c r="K11" s="551"/>
      <c r="M11" s="33"/>
      <c r="N11" s="33"/>
      <c r="O11" s="33"/>
      <c r="P11" s="33"/>
      <c r="R11" s="34"/>
      <c r="S11" s="74"/>
      <c r="T11" s="74"/>
    </row>
    <row r="12" spans="1:21" ht="15" customHeight="1">
      <c r="B12" s="543"/>
      <c r="C12" s="545"/>
      <c r="D12" s="537"/>
      <c r="E12" s="537"/>
      <c r="F12" s="537"/>
      <c r="G12" s="549"/>
      <c r="H12" s="539" t="s">
        <v>46</v>
      </c>
      <c r="I12" s="539" t="s">
        <v>5</v>
      </c>
      <c r="J12" s="537" t="s">
        <v>47</v>
      </c>
      <c r="K12" s="53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3"/>
      <c r="C13" s="546"/>
      <c r="D13" s="537"/>
      <c r="E13" s="537"/>
      <c r="F13" s="537"/>
      <c r="G13" s="550"/>
      <c r="H13" s="540"/>
      <c r="I13" s="540"/>
      <c r="J13" s="537"/>
      <c r="K13" s="53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5" t="s">
        <v>1008</v>
      </c>
      <c r="D38" s="535"/>
      <c r="E38" s="535"/>
      <c r="F38" s="535"/>
      <c r="G38" s="77" t="s">
        <v>9</v>
      </c>
      <c r="H38" s="55">
        <f ca="1">SUM(H14:H37)</f>
        <v>0</v>
      </c>
      <c r="I38" s="55">
        <f ca="1">SUM(I14:I37)</f>
        <v>3382600</v>
      </c>
      <c r="J38" s="55">
        <f ca="1">SUM(J14:J37)</f>
        <v>0</v>
      </c>
      <c r="K38" s="55">
        <f ca="1">SUM(K14:K37)</f>
        <v>3382600</v>
      </c>
      <c r="L38" s="44"/>
      <c r="R38" s="99"/>
      <c r="S38" s="99"/>
      <c r="T38" s="99"/>
    </row>
    <row r="39" spans="1:20" s="36" customFormat="1">
      <c r="A39" s="30"/>
      <c r="B39" s="56"/>
      <c r="C39" s="536" t="s">
        <v>462</v>
      </c>
      <c r="D39" s="536"/>
      <c r="E39" s="536"/>
      <c r="F39" s="536"/>
      <c r="G39" s="59" t="s">
        <v>9</v>
      </c>
      <c r="H39" s="60">
        <f ca="1">H38*0.1</f>
        <v>0</v>
      </c>
      <c r="I39" s="60">
        <f ca="1">I38*0.1</f>
        <v>338260</v>
      </c>
      <c r="J39" s="60">
        <f ca="1">J38*0.1</f>
        <v>0</v>
      </c>
      <c r="K39" s="60">
        <f ca="1">K38*0.1</f>
        <v>338260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5" t="s">
        <v>463</v>
      </c>
      <c r="D40" s="525"/>
      <c r="E40" s="525"/>
      <c r="F40" s="525"/>
      <c r="G40" s="61" t="s">
        <v>9</v>
      </c>
      <c r="H40" s="78">
        <f ca="1">SUM(H38:H39)</f>
        <v>0</v>
      </c>
      <c r="I40" s="78">
        <f ca="1">SUM(I38:I39)</f>
        <v>3720860</v>
      </c>
      <c r="J40" s="61">
        <f ca="1">SUM(J38:J39)</f>
        <v>0</v>
      </c>
      <c r="K40" s="61">
        <f ca="1">SUM(K38:K39)</f>
        <v>3720860</v>
      </c>
      <c r="L40" s="44"/>
      <c r="R40" s="99"/>
      <c r="S40" s="99"/>
      <c r="T40" s="99"/>
    </row>
    <row r="41" spans="1:20" s="36" customFormat="1">
      <c r="A41" s="30"/>
      <c r="B41" s="528" t="e">
        <f ca="1">"Terbilang : ( "&amp;L42&amp;" Rupiah )"</f>
        <v>#NAME?</v>
      </c>
      <c r="C41" s="529"/>
      <c r="D41" s="529"/>
      <c r="E41" s="529"/>
      <c r="F41" s="529"/>
      <c r="G41" s="529"/>
      <c r="H41" s="529"/>
      <c r="I41" s="529"/>
      <c r="J41" s="529"/>
      <c r="K41" s="530"/>
      <c r="L41" s="44"/>
      <c r="R41" s="58"/>
      <c r="S41" s="58"/>
      <c r="T41" s="58"/>
    </row>
    <row r="42" spans="1:20" s="36" customFormat="1">
      <c r="A42" s="30"/>
      <c r="B42" s="531"/>
      <c r="C42" s="532"/>
      <c r="D42" s="532"/>
      <c r="E42" s="532"/>
      <c r="F42" s="532"/>
      <c r="G42" s="532"/>
      <c r="H42" s="532"/>
      <c r="I42" s="532"/>
      <c r="J42" s="532"/>
      <c r="K42" s="533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6"/>
      <c r="I45" s="526"/>
      <c r="J45" s="527"/>
      <c r="K45" s="52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6"/>
      <c r="I46" s="526"/>
      <c r="J46" s="527"/>
      <c r="K46" s="52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6"/>
      <c r="I47" s="526"/>
      <c r="J47" s="527"/>
      <c r="K47" s="52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6"/>
      <c r="I52" s="526"/>
      <c r="J52" s="527"/>
      <c r="K52" s="52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SUMIFS(RAB!$F$14:$F$53,RAB!$C$14:$C$53,'REKAP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SUMIFS(RAB!$F$14:$F$53,RAB!$C$14:$C$53,'REKAP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SUMIFS(RAB!$F$14:$F$53,RAB!$C$14:$C$53,'REKAP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SUMIFS(RAB!$F$14:$F$53,RAB!$C$14:$C$53,'REKAP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SUMIFS(RAB!$F$14:$F$53,RAB!$C$14:$C$53,'REKAP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SUMIFS(RAB!$F$14:$F$53,RAB!$C$14:$C$53,'REKAP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SUMIFS(RAB!$F$14:$F$53,RAB!$C$14:$C$53,'REKAP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SUMIFS(RAB!$F$14:$F$53,RAB!$C$14:$C$53,'REKAP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SUMIFS(RAB!$F$14:$F$53,RAB!$C$14:$C$53,'REKAP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SUMIFS(RAB!$F$14:$F$53,RAB!$C$14:$C$53,'REKAP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SUMIFS(RAB!$F$14:$F$53,RAB!$C$14:$C$53,'REKAP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SUMIFS(RAB!$F$14:$F$53,RAB!$C$14:$C$53,'REKAP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SUMIFS(RAB!$F$14:$F$53,RAB!$C$14:$C$53,'REKAP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SUMIFS(RAB!$F$14:$F$53,RAB!$C$14:$C$53,'REKAP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SUMIFS(RAB!$F$14:$F$53,RAB!$C$14:$C$53,'REKAP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SUMIFS(RAB!$F$14:$F$53,RAB!$C$14:$C$53,'REKAP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SUMIFS(RAB!$F$14:$F$53,RAB!$C$14:$C$53,'REKAP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SUMIFS(RAB!$F$14:$F$53,RAB!$C$14:$C$53,'REKAP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SUMIFS(RAB!$F$14:$F$53,RAB!$C$14:$C$53,'REKAP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SUMIFS(RAB!$F$14:$F$53,RAB!$C$14:$C$53,'REKAP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1" t="s">
        <v>1034</v>
      </c>
      <c r="C4" s="541"/>
      <c r="D4" s="541"/>
      <c r="E4" s="541"/>
      <c r="F4" s="541"/>
      <c r="G4" s="541"/>
      <c r="H4" s="541"/>
      <c r="I4" s="541"/>
      <c r="J4" s="541"/>
      <c r="K4" s="54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4" t="str">
        <f>RAB!G6</f>
        <v>KOS GOLDYS</v>
      </c>
      <c r="H6" s="534"/>
      <c r="I6" s="534"/>
      <c r="J6" s="534"/>
      <c r="K6" s="53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BOGORAME,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2" t="s">
        <v>0</v>
      </c>
      <c r="C11" s="544" t="s">
        <v>1</v>
      </c>
      <c r="D11" s="547" t="s">
        <v>42</v>
      </c>
      <c r="E11" s="547" t="s">
        <v>43</v>
      </c>
      <c r="F11" s="547" t="s">
        <v>2</v>
      </c>
      <c r="G11" s="548" t="s">
        <v>41</v>
      </c>
      <c r="H11" s="547" t="s">
        <v>3</v>
      </c>
      <c r="I11" s="547"/>
      <c r="J11" s="547"/>
      <c r="K11" s="551"/>
      <c r="M11" s="33"/>
      <c r="N11" s="33"/>
      <c r="O11" s="33"/>
      <c r="P11" s="33"/>
      <c r="R11" s="34"/>
      <c r="S11" s="74"/>
      <c r="T11" s="74"/>
    </row>
    <row r="12" spans="1:21" ht="15" customHeight="1">
      <c r="B12" s="543"/>
      <c r="C12" s="545"/>
      <c r="D12" s="537"/>
      <c r="E12" s="537"/>
      <c r="F12" s="537"/>
      <c r="G12" s="549"/>
      <c r="H12" s="539" t="s">
        <v>46</v>
      </c>
      <c r="I12" s="539" t="s">
        <v>5</v>
      </c>
      <c r="J12" s="537" t="s">
        <v>47</v>
      </c>
      <c r="K12" s="53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3"/>
      <c r="C13" s="546"/>
      <c r="D13" s="537"/>
      <c r="E13" s="537"/>
      <c r="F13" s="537"/>
      <c r="G13" s="550"/>
      <c r="H13" s="540"/>
      <c r="I13" s="540"/>
      <c r="J13" s="537"/>
      <c r="K13" s="53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2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655200</v>
      </c>
      <c r="I16" s="42">
        <f t="shared" ca="1" si="2"/>
        <v>0</v>
      </c>
      <c r="J16" s="42">
        <f t="shared" ca="1" si="3"/>
        <v>0</v>
      </c>
      <c r="K16" s="43">
        <f t="shared" ca="1" si="0"/>
        <v>655200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6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2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78000</v>
      </c>
      <c r="I17" s="42">
        <f t="shared" ca="1" si="2"/>
        <v>0</v>
      </c>
      <c r="J17" s="42">
        <f t="shared" ca="1" si="3"/>
        <v>0</v>
      </c>
      <c r="K17" s="43">
        <f t="shared" ca="1" si="0"/>
        <v>78000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3x35+1x35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50</v>
      </c>
      <c r="G18" s="41">
        <f ca="1">IF(ISERROR(OFFSET('HARGA SATUAN'!$I$6,MATCH(C18,'HARGA SATUAN'!$C$7:$C$1492,0),0)),"",OFFSET('HARGA SATUAN'!$I$6,MATCH(C18,'HARGA SATUAN'!$C$7:$C$1492,0),0))</f>
        <v>30400</v>
      </c>
      <c r="H18" s="42">
        <f t="shared" ca="1" si="1"/>
        <v>1520000</v>
      </c>
      <c r="I18" s="42">
        <f t="shared" ca="1" si="2"/>
        <v>0</v>
      </c>
      <c r="J18" s="42">
        <f t="shared" ca="1" si="3"/>
        <v>0</v>
      </c>
      <c r="K18" s="43">
        <f t="shared" ca="1" si="0"/>
        <v>1520000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2 x 10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40</v>
      </c>
      <c r="G19" s="41">
        <f ca="1">IF(ISERROR(OFFSET('HARGA SATUAN'!$I$6,MATCH(C19,'HARGA SATUAN'!$C$7:$C$1492,0),0)),"",OFFSET('HARGA SATUAN'!$I$6,MATCH(C19,'HARGA SATUAN'!$C$7:$C$1492,0),0))</f>
        <v>4300</v>
      </c>
      <c r="H19" s="42">
        <f t="shared" ca="1" si="1"/>
        <v>172000</v>
      </c>
      <c r="I19" s="42">
        <f t="shared" ca="1" si="2"/>
        <v>0</v>
      </c>
      <c r="J19" s="42">
        <f t="shared" ca="1" si="3"/>
        <v>0</v>
      </c>
      <c r="K19" s="43">
        <f t="shared" ca="1" si="0"/>
        <v>172000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5" t="s">
        <v>1008</v>
      </c>
      <c r="D168" s="535"/>
      <c r="E168" s="535"/>
      <c r="F168" s="535"/>
      <c r="G168" s="77" t="s">
        <v>9</v>
      </c>
      <c r="H168" s="55">
        <f ca="1">SUM(H14:H167)</f>
        <v>2425200</v>
      </c>
      <c r="I168" s="55">
        <f ca="1">SUM(I14:I167)</f>
        <v>0</v>
      </c>
      <c r="J168" s="55">
        <f ca="1">SUM(J14:J167)</f>
        <v>0</v>
      </c>
      <c r="K168" s="55">
        <f ca="1">SUM(K14:K167)</f>
        <v>2425200</v>
      </c>
      <c r="L168" s="44"/>
      <c r="R168" s="99"/>
      <c r="S168" s="99"/>
      <c r="T168" s="99"/>
    </row>
    <row r="169" spans="1:20" s="36" customFormat="1">
      <c r="A169" s="30"/>
      <c r="B169" s="56"/>
      <c r="C169" s="536" t="s">
        <v>462</v>
      </c>
      <c r="D169" s="536"/>
      <c r="E169" s="536"/>
      <c r="F169" s="536"/>
      <c r="G169" s="59" t="s">
        <v>9</v>
      </c>
      <c r="H169" s="60">
        <f ca="1">H168*0.1</f>
        <v>242520</v>
      </c>
      <c r="I169" s="60">
        <f ca="1">I168*0.1</f>
        <v>0</v>
      </c>
      <c r="J169" s="60">
        <f ca="1">J168*0.1</f>
        <v>0</v>
      </c>
      <c r="K169" s="60">
        <f ca="1">K168*0.1</f>
        <v>242520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5" t="s">
        <v>463</v>
      </c>
      <c r="D170" s="525"/>
      <c r="E170" s="525"/>
      <c r="F170" s="525"/>
      <c r="G170" s="61" t="s">
        <v>9</v>
      </c>
      <c r="H170" s="78">
        <f ca="1">SUM(H168:H169)</f>
        <v>2667720</v>
      </c>
      <c r="I170" s="78">
        <f ca="1">SUM(I168:I169)</f>
        <v>0</v>
      </c>
      <c r="J170" s="61">
        <f ca="1">SUM(J168:J169)</f>
        <v>0</v>
      </c>
      <c r="K170" s="61">
        <f ca="1">SUM(K168:K169)</f>
        <v>2667720</v>
      </c>
      <c r="L170" s="44"/>
      <c r="R170" s="99"/>
      <c r="S170" s="99"/>
      <c r="T170" s="99"/>
    </row>
    <row r="171" spans="1:20" s="36" customFormat="1">
      <c r="A171" s="30"/>
      <c r="B171" s="528" t="e">
        <f ca="1">"Terbilang : ( "&amp;L172&amp;" Rupiah )"</f>
        <v>#NAME?</v>
      </c>
      <c r="C171" s="529"/>
      <c r="D171" s="529"/>
      <c r="E171" s="529"/>
      <c r="F171" s="529"/>
      <c r="G171" s="529"/>
      <c r="H171" s="529"/>
      <c r="I171" s="529"/>
      <c r="J171" s="529"/>
      <c r="K171" s="530"/>
      <c r="L171" s="44"/>
      <c r="R171" s="58"/>
      <c r="S171" s="58"/>
      <c r="T171" s="58"/>
    </row>
    <row r="172" spans="1:20" s="36" customFormat="1">
      <c r="A172" s="30"/>
      <c r="B172" s="531"/>
      <c r="C172" s="532"/>
      <c r="D172" s="532"/>
      <c r="E172" s="532"/>
      <c r="F172" s="532"/>
      <c r="G172" s="532"/>
      <c r="H172" s="532"/>
      <c r="I172" s="532"/>
      <c r="J172" s="532"/>
      <c r="K172" s="533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6"/>
      <c r="I175" s="526"/>
      <c r="J175" s="527"/>
      <c r="K175" s="52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6"/>
      <c r="I176" s="526"/>
      <c r="J176" s="527"/>
      <c r="K176" s="52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6"/>
      <c r="I177" s="526"/>
      <c r="J177" s="527"/>
      <c r="K177" s="52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6"/>
      <c r="I182" s="526"/>
      <c r="J182" s="527"/>
      <c r="K182" s="52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SUMIFS(RAB!$F$14:$F$53,RAB!$C$14:$C$53,C224)</f>
        <v>2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SUMIFS(RAB!$F$14:$F$53,RAB!$C$14:$C$53,C225)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SUMIFS(RAB!$F$14:$F$53,RAB!$C$14:$C$53,C226)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SUMIFS(RAB!$F$14:$F$53,RAB!$C$14:$C$53,C227)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SUMIFS(RAB!$F$14:$F$53,RAB!$C$14:$C$53,C228)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SUMIFS(RAB!$F$14:$F$53,RAB!$C$14:$C$53,C229)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SUMIFS(RAB!$F$14:$F$53,RAB!$C$14:$C$53,C230)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SUMIFS(RAB!$F$14:$F$53,RAB!$C$14:$C$53,C231)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SUMIFS(RAB!$F$14:$F$53,RAB!$C$14:$C$53,C232)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SUMIFS(RAB!$F$14:$F$53,RAB!$C$14:$C$53,C233)</f>
        <v>2</v>
      </c>
      <c r="E233" s="24">
        <f t="shared" ca="1" si="21"/>
        <v>1</v>
      </c>
      <c r="F233" s="24">
        <f ca="1">IF(D233=0,0,SUM($E$223:E233))</f>
        <v>2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SUMIFS(RAB!$F$14:$F$53,RAB!$C$14:$C$53,C234)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SUMIFS(RAB!$F$14:$F$53,RAB!$C$14:$C$53,C235)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SUMIFS(RAB!$F$14:$F$53,RAB!$C$14:$C$53,C236)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SUMIFS(RAB!$F$14:$F$53,RAB!$C$14:$C$53,C237)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SUMIFS(RAB!$F$14:$F$53,RAB!$C$14:$C$53,C238)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SUMIFS(RAB!$F$14:$F$53,RAB!$C$14:$C$53,C239)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SUMIFS(RAB!$F$14:$F$53,RAB!$C$14:$C$53,C240)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SUMIFS(RAB!$F$14:$F$53,RAB!$C$14:$C$53,C241)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SUMIFS(RAB!$F$14:$F$53,RAB!$C$14:$C$53,C242)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SUMIFS(RAB!$F$14:$F$53,RAB!$C$14:$C$53,C243)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SUMIFS(RAB!$F$14:$F$53,RAB!$C$14:$C$53,C244)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SUMIFS(RAB!$F$14:$F$53,RAB!$C$14:$C$53,C245)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SUMIFS(RAB!$F$14:$F$53,RAB!$C$14:$C$53,C246)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SUMIFS(RAB!$F$14:$F$53,RAB!$C$14:$C$53,C247)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SUMIFS(RAB!$F$14:$F$53,RAB!$C$14:$C$53,C248)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SUMIFS(RAB!$F$14:$F$53,RAB!$C$14:$C$53,C249)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SUMIFS(RAB!$F$14:$F$53,RAB!$C$14:$C$53,C250)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SUMIFS(RAB!$F$14:$F$53,RAB!$C$14:$C$53,C251)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SUMIFS(RAB!$F$14:$F$53,RAB!$C$14:$C$53,C252)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SUMIFS(RAB!$F$14:$F$53,RAB!$C$14:$C$53,C253)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SUMIFS(RAB!$F$14:$F$53,RAB!$C$14:$C$53,C254)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SUMIFS(RAB!$F$14:$F$53,RAB!$C$14:$C$53,C255)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SUMIFS(RAB!$F$14:$F$53,RAB!$C$14:$C$53,C256)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SUMIFS(RAB!$F$14:$F$53,RAB!$C$14:$C$53,C257)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SUMIFS(RAB!$F$14:$F$53,RAB!$C$14:$C$53,C258)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SUMIFS(RAB!$F$14:$F$53,RAB!$C$14:$C$53,C259)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SUMIFS(RAB!$F$14:$F$53,RAB!$C$14:$C$53,C260)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SUMIFS(RAB!$F$14:$F$53,RAB!$C$14:$C$53,C261)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SUMIFS(RAB!$F$14:$F$53,RAB!$C$14:$C$53,C262)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SUMIFS(RAB!$F$14:$F$53,RAB!$C$14:$C$53,C263)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SUMIFS(RAB!$F$14:$F$53,RAB!$C$14:$C$53,C264)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SUMIFS(RAB!$F$14:$F$53,RAB!$C$14:$C$53,C265)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SUMIFS(RAB!$F$14:$F$53,RAB!$C$14:$C$53,C266)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SUMIFS(RAB!$F$14:$F$53,RAB!$C$14:$C$53,C267)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SUMIFS(RAB!$F$14:$F$53,RAB!$C$14:$C$53,C268)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SUMIFS(RAB!$F$14:$F$53,RAB!$C$14:$C$53,C269)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SUMIFS(RAB!$F$14:$F$53,RAB!$C$14:$C$53,C270)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SUMIFS(RAB!$F$14:$F$53,RAB!$C$14:$C$53,C271)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SUMIFS(RAB!$F$14:$F$53,RAB!$C$14:$C$53,C272)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SUMIFS(RAB!$F$14:$F$53,RAB!$C$14:$C$53,C273)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SUMIFS(RAB!$F$14:$F$53,RAB!$C$14:$C$53,C274)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SUMIFS(RAB!$F$14:$F$53,RAB!$C$14:$C$53,C275)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SUMIFS(RAB!$F$14:$F$53,RAB!$C$14:$C$53,C276)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SUMIFS(RAB!$F$14:$F$53,RAB!$C$14:$C$53,C277)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SUMIFS(RAB!$F$14:$F$53,RAB!$C$14:$C$53,C278)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SUMIFS(RAB!$F$14:$F$53,RAB!$C$14:$C$53,C279)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SUMIFS(RAB!$F$14:$F$53,RAB!$C$14:$C$53,C280)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SUMIFS(RAB!$F$14:$F$53,RAB!$C$14:$C$53,C281)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SUMIFS(RAB!$F$14:$F$53,RAB!$C$14:$C$53,C282)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SUMIFS(RAB!$F$14:$F$53,RAB!$C$14:$C$53,C283)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SUMIFS(RAB!$F$14:$F$53,RAB!$C$14:$C$53,C284)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SUMIFS(RAB!$F$14:$F$53,RAB!$C$14:$C$53,C285)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SUMIFS(RAB!$F$14:$F$53,RAB!$C$14:$C$53,C286)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SUMIFS(RAB!$F$14:$F$53,RAB!$C$14:$C$53,C287)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SUMIFS(RAB!$F$14:$F$53,RAB!$C$14:$C$53,C288)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SUMIFS(RAB!$F$14:$F$53,RAB!$C$14:$C$53,C289)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SUMIFS(RAB!$F$14:$F$53,RAB!$C$14:$C$53,C290)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SUMIFS(RAB!$F$14:$F$53,RAB!$C$14:$C$53,C291)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SUMIFS(RAB!$F$14:$F$53,RAB!$C$14:$C$53,C292)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SUMIFS(RAB!$F$14:$F$53,RAB!$C$14:$C$53,C293)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SUMIFS(RAB!$F$14:$F$53,RAB!$C$14:$C$53,C294)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SUMIFS(RAB!$F$14:$F$53,RAB!$C$14:$C$53,C295)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SUMIFS(RAB!$F$14:$F$53,RAB!$C$14:$C$53,C296)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SUMIFS(RAB!$F$14:$F$53,RAB!$C$14:$C$53,C297)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SUMIFS(RAB!$F$14:$F$53,RAB!$C$14:$C$53,C298)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SUMIFS(RAB!$F$14:$F$53,RAB!$C$14:$C$53,C299)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SUMIFS(RAB!$F$14:$F$53,RAB!$C$14:$C$53,C300)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SUMIFS(RAB!$F$14:$F$53,RAB!$C$14:$C$53,C301)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SUMIFS(RAB!$F$14:$F$53,RAB!$C$14:$C$53,C302)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SUMIFS(RAB!$F$14:$F$53,RAB!$C$14:$C$53,C303)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SUMIFS(RAB!$F$14:$F$53,RAB!$C$14:$C$53,C304)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SUMIFS(RAB!$F$14:$F$53,RAB!$C$14:$C$53,C305)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SUMIFS(RAB!$F$14:$F$53,RAB!$C$14:$C$53,C306)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SUMIFS(RAB!$F$14:$F$53,RAB!$C$14:$C$53,C307)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SUMIFS(RAB!$F$14:$F$53,RAB!$C$14:$C$53,C308)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SUMIFS(RAB!$F$14:$F$53,RAB!$C$14:$C$53,C309)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SUMIFS(RAB!$F$14:$F$53,RAB!$C$14:$C$53,C310)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SUMIFS(RAB!$F$14:$F$53,RAB!$C$14:$C$53,C311)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SUMIFS(RAB!$F$14:$F$53,RAB!$C$14:$C$53,C312)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SUMIFS(RAB!$F$14:$F$53,RAB!$C$14:$C$53,C313)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SUMIFS(RAB!$F$14:$F$53,RAB!$C$14:$C$53,C314)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SUMIFS(RAB!$F$14:$F$53,RAB!$C$14:$C$53,C315)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SUMIFS(RAB!$F$14:$F$53,RAB!$C$14:$C$53,C316)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SUMIFS(RAB!$F$14:$F$53,RAB!$C$14:$C$53,C317)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SUMIFS(RAB!$F$14:$F$53,RAB!$C$14:$C$53,C318)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SUMIFS(RAB!$F$14:$F$53,RAB!$C$14:$C$53,C319)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SUMIFS(RAB!$F$14:$F$53,RAB!$C$14:$C$53,C320)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SUMIFS(RAB!$F$14:$F$53,RAB!$C$14:$C$53,C321)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SUMIFS(RAB!$F$14:$F$53,RAB!$C$14:$C$53,C322)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SUMIFS(RAB!$F$14:$F$53,RAB!$C$14:$C$53,C323)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SUMIFS(RAB!$F$14:$F$53,RAB!$C$14:$C$53,C324)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SUMIFS(RAB!$F$14:$F$53,RAB!$C$14:$C$53,C325)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SUMIFS(RAB!$F$14:$F$53,RAB!$C$14:$C$53,C326)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SUMIFS(RAB!$F$14:$F$53,RAB!$C$14:$C$53,C327)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SUMIFS(RAB!$F$14:$F$53,RAB!$C$14:$C$53,C328)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SUMIFS(RAB!$F$14:$F$53,RAB!$C$14:$C$53,C329)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SUMIFS(RAB!$F$14:$F$53,RAB!$C$14:$C$53,C330)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SUMIFS(RAB!$F$14:$F$53,RAB!$C$14:$C$53,C331)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SUMIFS(RAB!$F$14:$F$53,RAB!$C$14:$C$53,C332)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SUMIFS(RAB!$F$14:$F$53,RAB!$C$14:$C$53,C333)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SUMIFS(RAB!$F$14:$F$53,RAB!$C$14:$C$53,C334)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SUMIFS(RAB!$F$14:$F$53,RAB!$C$14:$C$53,C335)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SUMIFS(RAB!$F$14:$F$53,RAB!$C$14:$C$53,C336)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SUMIFS(RAB!$F$14:$F$53,RAB!$C$14:$C$53,C337)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SUMIFS(RAB!$F$14:$F$53,RAB!$C$14:$C$53,C338)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SUMIFS(RAB!$F$14:$F$53,RAB!$C$14:$C$53,C339)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SUMIFS(RAB!$F$14:$F$53,RAB!$C$14:$C$53,C340)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SUMIFS(RAB!$F$14:$F$53,RAB!$C$14:$C$53,C341)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SUMIFS(RAB!$F$14:$F$53,RAB!$C$14:$C$53,C342)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SUMIFS(RAB!$F$14:$F$53,RAB!$C$14:$C$53,C343)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SUMIFS(RAB!$F$14:$F$53,RAB!$C$14:$C$53,C344)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SUMIFS(RAB!$F$14:$F$53,RAB!$C$14:$C$53,C345)</f>
        <v>50</v>
      </c>
      <c r="E345" s="24">
        <f t="shared" ca="1" si="22"/>
        <v>1</v>
      </c>
      <c r="F345" s="24">
        <f ca="1">IF(D345=0,0,SUM($E$223:E345))</f>
        <v>3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SUMIFS(RAB!$F$14:$F$53,RAB!$C$14:$C$53,C346)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SUMIFS(RAB!$F$14:$F$53,RAB!$C$14:$C$53,C347)</f>
        <v>40</v>
      </c>
      <c r="E347" s="24">
        <f t="shared" ca="1" si="22"/>
        <v>1</v>
      </c>
      <c r="F347" s="24">
        <f ca="1">IF(D347=0,0,SUM($E$223:E347))</f>
        <v>4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SUMIFS(RAB!$F$14:$F$53,RAB!$C$14:$C$53,C348)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SUMIFS(RAB!$F$14:$F$53,RAB!$C$14:$C$53,C349)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SUMIFS(RAB!$F$14:$F$53,RAB!$C$14:$C$53,C350)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SUMIFS(RAB!$F$14:$F$53,RAB!$C$14:$C$53,C351)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SUMIFS(RAB!$F$14:$F$53,RAB!$C$14:$C$53,C352)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SUMIFS(RAB!$F$14:$F$53,RAB!$C$14:$C$53,C353)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SUMIFS(RAB!$F$14:$F$53,RAB!$C$14:$C$53,C354)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SUMIFS(RAB!$F$14:$F$53,RAB!$C$14:$C$53,C355)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SUMIFS(RAB!$F$14:$F$53,RAB!$C$14:$C$53,C356)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SUMIFS(RAB!$F$14:$F$53,RAB!$C$14:$C$53,C357)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SUMIFS(RAB!$F$14:$F$53,RAB!$C$14:$C$53,C358)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SUMIFS(RAB!$F$14:$F$53,RAB!$C$14:$C$53,C359)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SUMIFS(RAB!$F$14:$F$53,RAB!$C$14:$C$53,C360)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SUMIFS(RAB!$F$14:$F$53,RAB!$C$14:$C$53,C361)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SUMIFS(RAB!$F$14:$F$53,RAB!$C$14:$C$53,C362)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SUMIFS(RAB!$F$14:$F$53,RAB!$C$14:$C$53,C363)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SUMIFS(RAB!$F$14:$F$53,RAB!$C$14:$C$53,C364)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SUMIFS(RAB!$F$14:$F$53,RAB!$C$14:$C$53,C365)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SUMIFS(RAB!$F$14:$F$53,RAB!$C$14:$C$53,C366)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SUMIFS(RAB!$F$14:$F$53,RAB!$C$14:$C$53,C367)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SUMIFS(RAB!$F$14:$F$53,RAB!$C$14:$C$53,C368)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SUMIFS(RAB!$F$14:$F$53,RAB!$C$14:$C$53,C369)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SUMIFS(RAB!$F$14:$F$53,RAB!$C$14:$C$53,C370)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SUMIFS(RAB!$F$14:$F$53,RAB!$C$14:$C$53,C371)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SUMIFS(RAB!$F$14:$F$53,RAB!$C$14:$C$53,C372)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SUMIFS(RAB!$F$14:$F$53,RAB!$C$14:$C$53,C373)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7" priority="5" operator="equal">
      <formula>0</formula>
    </cfRule>
  </conditionalFormatting>
  <conditionalFormatting sqref="C16:C165">
    <cfRule type="cellIs" dxfId="36" priority="4" stopIfTrue="1" operator="equal">
      <formula>0</formula>
    </cfRule>
  </conditionalFormatting>
  <conditionalFormatting sqref="C16:E165">
    <cfRule type="cellIs" dxfId="35" priority="1" operator="equal">
      <formula>0</formula>
    </cfRule>
  </conditionalFormatting>
  <conditionalFormatting sqref="D224:F373">
    <cfRule type="cellIs" dxfId="34" priority="8" operator="equal">
      <formula>0</formula>
    </cfRule>
  </conditionalFormatting>
  <conditionalFormatting sqref="E1:E3 G1:G115 E6:E15 H12:I12 N13 F14:F15 H14:K115 E166:K166 G166:G223 E167:F167 H167:K167">
    <cfRule type="cellIs" dxfId="33" priority="43" stopIfTrue="1" operator="equal">
      <formula>0</formula>
    </cfRule>
  </conditionalFormatting>
  <conditionalFormatting sqref="E171:E65536">
    <cfRule type="cellIs" dxfId="32" priority="9" stopIfTrue="1" operator="equal">
      <formula>0</formula>
    </cfRule>
  </conditionalFormatting>
  <conditionalFormatting sqref="G224">
    <cfRule type="cellIs" dxfId="31" priority="10" operator="equal">
      <formula>0</formula>
    </cfRule>
  </conditionalFormatting>
  <conditionalFormatting sqref="G225:G65536">
    <cfRule type="cellIs" dxfId="30" priority="14" stopIfTrue="1" operator="equal">
      <formula>0</formula>
    </cfRule>
  </conditionalFormatting>
  <conditionalFormatting sqref="R14:T166 G116:K165">
    <cfRule type="cellIs" dxfId="2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54" activePane="bottomRight" state="frozen"/>
      <selection activeCell="D209" sqref="D209"/>
      <selection pane="topRight" activeCell="D209" sqref="D209"/>
      <selection pane="bottomLeft" activeCell="D209" sqref="D209"/>
      <selection pane="bottomRight" activeCell="C277" sqref="C277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3" t="s">
        <v>41</v>
      </c>
      <c r="C2" s="55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4" t="s">
        <v>23</v>
      </c>
      <c r="C4" s="555" t="s">
        <v>1012</v>
      </c>
      <c r="D4" s="555" t="s">
        <v>42</v>
      </c>
      <c r="E4" s="554" t="s">
        <v>43</v>
      </c>
      <c r="F4" s="108" t="s">
        <v>1609</v>
      </c>
      <c r="G4" s="108" t="s">
        <v>1608</v>
      </c>
      <c r="H4" s="552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4"/>
      <c r="C5" s="555"/>
      <c r="D5" s="555"/>
      <c r="E5" s="554"/>
      <c r="F5" s="93"/>
      <c r="G5" s="93"/>
      <c r="H5" s="552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8" priority="138" operator="equal">
      <formula>0</formula>
    </cfRule>
  </conditionalFormatting>
  <conditionalFormatting sqref="B8:C135">
    <cfRule type="cellIs" dxfId="27" priority="51" operator="equal">
      <formula>0</formula>
    </cfRule>
  </conditionalFormatting>
  <conditionalFormatting sqref="B150:G1493">
    <cfRule type="cellIs" dxfId="26" priority="1" operator="equal">
      <formula>0</formula>
    </cfRule>
  </conditionalFormatting>
  <conditionalFormatting sqref="C143:G149">
    <cfRule type="cellIs" dxfId="25" priority="5" operator="equal">
      <formula>0</formula>
    </cfRule>
  </conditionalFormatting>
  <conditionalFormatting sqref="D9:G142">
    <cfRule type="cellIs" dxfId="24" priority="11" operator="equal">
      <formula>0</formula>
    </cfRule>
  </conditionalFormatting>
  <conditionalFormatting sqref="D1:IV5 A1:C7 D6:K6 H1455:IV1457 H1458:XFD1485 H1486:H1493 I1486:XFD1494 A1494:H1494 A1495:XFD65536">
    <cfRule type="cellIs" dxfId="23" priority="163" operator="equal">
      <formula>0</formula>
    </cfRule>
  </conditionalFormatting>
  <conditionalFormatting sqref="D7:IV8 C136:C142 B136:B149">
    <cfRule type="cellIs" dxfId="22" priority="62" operator="equal">
      <formula>0</formula>
    </cfRule>
  </conditionalFormatting>
  <conditionalFormatting sqref="H9:H1418">
    <cfRule type="cellIs" dxfId="21" priority="129" operator="equal">
      <formula>0</formula>
    </cfRule>
  </conditionalFormatting>
  <conditionalFormatting sqref="H1419:I1454">
    <cfRule type="cellIs" dxfId="20" priority="128" operator="equal">
      <formula>0</formula>
    </cfRule>
  </conditionalFormatting>
  <conditionalFormatting sqref="I108:I1418">
    <cfRule type="cellIs" dxfId="19" priority="125" operator="equal">
      <formula>0</formula>
    </cfRule>
  </conditionalFormatting>
  <conditionalFormatting sqref="J108:IV1454">
    <cfRule type="cellIs" dxfId="18" priority="139" operator="equal">
      <formula>0</formula>
    </cfRule>
  </conditionalFormatting>
  <conditionalFormatting sqref="M6:IV6">
    <cfRule type="cellIs" dxfId="17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Q24" sqref="Q24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0" t="s">
        <v>1454</v>
      </c>
      <c r="C2" s="560"/>
      <c r="D2" s="560"/>
      <c r="E2" s="560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5" t="s">
        <v>1532</v>
      </c>
      <c r="C4" s="566"/>
      <c r="D4" s="566"/>
      <c r="E4" s="567"/>
      <c r="F4" s="442"/>
      <c r="G4" s="442"/>
      <c r="H4" s="443"/>
      <c r="I4" s="592" t="s">
        <v>1533</v>
      </c>
      <c r="J4" s="593"/>
      <c r="K4" s="593"/>
      <c r="L4" s="594"/>
    </row>
    <row r="5" spans="1:12" ht="34.5" customHeight="1">
      <c r="A5" s="204"/>
      <c r="B5" s="445" t="s">
        <v>1379</v>
      </c>
      <c r="C5" s="277" t="s">
        <v>9</v>
      </c>
      <c r="D5" s="561" t="str">
        <f>DATA!D14</f>
        <v>KOS GOLDYS</v>
      </c>
      <c r="E5" s="562"/>
      <c r="F5" s="208"/>
      <c r="G5" s="208"/>
      <c r="I5" s="446" t="s">
        <v>1379</v>
      </c>
      <c r="J5" s="277" t="s">
        <v>9</v>
      </c>
      <c r="K5" s="595" t="str">
        <f>D5</f>
        <v>KOS GOLDYS</v>
      </c>
      <c r="L5" s="596"/>
    </row>
    <row r="6" spans="1:12" ht="31.5" customHeight="1">
      <c r="A6" s="204"/>
      <c r="B6" s="445" t="s">
        <v>1529</v>
      </c>
      <c r="C6" s="277" t="s">
        <v>9</v>
      </c>
      <c r="D6" s="570">
        <f>DATA!D17*1000</f>
        <v>0</v>
      </c>
      <c r="E6" s="571"/>
      <c r="F6" s="208"/>
      <c r="G6" s="208"/>
      <c r="I6" s="446" t="s">
        <v>1530</v>
      </c>
      <c r="J6" s="277" t="s">
        <v>9</v>
      </c>
      <c r="K6" s="597">
        <f>DATA!D20*1000</f>
        <v>2600</v>
      </c>
      <c r="L6" s="598"/>
    </row>
    <row r="7" spans="1:12" ht="30.75" customHeight="1">
      <c r="A7" s="204"/>
      <c r="B7" s="445" t="s">
        <v>1441</v>
      </c>
      <c r="C7" s="277" t="s">
        <v>9</v>
      </c>
      <c r="D7" s="568">
        <f>DATA!D18</f>
        <v>1</v>
      </c>
      <c r="E7" s="569"/>
      <c r="F7" s="444" t="s">
        <v>1453</v>
      </c>
      <c r="I7" s="446" t="s">
        <v>1441</v>
      </c>
      <c r="J7" s="277" t="s">
        <v>9</v>
      </c>
      <c r="K7" s="599">
        <f>DATA!D21</f>
        <v>1</v>
      </c>
      <c r="L7" s="600"/>
    </row>
    <row r="8" spans="1:12" ht="51" customHeight="1">
      <c r="A8" s="204"/>
      <c r="B8" s="445" t="s">
        <v>1442</v>
      </c>
      <c r="C8" s="277" t="s">
        <v>9</v>
      </c>
      <c r="D8" s="568">
        <f>DATA!D19</f>
        <v>220</v>
      </c>
      <c r="E8" s="569"/>
      <c r="F8" s="444" t="s">
        <v>1453</v>
      </c>
      <c r="G8" s="439">
        <v>220</v>
      </c>
      <c r="I8" s="446" t="s">
        <v>1442</v>
      </c>
      <c r="J8" s="277" t="s">
        <v>9</v>
      </c>
      <c r="K8" s="599">
        <f>DATA!D22</f>
        <v>220</v>
      </c>
      <c r="L8" s="600"/>
    </row>
    <row r="9" spans="1:12" ht="30" customHeight="1" thickBot="1">
      <c r="A9" s="204"/>
      <c r="B9" s="451" t="s">
        <v>1541</v>
      </c>
      <c r="C9" s="441" t="s">
        <v>9</v>
      </c>
      <c r="D9" s="563">
        <f>IF(D7=1,D6/(380/3^0.5),(D6/(380*3^0.5)))</f>
        <v>0</v>
      </c>
      <c r="E9" s="564"/>
      <c r="F9" s="207"/>
      <c r="G9" s="440">
        <v>380</v>
      </c>
      <c r="I9" s="452" t="s">
        <v>1541</v>
      </c>
      <c r="J9" s="441" t="s">
        <v>9</v>
      </c>
      <c r="K9" s="601">
        <f>IF(K7=1,K6/(380/3^0.5),(K6/(380*3^0.5)))</f>
        <v>11.850873946523897</v>
      </c>
      <c r="L9" s="602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572"/>
      <c r="E12" s="573"/>
      <c r="F12" s="208"/>
      <c r="G12" s="208"/>
      <c r="I12" s="468" t="s">
        <v>1534</v>
      </c>
      <c r="J12" s="469" t="s">
        <v>9</v>
      </c>
      <c r="K12" s="572"/>
      <c r="L12" s="573"/>
    </row>
    <row r="13" spans="1:12" ht="31.5" customHeight="1">
      <c r="A13" s="204"/>
      <c r="B13" s="476" t="s">
        <v>1380</v>
      </c>
      <c r="C13" s="456" t="s">
        <v>9</v>
      </c>
      <c r="D13" s="576"/>
      <c r="E13" s="577"/>
      <c r="F13" s="208"/>
      <c r="G13" s="208"/>
      <c r="I13" s="470" t="s">
        <v>1380</v>
      </c>
      <c r="J13" s="456" t="s">
        <v>9</v>
      </c>
      <c r="K13" s="576"/>
      <c r="L13" s="577"/>
    </row>
    <row r="14" spans="1:12" ht="30.75" customHeight="1">
      <c r="A14" s="204"/>
      <c r="B14" s="476" t="s">
        <v>1535</v>
      </c>
      <c r="C14" s="456" t="s">
        <v>9</v>
      </c>
      <c r="D14" s="584"/>
      <c r="E14" s="585"/>
      <c r="F14" s="444" t="s">
        <v>1453</v>
      </c>
      <c r="G14" s="448">
        <v>50</v>
      </c>
      <c r="I14" s="470" t="s">
        <v>1535</v>
      </c>
      <c r="J14" s="456" t="s">
        <v>9</v>
      </c>
      <c r="K14" s="586"/>
      <c r="L14" s="587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88">
        <v>0</v>
      </c>
      <c r="E16" s="589"/>
      <c r="F16" s="444"/>
      <c r="G16" s="448">
        <v>160</v>
      </c>
      <c r="I16" s="470" t="s">
        <v>1537</v>
      </c>
      <c r="J16" s="456" t="s">
        <v>9</v>
      </c>
      <c r="K16" s="590">
        <f>K9</f>
        <v>11.850873946523897</v>
      </c>
      <c r="L16" s="591"/>
    </row>
    <row r="17" spans="1:12" ht="34.5" customHeight="1">
      <c r="A17" s="204"/>
      <c r="B17" s="476" t="s">
        <v>1538</v>
      </c>
      <c r="C17" s="456" t="s">
        <v>9</v>
      </c>
      <c r="D17" s="578">
        <f>IF(D15=1,D14/(20/3^0.5),(D14/(20*3^0.5)))</f>
        <v>0</v>
      </c>
      <c r="E17" s="579"/>
      <c r="F17" s="444" t="s">
        <v>1453</v>
      </c>
      <c r="G17" s="449">
        <v>200</v>
      </c>
      <c r="I17" s="470" t="s">
        <v>1538</v>
      </c>
      <c r="J17" s="456" t="s">
        <v>9</v>
      </c>
      <c r="K17" s="582">
        <f>IF(K15=1,K14/(20/3^0.5),(K14/(20*3^0.5)))</f>
        <v>0</v>
      </c>
      <c r="L17" s="583"/>
    </row>
    <row r="18" spans="1:12" ht="34.5" customHeight="1">
      <c r="A18" s="204"/>
      <c r="B18" s="476" t="s">
        <v>1539</v>
      </c>
      <c r="C18" s="456" t="s">
        <v>9</v>
      </c>
      <c r="D18" s="578">
        <f>IF(D15=1,D14/(380/3^0.5),(D14/(380*3^0.5)))*1000</f>
        <v>0</v>
      </c>
      <c r="E18" s="579"/>
      <c r="F18" s="444" t="s">
        <v>1453</v>
      </c>
      <c r="G18" s="449">
        <v>250</v>
      </c>
      <c r="I18" s="470" t="s">
        <v>1539</v>
      </c>
      <c r="J18" s="456" t="s">
        <v>9</v>
      </c>
      <c r="K18" s="582">
        <f>IF(K15=1,K14/(380/3^0.5),(K14/(380*3^0.5)))*1000</f>
        <v>0</v>
      </c>
      <c r="L18" s="583"/>
    </row>
    <row r="19" spans="1:12" ht="30" customHeight="1">
      <c r="A19" s="204"/>
      <c r="B19" s="477" t="s">
        <v>1531</v>
      </c>
      <c r="C19" s="455" t="s">
        <v>9</v>
      </c>
      <c r="D19" s="578">
        <f>IF(D15=1,D14/(380/3^0.5),(D14/(380*3^0.5)))</f>
        <v>0</v>
      </c>
      <c r="E19" s="579"/>
      <c r="F19" s="207"/>
      <c r="G19" s="440"/>
      <c r="I19" s="472" t="s">
        <v>1531</v>
      </c>
      <c r="J19" s="455" t="s">
        <v>9</v>
      </c>
      <c r="K19" s="582">
        <f>IF(K15=1,K14/(380/3^0.5),(K14/(380*3^0.5)))</f>
        <v>0</v>
      </c>
      <c r="L19" s="583"/>
    </row>
    <row r="20" spans="1:12" ht="30" customHeight="1" thickBot="1">
      <c r="A20" s="204"/>
      <c r="B20" s="478" t="s">
        <v>1540</v>
      </c>
      <c r="C20" s="474" t="s">
        <v>9</v>
      </c>
      <c r="D20" s="574" t="e">
        <f>D16/D18</f>
        <v>#DIV/0!</v>
      </c>
      <c r="E20" s="575"/>
      <c r="F20" s="207"/>
      <c r="G20" s="440"/>
      <c r="I20" s="473" t="s">
        <v>1531</v>
      </c>
      <c r="J20" s="474" t="s">
        <v>9</v>
      </c>
      <c r="K20" s="580" t="e">
        <f>K16/K18</f>
        <v>#DIV/0!</v>
      </c>
      <c r="L20" s="581"/>
    </row>
    <row r="21" spans="1:12" ht="9.75" customHeight="1">
      <c r="A21" s="204"/>
      <c r="B21" s="463" t="s">
        <v>1540</v>
      </c>
      <c r="C21" s="464" t="s">
        <v>9</v>
      </c>
      <c r="D21" s="559">
        <v>1</v>
      </c>
      <c r="E21" s="559"/>
      <c r="F21" s="465"/>
      <c r="G21" s="466"/>
      <c r="H21" s="467"/>
      <c r="I21" s="463" t="s">
        <v>1531</v>
      </c>
      <c r="J21" s="464" t="s">
        <v>9</v>
      </c>
      <c r="K21" s="559">
        <v>1</v>
      </c>
      <c r="L21" s="559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56"/>
      <c r="C24" s="557"/>
      <c r="D24" s="557"/>
      <c r="E24" s="558"/>
      <c r="I24" s="556"/>
      <c r="J24" s="557"/>
      <c r="K24" s="557"/>
      <c r="L24" s="558"/>
    </row>
    <row r="26" spans="1:12">
      <c r="D26" s="458"/>
    </row>
    <row r="27" spans="1:12">
      <c r="D27" s="45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6" priority="5" stopIfTrue="1" operator="greaterThan">
      <formula>0.89</formula>
    </cfRule>
    <cfRule type="cellIs" dxfId="1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Normal="100" workbookViewId="0">
      <selection activeCell="I23" sqref="I23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3"/>
      <c r="C1" s="603"/>
      <c r="D1" s="603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2.6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2519400</v>
      </c>
    </row>
    <row r="10" spans="2:11" ht="20.100000000000001" customHeight="1">
      <c r="B10" s="291" t="s">
        <v>1446</v>
      </c>
      <c r="C10" s="292" t="s">
        <v>9</v>
      </c>
      <c r="D10" s="298">
        <f ca="1">RAB!K59</f>
        <v>7406338.4699999997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148126.76939999999</v>
      </c>
    </row>
    <row r="12" spans="2:11" ht="9" customHeight="1">
      <c r="B12" s="604"/>
      <c r="C12" s="604"/>
      <c r="D12" s="604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1628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1623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0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2.6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7" activePane="bottomLeft" state="frozen"/>
      <selection activeCell="H1093" sqref="H1093"/>
      <selection pane="bottomLeft" activeCell="X24" sqref="X24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5" t="s">
        <v>1357</v>
      </c>
      <c r="C3" s="605"/>
      <c r="D3" s="605"/>
      <c r="E3" s="605"/>
      <c r="F3" s="305" t="str">
        <f>DATA!D14</f>
        <v>KOS GOLDYS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6" t="s">
        <v>1349</v>
      </c>
      <c r="C5" s="606" t="s">
        <v>1358</v>
      </c>
      <c r="D5" s="607" t="s">
        <v>1359</v>
      </c>
      <c r="E5" s="607" t="s">
        <v>1360</v>
      </c>
      <c r="F5" s="606" t="s">
        <v>1361</v>
      </c>
      <c r="G5" s="606"/>
      <c r="H5" s="606"/>
      <c r="I5" s="606"/>
      <c r="J5" s="606"/>
      <c r="K5" s="606" t="s">
        <v>1362</v>
      </c>
      <c r="L5" s="606"/>
      <c r="M5" s="307"/>
      <c r="N5" s="610" t="s">
        <v>1363</v>
      </c>
      <c r="O5" s="607" t="s">
        <v>1364</v>
      </c>
      <c r="P5" s="607" t="s">
        <v>1365</v>
      </c>
      <c r="Q5" s="607" t="s">
        <v>1366</v>
      </c>
      <c r="R5" s="308"/>
      <c r="S5" s="309"/>
      <c r="T5" s="608" t="s">
        <v>1367</v>
      </c>
      <c r="U5" s="310"/>
    </row>
    <row r="6" spans="1:21" ht="20.100000000000001" customHeight="1">
      <c r="B6" s="606"/>
      <c r="C6" s="606"/>
      <c r="D6" s="606"/>
      <c r="E6" s="606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1"/>
      <c r="O6" s="606"/>
      <c r="P6" s="606"/>
      <c r="Q6" s="606"/>
      <c r="R6" s="308"/>
      <c r="S6" s="309"/>
      <c r="T6" s="606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832</v>
      </c>
      <c r="D7" s="316">
        <f>C7*4/24</f>
        <v>138.66666666666666</v>
      </c>
      <c r="E7" s="316">
        <f>C7-D7</f>
        <v>693.33333333333337</v>
      </c>
      <c r="F7" s="317">
        <f ca="1">DATA!D10/1000000</f>
        <v>7.4063384699999997</v>
      </c>
      <c r="G7" s="318">
        <f ca="1">DATA!$D$11/1000000</f>
        <v>0.1481267694</v>
      </c>
      <c r="H7" s="318">
        <f>C7*DATA!$D$5/1000000</f>
        <v>0.90199203817763796</v>
      </c>
      <c r="I7" s="318">
        <f>(C7*DATA!$D$5*DATA!$D$7)/1000000</f>
        <v>2.0294820858996851E-2</v>
      </c>
      <c r="J7" s="316">
        <f ca="1">SUM(F7:I7)</f>
        <v>8.4767520984366342</v>
      </c>
      <c r="K7" s="319">
        <f>DATA!D9/1000000</f>
        <v>2.5194000000000001</v>
      </c>
      <c r="L7" s="316">
        <f>((D7*DATA!$D$23)/1000000)+((E7*DATA!$D$24)/1000000)</f>
        <v>1.2019904000000001</v>
      </c>
      <c r="M7" s="316">
        <f>K7+L7</f>
        <v>3.7213904000000002</v>
      </c>
      <c r="N7" s="316">
        <f ca="1">M7-J7</f>
        <v>-4.7553616984366336</v>
      </c>
      <c r="O7" s="314">
        <v>1</v>
      </c>
      <c r="P7" s="316">
        <f ca="1">O7*N7</f>
        <v>-4.7553616984366336</v>
      </c>
      <c r="Q7" s="316">
        <f ca="1">P7</f>
        <v>-4.7553616984366336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1248</v>
      </c>
      <c r="D8" s="316">
        <f>C8*4/24</f>
        <v>208</v>
      </c>
      <c r="E8" s="316">
        <f t="shared" ref="E8:E32" si="0">C8-D8</f>
        <v>1040</v>
      </c>
      <c r="F8" s="314"/>
      <c r="G8" s="318">
        <f ca="1">DATA!$D$11/1000000</f>
        <v>0.1481267694</v>
      </c>
      <c r="H8" s="318">
        <f>C8*DATA!$D$5/1000000</f>
        <v>1.352988057266457</v>
      </c>
      <c r="I8" s="318">
        <f>(C8*DATA!$D$5*DATA!$D$7)/1000000</f>
        <v>3.044223128849528E-2</v>
      </c>
      <c r="J8" s="316">
        <f t="shared" ref="J8:J32" ca="1" si="1">SUM(F8:I8)</f>
        <v>1.5315570579549522</v>
      </c>
      <c r="K8" s="321"/>
      <c r="L8" s="316">
        <f>((D8*DATA!$D$23)/1000000)+((E8*DATA!$D$24)/1000000)</f>
        <v>1.8029856</v>
      </c>
      <c r="M8" s="316">
        <f t="shared" ref="M8:M32" si="2">K8+L8</f>
        <v>1.8029856</v>
      </c>
      <c r="N8" s="316">
        <f ca="1">M8-J8</f>
        <v>0.27142854204504774</v>
      </c>
      <c r="O8" s="315">
        <f>1/(1+'[93]Asumsi I'!$C$3)^(KKF!A8)</f>
        <v>0.89285714285714279</v>
      </c>
      <c r="P8" s="316">
        <f ca="1">O8*N8</f>
        <v>0.24234691254022117</v>
      </c>
      <c r="Q8" s="316">
        <f ca="1">Q7+P8</f>
        <v>-4.513014785896412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1248</v>
      </c>
      <c r="D9" s="316">
        <f t="shared" ref="D9:D32" si="5">C9*4/24</f>
        <v>208</v>
      </c>
      <c r="E9" s="316">
        <f t="shared" si="0"/>
        <v>1040</v>
      </c>
      <c r="F9" s="314"/>
      <c r="G9" s="318">
        <f ca="1">DATA!$D$11/1000000</f>
        <v>0.1481267694</v>
      </c>
      <c r="H9" s="318">
        <f>C9*DATA!$D$5/1000000</f>
        <v>1.352988057266457</v>
      </c>
      <c r="I9" s="318">
        <f>(C9*DATA!$D$5*DATA!$D$7)/1000000</f>
        <v>3.044223128849528E-2</v>
      </c>
      <c r="J9" s="316">
        <f t="shared" ca="1" si="1"/>
        <v>1.5315570579549522</v>
      </c>
      <c r="K9" s="316"/>
      <c r="L9" s="316">
        <f>((D9*DATA!$D$23)/1000000)+((E9*DATA!$D$24)/1000000)</f>
        <v>1.8029856</v>
      </c>
      <c r="M9" s="316">
        <f t="shared" si="2"/>
        <v>1.8029856</v>
      </c>
      <c r="N9" s="316">
        <f t="shared" ref="N9:N32" ca="1" si="6">M9-J9</f>
        <v>0.27142854204504774</v>
      </c>
      <c r="O9" s="322">
        <f>1/(1+'[93]Asumsi I'!$C$3)^(KKF!A9)</f>
        <v>0.79719387755102034</v>
      </c>
      <c r="P9" s="316">
        <f t="shared" ref="P9:P32" ca="1" si="7">O9*N9</f>
        <v>0.21638117191091177</v>
      </c>
      <c r="Q9" s="316">
        <f ca="1">Q8+P9</f>
        <v>-4.2966336139855006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1248</v>
      </c>
      <c r="D10" s="316">
        <f t="shared" si="5"/>
        <v>208</v>
      </c>
      <c r="E10" s="316">
        <f t="shared" si="0"/>
        <v>1040</v>
      </c>
      <c r="F10" s="314"/>
      <c r="G10" s="318">
        <f ca="1">DATA!$D$11/1000000</f>
        <v>0.1481267694</v>
      </c>
      <c r="H10" s="318">
        <f>C10*DATA!$D$5/1000000</f>
        <v>1.352988057266457</v>
      </c>
      <c r="I10" s="318">
        <f>(C10*DATA!$D$5*DATA!$D$7)/1000000</f>
        <v>3.044223128849528E-2</v>
      </c>
      <c r="J10" s="316">
        <f t="shared" ca="1" si="1"/>
        <v>1.5315570579549522</v>
      </c>
      <c r="K10" s="314"/>
      <c r="L10" s="316">
        <f>((D10*DATA!$D$23)/1000000)+((E10*DATA!$D$24)/1000000)</f>
        <v>1.8029856</v>
      </c>
      <c r="M10" s="316">
        <f t="shared" si="2"/>
        <v>1.8029856</v>
      </c>
      <c r="N10" s="316">
        <f t="shared" ca="1" si="6"/>
        <v>0.27142854204504774</v>
      </c>
      <c r="O10" s="315">
        <f>1/(1+'[93]Asumsi I'!$C$3)^(KKF!A10)</f>
        <v>0.71178024781341087</v>
      </c>
      <c r="P10" s="316">
        <f t="shared" ca="1" si="7"/>
        <v>0.19319747492045689</v>
      </c>
      <c r="Q10" s="316">
        <f t="shared" ref="Q10:Q30" ca="1" si="9">Q9+P10</f>
        <v>-4.1034361390650433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1248</v>
      </c>
      <c r="D11" s="316">
        <f t="shared" si="5"/>
        <v>208</v>
      </c>
      <c r="E11" s="316">
        <f t="shared" si="0"/>
        <v>1040</v>
      </c>
      <c r="F11" s="314"/>
      <c r="G11" s="318">
        <f ca="1">DATA!$D$11/1000000</f>
        <v>0.1481267694</v>
      </c>
      <c r="H11" s="318">
        <f>C11*DATA!$D$5/1000000</f>
        <v>1.352988057266457</v>
      </c>
      <c r="I11" s="318">
        <f>(C11*DATA!$D$5*DATA!$D$7)/1000000</f>
        <v>3.044223128849528E-2</v>
      </c>
      <c r="J11" s="316">
        <f t="shared" ca="1" si="1"/>
        <v>1.5315570579549522</v>
      </c>
      <c r="K11" s="314"/>
      <c r="L11" s="316">
        <f>((D11*DATA!$D$23)/1000000)+((E11*DATA!$D$24)/1000000)</f>
        <v>1.8029856</v>
      </c>
      <c r="M11" s="316">
        <f t="shared" si="2"/>
        <v>1.8029856</v>
      </c>
      <c r="N11" s="316">
        <f t="shared" ca="1" si="6"/>
        <v>0.27142854204504774</v>
      </c>
      <c r="O11" s="315">
        <f>1/(1+'[93]Asumsi I'!$C$3)^(KKF!A11)</f>
        <v>0.63551807840483121</v>
      </c>
      <c r="P11" s="316">
        <f t="shared" ca="1" si="7"/>
        <v>0.17249774546469368</v>
      </c>
      <c r="Q11" s="316">
        <f t="shared" ca="1" si="9"/>
        <v>-3.9309383936003495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1248</v>
      </c>
      <c r="D12" s="316">
        <f t="shared" si="5"/>
        <v>208</v>
      </c>
      <c r="E12" s="316">
        <f t="shared" si="0"/>
        <v>1040</v>
      </c>
      <c r="F12" s="314"/>
      <c r="G12" s="318">
        <f ca="1">DATA!$D$11/1000000</f>
        <v>0.1481267694</v>
      </c>
      <c r="H12" s="318">
        <f>C12*DATA!$D$5/1000000</f>
        <v>1.352988057266457</v>
      </c>
      <c r="I12" s="318">
        <f>(C12*DATA!$D$5*DATA!$D$7)/1000000</f>
        <v>3.044223128849528E-2</v>
      </c>
      <c r="J12" s="316">
        <f t="shared" ca="1" si="1"/>
        <v>1.5315570579549522</v>
      </c>
      <c r="K12" s="314"/>
      <c r="L12" s="316">
        <f>((D12*DATA!$D$23)/1000000)+((E12*DATA!$D$24)/1000000)</f>
        <v>1.8029856</v>
      </c>
      <c r="M12" s="316">
        <f t="shared" si="2"/>
        <v>1.8029856</v>
      </c>
      <c r="N12" s="316">
        <f t="shared" ca="1" si="6"/>
        <v>0.27142854204504774</v>
      </c>
      <c r="O12" s="315">
        <f>1/(1+'[93]Asumsi I'!$C$3)^(KKF!A12)</f>
        <v>0.56742685571859919</v>
      </c>
      <c r="P12" s="316">
        <f t="shared" ca="1" si="7"/>
        <v>0.15401584416490505</v>
      </c>
      <c r="Q12" s="316">
        <f t="shared" ca="1" si="9"/>
        <v>-3.7769225494354446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1248</v>
      </c>
      <c r="D13" s="316">
        <f t="shared" si="5"/>
        <v>208</v>
      </c>
      <c r="E13" s="316">
        <f t="shared" si="0"/>
        <v>1040</v>
      </c>
      <c r="F13" s="314"/>
      <c r="G13" s="318">
        <f ca="1">DATA!$D$11/1000000</f>
        <v>0.1481267694</v>
      </c>
      <c r="H13" s="318">
        <f>C13*DATA!$D$5/1000000</f>
        <v>1.352988057266457</v>
      </c>
      <c r="I13" s="318">
        <f>(C13*DATA!$D$5*DATA!$D$7)/1000000</f>
        <v>3.044223128849528E-2</v>
      </c>
      <c r="J13" s="316">
        <f t="shared" ca="1" si="1"/>
        <v>1.5315570579549522</v>
      </c>
      <c r="K13" s="314"/>
      <c r="L13" s="316">
        <f>((D13*DATA!$D$23)/1000000)+((E13*DATA!$D$24)/1000000)</f>
        <v>1.8029856</v>
      </c>
      <c r="M13" s="316">
        <f t="shared" si="2"/>
        <v>1.8029856</v>
      </c>
      <c r="N13" s="316">
        <f t="shared" ca="1" si="6"/>
        <v>0.27142854204504774</v>
      </c>
      <c r="O13" s="315">
        <f>1/(1+'[93]Asumsi I'!$C$3)^(KKF!A13)</f>
        <v>0.50663112117732068</v>
      </c>
      <c r="P13" s="316">
        <f t="shared" ca="1" si="7"/>
        <v>0.13751414657580807</v>
      </c>
      <c r="Q13" s="316">
        <f t="shared" ca="1" si="9"/>
        <v>-3.6394084028596367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1248</v>
      </c>
      <c r="D14" s="316">
        <f t="shared" si="5"/>
        <v>208</v>
      </c>
      <c r="E14" s="316">
        <f t="shared" si="0"/>
        <v>1040</v>
      </c>
      <c r="F14" s="314"/>
      <c r="G14" s="318">
        <f ca="1">DATA!$D$11/1000000</f>
        <v>0.1481267694</v>
      </c>
      <c r="H14" s="318">
        <f>C14*DATA!$D$5/1000000</f>
        <v>1.352988057266457</v>
      </c>
      <c r="I14" s="318">
        <f>(C14*DATA!$D$5*DATA!$D$7)/1000000</f>
        <v>3.044223128849528E-2</v>
      </c>
      <c r="J14" s="316">
        <f t="shared" ca="1" si="1"/>
        <v>1.5315570579549522</v>
      </c>
      <c r="K14" s="314"/>
      <c r="L14" s="316">
        <f>((D14*DATA!$D$23)/1000000)+((E14*DATA!$D$24)/1000000)</f>
        <v>1.8029856</v>
      </c>
      <c r="M14" s="316">
        <f t="shared" si="2"/>
        <v>1.8029856</v>
      </c>
      <c r="N14" s="316">
        <f t="shared" ca="1" si="6"/>
        <v>0.27142854204504774</v>
      </c>
      <c r="O14" s="315">
        <f>1/(1+'[93]Asumsi I'!$C$3)^(KKF!A14)</f>
        <v>0.45234921533689343</v>
      </c>
      <c r="P14" s="316">
        <f t="shared" ca="1" si="7"/>
        <v>0.12278048801411433</v>
      </c>
      <c r="Q14" s="316">
        <f t="shared" ca="1" si="9"/>
        <v>-3.5166279148455226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1248</v>
      </c>
      <c r="D15" s="316">
        <f t="shared" si="5"/>
        <v>208</v>
      </c>
      <c r="E15" s="316">
        <f t="shared" si="0"/>
        <v>1040</v>
      </c>
      <c r="F15" s="314"/>
      <c r="G15" s="318">
        <f ca="1">DATA!$D$11/1000000</f>
        <v>0.1481267694</v>
      </c>
      <c r="H15" s="318">
        <f>C15*DATA!$D$5/1000000</f>
        <v>1.352988057266457</v>
      </c>
      <c r="I15" s="318">
        <f>(C15*DATA!$D$5*DATA!$D$7)/1000000</f>
        <v>3.044223128849528E-2</v>
      </c>
      <c r="J15" s="316">
        <f t="shared" ca="1" si="1"/>
        <v>1.5315570579549522</v>
      </c>
      <c r="K15" s="314"/>
      <c r="L15" s="316">
        <f>((D15*DATA!$D$23)/1000000)+((E15*DATA!$D$24)/1000000)</f>
        <v>1.8029856</v>
      </c>
      <c r="M15" s="316">
        <f t="shared" si="2"/>
        <v>1.8029856</v>
      </c>
      <c r="N15" s="316">
        <f t="shared" ca="1" si="6"/>
        <v>0.27142854204504774</v>
      </c>
      <c r="O15" s="315">
        <f>1/(1+'[93]Asumsi I'!$C$3)^(KKF!A15)</f>
        <v>0.4038832279793691</v>
      </c>
      <c r="P15" s="316">
        <f t="shared" ca="1" si="7"/>
        <v>0.10962543572688778</v>
      </c>
      <c r="Q15" s="316">
        <f t="shared" ca="1" si="9"/>
        <v>-3.4070024791186349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1248</v>
      </c>
      <c r="D16" s="316">
        <f t="shared" si="5"/>
        <v>208</v>
      </c>
      <c r="E16" s="316">
        <f t="shared" si="0"/>
        <v>1040</v>
      </c>
      <c r="F16" s="314"/>
      <c r="G16" s="318">
        <f ca="1">DATA!$D$11/1000000</f>
        <v>0.1481267694</v>
      </c>
      <c r="H16" s="318">
        <f>C16*DATA!$D$5/1000000</f>
        <v>1.352988057266457</v>
      </c>
      <c r="I16" s="318">
        <f>(C16*DATA!$D$5*DATA!$D$7)/1000000</f>
        <v>3.044223128849528E-2</v>
      </c>
      <c r="J16" s="316">
        <f t="shared" ca="1" si="1"/>
        <v>1.5315570579549522</v>
      </c>
      <c r="K16" s="314"/>
      <c r="L16" s="316">
        <f>((D16*DATA!$D$23)/1000000)+((E16*DATA!$D$24)/1000000)</f>
        <v>1.8029856</v>
      </c>
      <c r="M16" s="316">
        <f t="shared" si="2"/>
        <v>1.8029856</v>
      </c>
      <c r="N16" s="316">
        <f t="shared" ca="1" si="6"/>
        <v>0.27142854204504774</v>
      </c>
      <c r="O16" s="315">
        <f>1/(1+'[93]Asumsi I'!$C$3)^(KKF!A16)</f>
        <v>0.36061002498157957</v>
      </c>
      <c r="P16" s="316">
        <f t="shared" ca="1" si="7"/>
        <v>9.7879853327578384E-2</v>
      </c>
      <c r="Q16" s="316">
        <f t="shared" ca="1" si="9"/>
        <v>-3.3091226257910566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1248</v>
      </c>
      <c r="D17" s="316">
        <f t="shared" si="5"/>
        <v>208</v>
      </c>
      <c r="E17" s="316">
        <f t="shared" si="0"/>
        <v>1040</v>
      </c>
      <c r="F17" s="314"/>
      <c r="G17" s="318">
        <f ca="1">DATA!$D$11/1000000</f>
        <v>0.1481267694</v>
      </c>
      <c r="H17" s="318">
        <f>C17*DATA!$D$5/1000000</f>
        <v>1.352988057266457</v>
      </c>
      <c r="I17" s="318">
        <f>(C17*DATA!$D$5*DATA!$D$7)/1000000</f>
        <v>3.044223128849528E-2</v>
      </c>
      <c r="J17" s="316">
        <f t="shared" ca="1" si="1"/>
        <v>1.5315570579549522</v>
      </c>
      <c r="K17" s="314"/>
      <c r="L17" s="316">
        <f>((D17*DATA!$D$23)/1000000)+((E17*DATA!$D$24)/1000000)</f>
        <v>1.8029856</v>
      </c>
      <c r="M17" s="316">
        <f t="shared" si="2"/>
        <v>1.8029856</v>
      </c>
      <c r="N17" s="316">
        <f t="shared" ca="1" si="6"/>
        <v>0.27142854204504774</v>
      </c>
      <c r="O17" s="315">
        <f>1/(1+'[93]Asumsi I'!$C$3)^(KKF!A17)</f>
        <v>0.32197323659069599</v>
      </c>
      <c r="P17" s="316">
        <f t="shared" ca="1" si="7"/>
        <v>8.7392726185337832E-2</v>
      </c>
      <c r="Q17" s="316">
        <f t="shared" ca="1" si="9"/>
        <v>-3.2217298996057186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1248</v>
      </c>
      <c r="D18" s="316">
        <f t="shared" si="5"/>
        <v>208</v>
      </c>
      <c r="E18" s="316">
        <f t="shared" si="0"/>
        <v>1040</v>
      </c>
      <c r="F18" s="314"/>
      <c r="G18" s="318">
        <f ca="1">DATA!$D$11/1000000</f>
        <v>0.1481267694</v>
      </c>
      <c r="H18" s="318">
        <f>C18*DATA!$D$5/1000000</f>
        <v>1.352988057266457</v>
      </c>
      <c r="I18" s="318">
        <f>(C18*DATA!$D$5*DATA!$D$7)/1000000</f>
        <v>3.044223128849528E-2</v>
      </c>
      <c r="J18" s="316">
        <f t="shared" ca="1" si="1"/>
        <v>1.5315570579549522</v>
      </c>
      <c r="K18" s="314"/>
      <c r="L18" s="316">
        <f>((D18*DATA!$D$23)/1000000)+((E18*DATA!$D$24)/1000000)</f>
        <v>1.8029856</v>
      </c>
      <c r="M18" s="316">
        <f t="shared" si="2"/>
        <v>1.8029856</v>
      </c>
      <c r="N18" s="316">
        <f t="shared" ca="1" si="6"/>
        <v>0.27142854204504774</v>
      </c>
      <c r="O18" s="315">
        <f>1/(1+'[93]Asumsi I'!$C$3)^(KKF!A18)</f>
        <v>0.28747610409883567</v>
      </c>
      <c r="P18" s="316">
        <f t="shared" ca="1" si="7"/>
        <v>7.8029219808337338E-2</v>
      </c>
      <c r="Q18" s="316">
        <f t="shared" ca="1" si="9"/>
        <v>-3.1437006797973814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1248</v>
      </c>
      <c r="D19" s="316">
        <f t="shared" si="5"/>
        <v>208</v>
      </c>
      <c r="E19" s="316">
        <f t="shared" si="0"/>
        <v>1040</v>
      </c>
      <c r="F19" s="314"/>
      <c r="G19" s="318">
        <f ca="1">DATA!$D$11/1000000</f>
        <v>0.1481267694</v>
      </c>
      <c r="H19" s="318">
        <f>C19*DATA!$D$5/1000000</f>
        <v>1.352988057266457</v>
      </c>
      <c r="I19" s="318">
        <f>(C19*DATA!$D$5*DATA!$D$7)/1000000</f>
        <v>3.044223128849528E-2</v>
      </c>
      <c r="J19" s="316">
        <f t="shared" ca="1" si="1"/>
        <v>1.5315570579549522</v>
      </c>
      <c r="K19" s="314"/>
      <c r="L19" s="316">
        <f>((D19*DATA!$D$23)/1000000)+((E19*DATA!$D$24)/1000000)</f>
        <v>1.8029856</v>
      </c>
      <c r="M19" s="316">
        <f t="shared" si="2"/>
        <v>1.8029856</v>
      </c>
      <c r="N19" s="316">
        <f t="shared" ca="1" si="6"/>
        <v>0.27142854204504774</v>
      </c>
      <c r="O19" s="315">
        <f>1/(1+'[93]Asumsi I'!$C$3)^(KKF!A19)</f>
        <v>0.25667509294538904</v>
      </c>
      <c r="P19" s="316">
        <f t="shared" ca="1" si="7"/>
        <v>6.9668946257444062E-2</v>
      </c>
      <c r="Q19" s="316">
        <f t="shared" ca="1" si="9"/>
        <v>-3.0740317335399374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1248</v>
      </c>
      <c r="D20" s="316">
        <f t="shared" si="5"/>
        <v>208</v>
      </c>
      <c r="E20" s="316">
        <f t="shared" si="0"/>
        <v>1040</v>
      </c>
      <c r="F20" s="314"/>
      <c r="G20" s="318">
        <f ca="1">DATA!$D$11/1000000</f>
        <v>0.1481267694</v>
      </c>
      <c r="H20" s="318">
        <f>C20*DATA!$D$5/1000000</f>
        <v>1.352988057266457</v>
      </c>
      <c r="I20" s="318">
        <f>(C20*DATA!$D$5*DATA!$D$7)/1000000</f>
        <v>3.044223128849528E-2</v>
      </c>
      <c r="J20" s="316">
        <f t="shared" ca="1" si="1"/>
        <v>1.5315570579549522</v>
      </c>
      <c r="K20" s="314"/>
      <c r="L20" s="316">
        <f>((D20*DATA!$D$23)/1000000)+((E20*DATA!$D$24)/1000000)</f>
        <v>1.8029856</v>
      </c>
      <c r="M20" s="316">
        <f t="shared" si="2"/>
        <v>1.8029856</v>
      </c>
      <c r="N20" s="316">
        <f t="shared" ca="1" si="6"/>
        <v>0.27142854204504774</v>
      </c>
      <c r="O20" s="315">
        <f>1/(1+'[93]Asumsi I'!$C$3)^(KKF!A20)</f>
        <v>0.22917419012981158</v>
      </c>
      <c r="P20" s="316">
        <f t="shared" ca="1" si="7"/>
        <v>6.2204416301289325E-2</v>
      </c>
      <c r="Q20" s="316">
        <f t="shared" ca="1" si="9"/>
        <v>-3.011827317238648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1248</v>
      </c>
      <c r="D21" s="316">
        <f t="shared" si="5"/>
        <v>208</v>
      </c>
      <c r="E21" s="316">
        <f t="shared" si="0"/>
        <v>1040</v>
      </c>
      <c r="F21" s="314"/>
      <c r="G21" s="318">
        <f ca="1">DATA!$D$11/1000000</f>
        <v>0.1481267694</v>
      </c>
      <c r="H21" s="318">
        <f>C21*DATA!$D$5/1000000</f>
        <v>1.352988057266457</v>
      </c>
      <c r="I21" s="318">
        <f>(C21*DATA!$D$5*DATA!$D$7)/1000000</f>
        <v>3.044223128849528E-2</v>
      </c>
      <c r="J21" s="316">
        <f t="shared" ca="1" si="1"/>
        <v>1.5315570579549522</v>
      </c>
      <c r="K21" s="314"/>
      <c r="L21" s="316">
        <f>((D21*DATA!$D$23)/1000000)+((E21*DATA!$D$24)/1000000)</f>
        <v>1.8029856</v>
      </c>
      <c r="M21" s="316">
        <f t="shared" si="2"/>
        <v>1.8029856</v>
      </c>
      <c r="N21" s="316">
        <f t="shared" ca="1" si="6"/>
        <v>0.27142854204504774</v>
      </c>
      <c r="O21" s="315">
        <f>1/(1+'[93]Asumsi I'!$C$3)^(KKF!A21)</f>
        <v>0.20461981261590317</v>
      </c>
      <c r="P21" s="316">
        <f t="shared" ca="1" si="7"/>
        <v>5.5539657411865465E-2</v>
      </c>
      <c r="Q21" s="316">
        <f t="shared" ca="1" si="9"/>
        <v>-2.9562876598267827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1248</v>
      </c>
      <c r="D22" s="316">
        <f t="shared" si="5"/>
        <v>208</v>
      </c>
      <c r="E22" s="316">
        <f t="shared" si="0"/>
        <v>1040</v>
      </c>
      <c r="F22" s="314"/>
      <c r="G22" s="318">
        <f ca="1">DATA!$D$11/1000000</f>
        <v>0.1481267694</v>
      </c>
      <c r="H22" s="318">
        <f>C22*DATA!$D$5/1000000</f>
        <v>1.352988057266457</v>
      </c>
      <c r="I22" s="318">
        <f>(C22*DATA!$D$5*DATA!$D$7)/1000000</f>
        <v>3.044223128849528E-2</v>
      </c>
      <c r="J22" s="316">
        <f t="shared" ca="1" si="1"/>
        <v>1.5315570579549522</v>
      </c>
      <c r="K22" s="314"/>
      <c r="L22" s="316">
        <f>((D22*DATA!$D$23)/1000000)+((E22*DATA!$D$24)/1000000)</f>
        <v>1.8029856</v>
      </c>
      <c r="M22" s="316">
        <f t="shared" si="2"/>
        <v>1.8029856</v>
      </c>
      <c r="N22" s="316">
        <f t="shared" ca="1" si="6"/>
        <v>0.27142854204504774</v>
      </c>
      <c r="O22" s="315">
        <f>1/(1+'[93]Asumsi I'!$C$3)^(KKF!A22)</f>
        <v>0.18269626126419927</v>
      </c>
      <c r="P22" s="316">
        <f t="shared" ca="1" si="7"/>
        <v>4.9588979832022741E-2</v>
      </c>
      <c r="Q22" s="316">
        <f t="shared" ca="1" si="9"/>
        <v>-2.9066986799947601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1248</v>
      </c>
      <c r="D23" s="316">
        <f t="shared" si="5"/>
        <v>208</v>
      </c>
      <c r="E23" s="316">
        <f t="shared" si="0"/>
        <v>1040</v>
      </c>
      <c r="F23" s="314"/>
      <c r="G23" s="318">
        <f ca="1">DATA!$D$11/1000000</f>
        <v>0.1481267694</v>
      </c>
      <c r="H23" s="318">
        <f>C23*DATA!$D$5/1000000</f>
        <v>1.352988057266457</v>
      </c>
      <c r="I23" s="318">
        <f>(C23*DATA!$D$5*DATA!$D$7)/1000000</f>
        <v>3.044223128849528E-2</v>
      </c>
      <c r="J23" s="316">
        <f t="shared" ca="1" si="1"/>
        <v>1.5315570579549522</v>
      </c>
      <c r="K23" s="314"/>
      <c r="L23" s="316">
        <f>((D23*DATA!$D$23)/1000000)+((E23*DATA!$D$24)/1000000)</f>
        <v>1.8029856</v>
      </c>
      <c r="M23" s="316">
        <f t="shared" si="2"/>
        <v>1.8029856</v>
      </c>
      <c r="N23" s="316">
        <f t="shared" ca="1" si="6"/>
        <v>0.27142854204504774</v>
      </c>
      <c r="O23" s="315">
        <f>1/(1+'[93]Asumsi I'!$C$3)^(KKF!A23)</f>
        <v>0.16312166184303503</v>
      </c>
      <c r="P23" s="316">
        <f t="shared" ca="1" si="7"/>
        <v>4.427587485002029E-2</v>
      </c>
      <c r="Q23" s="316">
        <f t="shared" ca="1" si="9"/>
        <v>-2.8624228051447398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1248</v>
      </c>
      <c r="D24" s="316">
        <f t="shared" si="5"/>
        <v>208</v>
      </c>
      <c r="E24" s="316">
        <f t="shared" si="0"/>
        <v>1040</v>
      </c>
      <c r="F24" s="314"/>
      <c r="G24" s="318">
        <f ca="1">DATA!$D$11/1000000</f>
        <v>0.1481267694</v>
      </c>
      <c r="H24" s="318">
        <f>C24*DATA!$D$5/1000000</f>
        <v>1.352988057266457</v>
      </c>
      <c r="I24" s="318">
        <f>(C24*DATA!$D$5*DATA!$D$7)/1000000</f>
        <v>3.044223128849528E-2</v>
      </c>
      <c r="J24" s="316">
        <f t="shared" ca="1" si="1"/>
        <v>1.5315570579549522</v>
      </c>
      <c r="K24" s="314"/>
      <c r="L24" s="316">
        <f>((D24*DATA!$D$23)/1000000)+((E24*DATA!$D$24)/1000000)</f>
        <v>1.8029856</v>
      </c>
      <c r="M24" s="316">
        <f t="shared" si="2"/>
        <v>1.8029856</v>
      </c>
      <c r="N24" s="316">
        <f t="shared" ca="1" si="6"/>
        <v>0.27142854204504774</v>
      </c>
      <c r="O24" s="315">
        <f>1/(1+'[93]Asumsi I'!$C$3)^(KKF!A24)</f>
        <v>0.14564434093128129</v>
      </c>
      <c r="P24" s="316">
        <f t="shared" ca="1" si="7"/>
        <v>3.953203111608955E-2</v>
      </c>
      <c r="Q24" s="316">
        <f t="shared" ca="1" si="9"/>
        <v>-2.8228907740286502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1248</v>
      </c>
      <c r="D25" s="316">
        <f t="shared" si="5"/>
        <v>208</v>
      </c>
      <c r="E25" s="316">
        <f t="shared" si="0"/>
        <v>1040</v>
      </c>
      <c r="F25" s="314"/>
      <c r="G25" s="318">
        <f ca="1">DATA!$D$11/1000000</f>
        <v>0.1481267694</v>
      </c>
      <c r="H25" s="318">
        <f>C25*DATA!$D$5/1000000</f>
        <v>1.352988057266457</v>
      </c>
      <c r="I25" s="318">
        <f>(C25*DATA!$D$5*DATA!$D$7)/1000000</f>
        <v>3.044223128849528E-2</v>
      </c>
      <c r="J25" s="316">
        <f t="shared" ca="1" si="1"/>
        <v>1.5315570579549522</v>
      </c>
      <c r="K25" s="314"/>
      <c r="L25" s="316">
        <f>((D25*DATA!$D$23)/1000000)+((E25*DATA!$D$24)/1000000)</f>
        <v>1.8029856</v>
      </c>
      <c r="M25" s="316">
        <f t="shared" si="2"/>
        <v>1.8029856</v>
      </c>
      <c r="N25" s="316">
        <f t="shared" ca="1" si="6"/>
        <v>0.27142854204504774</v>
      </c>
      <c r="O25" s="315">
        <f>1/(1+'[93]Asumsi I'!$C$3)^(KKF!A25)</f>
        <v>0.13003959011721541</v>
      </c>
      <c r="P25" s="316">
        <f t="shared" ca="1" si="7"/>
        <v>3.5296456353651376E-2</v>
      </c>
      <c r="Q25" s="316">
        <f t="shared" ca="1" si="9"/>
        <v>-2.7875943176749987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1248</v>
      </c>
      <c r="D26" s="316">
        <f t="shared" si="5"/>
        <v>208</v>
      </c>
      <c r="E26" s="316">
        <f t="shared" si="0"/>
        <v>1040</v>
      </c>
      <c r="F26" s="314"/>
      <c r="G26" s="318">
        <f ca="1">DATA!$D$11/1000000</f>
        <v>0.1481267694</v>
      </c>
      <c r="H26" s="318">
        <f>C26*DATA!$D$5/1000000</f>
        <v>1.352988057266457</v>
      </c>
      <c r="I26" s="318">
        <f>(C26*DATA!$D$5*DATA!$D$7)/1000000</f>
        <v>3.044223128849528E-2</v>
      </c>
      <c r="J26" s="316">
        <f t="shared" ca="1" si="1"/>
        <v>1.5315570579549522</v>
      </c>
      <c r="K26" s="314"/>
      <c r="L26" s="316">
        <f>((D26*DATA!$D$23)/1000000)+((E26*DATA!$D$24)/1000000)</f>
        <v>1.8029856</v>
      </c>
      <c r="M26" s="316">
        <f t="shared" si="2"/>
        <v>1.8029856</v>
      </c>
      <c r="N26" s="316">
        <f t="shared" ca="1" si="6"/>
        <v>0.27142854204504774</v>
      </c>
      <c r="O26" s="315">
        <f>1/(1+'[93]Asumsi I'!$C$3)^(KKF!A26)</f>
        <v>0.1161067768903709</v>
      </c>
      <c r="P26" s="316">
        <f t="shared" ca="1" si="7"/>
        <v>3.1514693172903015E-2</v>
      </c>
      <c r="Q26" s="316">
        <f t="shared" ca="1" si="9"/>
        <v>-2.7560796245020955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1248</v>
      </c>
      <c r="D27" s="316">
        <f t="shared" si="5"/>
        <v>208</v>
      </c>
      <c r="E27" s="316">
        <f t="shared" si="0"/>
        <v>1040</v>
      </c>
      <c r="F27" s="314"/>
      <c r="G27" s="318">
        <f ca="1">DATA!$D$11/1000000</f>
        <v>0.1481267694</v>
      </c>
      <c r="H27" s="318">
        <f>C27*DATA!$D$5/1000000</f>
        <v>1.352988057266457</v>
      </c>
      <c r="I27" s="318">
        <f>(C27*DATA!$D$5*DATA!$D$7)/1000000</f>
        <v>3.044223128849528E-2</v>
      </c>
      <c r="J27" s="316">
        <f t="shared" ca="1" si="1"/>
        <v>1.5315570579549522</v>
      </c>
      <c r="K27" s="314"/>
      <c r="L27" s="316">
        <f>((D27*DATA!$D$23)/1000000)+((E27*DATA!$D$24)/1000000)</f>
        <v>1.8029856</v>
      </c>
      <c r="M27" s="316">
        <f t="shared" si="2"/>
        <v>1.8029856</v>
      </c>
      <c r="N27" s="316">
        <f t="shared" ca="1" si="6"/>
        <v>0.27142854204504774</v>
      </c>
      <c r="O27" s="315">
        <f>1/(1+'[93]Asumsi I'!$C$3)^(KKF!A27)</f>
        <v>0.1036667650806883</v>
      </c>
      <c r="P27" s="316">
        <f t="shared" ca="1" si="7"/>
        <v>2.8138118904377691E-2</v>
      </c>
      <c r="Q27" s="316">
        <f t="shared" ca="1" si="9"/>
        <v>-2.7279415055977179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1248</v>
      </c>
      <c r="D28" s="316">
        <f t="shared" si="5"/>
        <v>208</v>
      </c>
      <c r="E28" s="316">
        <f t="shared" si="0"/>
        <v>1040</v>
      </c>
      <c r="F28" s="314"/>
      <c r="G28" s="318">
        <f ca="1">DATA!$D$11/1000000</f>
        <v>0.1481267694</v>
      </c>
      <c r="H28" s="318">
        <f>C28*DATA!$D$5/1000000</f>
        <v>1.352988057266457</v>
      </c>
      <c r="I28" s="318">
        <f>(C28*DATA!$D$5*DATA!$D$7)/1000000</f>
        <v>3.044223128849528E-2</v>
      </c>
      <c r="J28" s="316">
        <f t="shared" ca="1" si="1"/>
        <v>1.5315570579549522</v>
      </c>
      <c r="K28" s="314"/>
      <c r="L28" s="316">
        <f>((D28*DATA!$D$23)/1000000)+((E28*DATA!$D$24)/1000000)</f>
        <v>1.8029856</v>
      </c>
      <c r="M28" s="316">
        <f t="shared" si="2"/>
        <v>1.8029856</v>
      </c>
      <c r="N28" s="316">
        <f t="shared" ca="1" si="6"/>
        <v>0.27142854204504774</v>
      </c>
      <c r="O28" s="315">
        <f>1/(1+'[93]Asumsi I'!$C$3)^(KKF!A28)</f>
        <v>9.2559611679185971E-2</v>
      </c>
      <c r="P28" s="316">
        <f t="shared" ca="1" si="7"/>
        <v>2.512332045033722E-2</v>
      </c>
      <c r="Q28" s="316">
        <f t="shared" ca="1" si="9"/>
        <v>-2.7028181851473807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1248</v>
      </c>
      <c r="D29" s="316">
        <f t="shared" si="5"/>
        <v>208</v>
      </c>
      <c r="E29" s="316">
        <f t="shared" si="0"/>
        <v>1040</v>
      </c>
      <c r="F29" s="314"/>
      <c r="G29" s="318">
        <f ca="1">DATA!$D$11/1000000</f>
        <v>0.1481267694</v>
      </c>
      <c r="H29" s="318">
        <f>C29*DATA!$D$5/1000000</f>
        <v>1.352988057266457</v>
      </c>
      <c r="I29" s="318">
        <f>(C29*DATA!$D$5*DATA!$D$7)/1000000</f>
        <v>3.044223128849528E-2</v>
      </c>
      <c r="J29" s="316">
        <f t="shared" ca="1" si="1"/>
        <v>1.5315570579549522</v>
      </c>
      <c r="K29" s="314"/>
      <c r="L29" s="316">
        <f>((D29*DATA!$D$23)/1000000)+((E29*DATA!$D$24)/1000000)</f>
        <v>1.8029856</v>
      </c>
      <c r="M29" s="316">
        <f t="shared" si="2"/>
        <v>1.8029856</v>
      </c>
      <c r="N29" s="316">
        <f t="shared" ca="1" si="6"/>
        <v>0.27142854204504774</v>
      </c>
      <c r="O29" s="315">
        <f>1/(1+'[93]Asumsi I'!$C$3)^(KKF!A29)</f>
        <v>8.2642510427844609E-2</v>
      </c>
      <c r="P29" s="316">
        <f t="shared" ca="1" si="7"/>
        <v>2.2431536116372518E-2</v>
      </c>
      <c r="Q29" s="316">
        <f t="shared" ca="1" si="9"/>
        <v>-2.680386649031008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1248</v>
      </c>
      <c r="D30" s="316">
        <f t="shared" si="5"/>
        <v>208</v>
      </c>
      <c r="E30" s="316">
        <f t="shared" si="0"/>
        <v>1040</v>
      </c>
      <c r="F30" s="314"/>
      <c r="G30" s="318">
        <f ca="1">DATA!$D$11/1000000</f>
        <v>0.1481267694</v>
      </c>
      <c r="H30" s="318">
        <f>C30*DATA!$D$5/1000000</f>
        <v>1.352988057266457</v>
      </c>
      <c r="I30" s="318">
        <f>(C30*DATA!$D$5*DATA!$D$7)/1000000</f>
        <v>3.044223128849528E-2</v>
      </c>
      <c r="J30" s="316">
        <f t="shared" ca="1" si="1"/>
        <v>1.5315570579549522</v>
      </c>
      <c r="K30" s="314"/>
      <c r="L30" s="316">
        <f>((D30*DATA!$D$23)/1000000)+((E30*DATA!$D$24)/1000000)</f>
        <v>1.8029856</v>
      </c>
      <c r="M30" s="316">
        <f t="shared" si="2"/>
        <v>1.8029856</v>
      </c>
      <c r="N30" s="316">
        <f t="shared" ca="1" si="6"/>
        <v>0.27142854204504774</v>
      </c>
      <c r="O30" s="315">
        <f>1/(1+'[93]Asumsi I'!$C$3)^(KKF!A30)</f>
        <v>7.3787955739146982E-2</v>
      </c>
      <c r="P30" s="316">
        <f t="shared" ca="1" si="7"/>
        <v>2.0028157246761179E-2</v>
      </c>
      <c r="Q30" s="316">
        <f t="shared" ca="1" si="9"/>
        <v>-2.6603584917842467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1248</v>
      </c>
      <c r="D31" s="316">
        <f t="shared" si="5"/>
        <v>208</v>
      </c>
      <c r="E31" s="316">
        <f t="shared" si="0"/>
        <v>1040</v>
      </c>
      <c r="F31" s="314"/>
      <c r="G31" s="318">
        <f ca="1">DATA!$D$11/1000000</f>
        <v>0.1481267694</v>
      </c>
      <c r="H31" s="318">
        <f>C31*DATA!$D$5/1000000</f>
        <v>1.352988057266457</v>
      </c>
      <c r="I31" s="318">
        <f>(C31*DATA!$D$5*DATA!$D$7)/1000000</f>
        <v>3.044223128849528E-2</v>
      </c>
      <c r="J31" s="316">
        <f t="shared" ca="1" si="1"/>
        <v>1.5315570579549522</v>
      </c>
      <c r="K31" s="314"/>
      <c r="L31" s="316">
        <f>((D31*DATA!$D$23)/1000000)+((E31*DATA!$D$24)/1000000)</f>
        <v>1.8029856</v>
      </c>
      <c r="M31" s="316">
        <f t="shared" si="2"/>
        <v>1.8029856</v>
      </c>
      <c r="N31" s="316">
        <f t="shared" ca="1" si="6"/>
        <v>0.27142854204504774</v>
      </c>
      <c r="O31" s="315">
        <f>1/(1+'[93]Asumsi I'!$C$3)^(KKF!A31)</f>
        <v>6.5882103338524081E-2</v>
      </c>
      <c r="P31" s="316">
        <f t="shared" ca="1" si="7"/>
        <v>1.7882283256036764E-2</v>
      </c>
      <c r="Q31" s="316">
        <f ca="1">Q30+P31</f>
        <v>-2.6424762085282101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1248</v>
      </c>
      <c r="D32" s="316">
        <f t="shared" si="5"/>
        <v>208</v>
      </c>
      <c r="E32" s="316">
        <f t="shared" si="0"/>
        <v>1040</v>
      </c>
      <c r="F32" s="314"/>
      <c r="G32" s="318">
        <f ca="1">DATA!$D$11/1000000</f>
        <v>0.1481267694</v>
      </c>
      <c r="H32" s="318">
        <f>C32*DATA!$D$5/1000000</f>
        <v>1.352988057266457</v>
      </c>
      <c r="I32" s="318">
        <f>(C32*DATA!$D$5*DATA!$D$7)/1000000</f>
        <v>3.044223128849528E-2</v>
      </c>
      <c r="J32" s="316">
        <f t="shared" ca="1" si="1"/>
        <v>1.5315570579549522</v>
      </c>
      <c r="K32" s="314"/>
      <c r="L32" s="316">
        <f>((D32*DATA!$D$23)/1000000)+((E32*DATA!$D$24)/1000000)</f>
        <v>1.8029856</v>
      </c>
      <c r="M32" s="316">
        <f t="shared" si="2"/>
        <v>1.8029856</v>
      </c>
      <c r="N32" s="316">
        <f t="shared" ca="1" si="6"/>
        <v>0.27142854204504774</v>
      </c>
      <c r="O32" s="315">
        <f>1/(1+'[93]Asumsi I'!$C$3)^(KKF!A32)</f>
        <v>5.8823306552253637E-2</v>
      </c>
      <c r="P32" s="316">
        <f t="shared" ca="1" si="7"/>
        <v>1.5966324335747108E-2</v>
      </c>
      <c r="Q32" s="316">
        <f ca="1">Q31+P32</f>
        <v>-2.6265098841924628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9" t="s">
        <v>1374</v>
      </c>
      <c r="G33" s="609"/>
      <c r="H33" s="609"/>
      <c r="I33" s="324"/>
      <c r="J33" s="325">
        <f ca="1">SUM(J7:J32)</f>
        <v>46.765678547310472</v>
      </c>
      <c r="K33" s="609" t="s">
        <v>1375</v>
      </c>
      <c r="L33" s="609"/>
      <c r="M33" s="325">
        <f>SUM(M7:M32)</f>
        <v>48.796030399999992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31.23014269085153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1.043415425922571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-2.3450981108861275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2.9453010096385901E-2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4" priority="1" stopIfTrue="1" operator="greaterThanOrEqual">
      <formula>$F$7</formula>
    </cfRule>
    <cfRule type="cellIs" dxfId="13" priority="2" stopIfTrue="1" operator="lessThan">
      <formula>$F$7</formula>
    </cfRule>
  </conditionalFormatting>
  <conditionalFormatting sqref="Q7:Q32">
    <cfRule type="cellIs" dxfId="12" priority="3" operator="lessThan">
      <formula>0</formula>
    </cfRule>
    <cfRule type="cellIs" dxfId="11" priority="4" operator="lessThan">
      <formula>0</formula>
    </cfRule>
    <cfRule type="cellIs" dxfId="10" priority="5" operator="lessThan">
      <formula>-6395.81</formula>
    </cfRule>
    <cfRule type="cellIs" dxfId="9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74"/>
  <sheetViews>
    <sheetView showGridLines="0" zoomScale="70" zoomScaleNormal="70" zoomScaleSheetLayoutView="70" workbookViewId="0">
      <pane ySplit="13" topLeftCell="A14" activePane="bottomLeft" state="frozen"/>
      <selection activeCell="H1093" sqref="H1093"/>
      <selection pane="bottomLeft" activeCell="O37" sqref="O37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2" t="s">
        <v>1036</v>
      </c>
      <c r="P3" s="612"/>
      <c r="Q3" s="346"/>
      <c r="T3" s="344"/>
      <c r="U3" s="345" t="s">
        <v>1041</v>
      </c>
      <c r="V3" s="344"/>
    </row>
    <row r="4" spans="1:22" ht="15.75" customHeight="1">
      <c r="B4" s="613" t="s">
        <v>1023</v>
      </c>
      <c r="C4" s="613"/>
      <c r="D4" s="613"/>
      <c r="E4" s="613"/>
      <c r="F4" s="613"/>
      <c r="G4" s="613"/>
      <c r="H4" s="613"/>
      <c r="I4" s="613"/>
      <c r="J4" s="613"/>
      <c r="K4" s="613"/>
      <c r="O4" s="612"/>
      <c r="P4" s="612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9" t="str">
        <f>DATA!D14</f>
        <v>KOS GOLDYS</v>
      </c>
      <c r="H6" s="629"/>
      <c r="I6" s="629"/>
      <c r="J6" s="629"/>
      <c r="K6" s="629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1626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15" t="s">
        <v>0</v>
      </c>
      <c r="C11" s="617" t="s">
        <v>1</v>
      </c>
      <c r="D11" s="620" t="s">
        <v>42</v>
      </c>
      <c r="E11" s="620" t="s">
        <v>43</v>
      </c>
      <c r="F11" s="620" t="s">
        <v>2</v>
      </c>
      <c r="G11" s="622" t="s">
        <v>41</v>
      </c>
      <c r="H11" s="620" t="s">
        <v>3</v>
      </c>
      <c r="I11" s="620"/>
      <c r="J11" s="620"/>
      <c r="K11" s="639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16"/>
      <c r="C12" s="618"/>
      <c r="D12" s="621"/>
      <c r="E12" s="621"/>
      <c r="F12" s="621"/>
      <c r="G12" s="623"/>
      <c r="H12" s="625" t="s">
        <v>46</v>
      </c>
      <c r="I12" s="625" t="s">
        <v>5</v>
      </c>
      <c r="J12" s="621" t="s">
        <v>47</v>
      </c>
      <c r="K12" s="640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16"/>
      <c r="C13" s="619"/>
      <c r="D13" s="621"/>
      <c r="E13" s="621"/>
      <c r="F13" s="621"/>
      <c r="G13" s="624"/>
      <c r="H13" s="626"/>
      <c r="I13" s="626"/>
      <c r="J13" s="621"/>
      <c r="K13" s="640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1</v>
      </c>
      <c r="C17" s="109" t="s">
        <v>101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1</v>
      </c>
      <c r="G17" s="360">
        <f ca="1">IF(ISERROR(OFFSET('HARGA SATUAN'!$I$6,MATCH(RAB!C17,'HARGA SATUAN'!$C$7:$C$1492,0),0)),0,OFFSET('HARGA SATUAN'!$I$6,MATCH(RAB!C17,'HARGA SATUAN'!$C$7:$C$1492,0),0))</f>
        <v>3382600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3382600</v>
      </c>
      <c r="J17" s="361">
        <f t="shared" ref="J17" ca="1" si="10">IF(D17="JASA",G17*F17,0)</f>
        <v>0</v>
      </c>
      <c r="K17" s="362">
        <f t="shared" ref="K17" ca="1" si="11">SUM(H17:J17)</f>
        <v>3382600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/>
      <c r="C18" s="109"/>
      <c r="D18" s="358"/>
      <c r="E18" s="359"/>
      <c r="F18" s="368"/>
      <c r="G18" s="360"/>
      <c r="H18" s="361"/>
      <c r="I18" s="361"/>
      <c r="J18" s="361"/>
      <c r="K18" s="362"/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66" t="s">
        <v>1613</v>
      </c>
      <c r="C19" s="367" t="s">
        <v>1619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68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ref="H19" ca="1" si="12">IF(OR(D19="MDU",D19="MDU-KD"),(IF($O$3="RAB NON MDU","PLN KD",G19*F19)),0)</f>
        <v>0</v>
      </c>
      <c r="I19" s="361">
        <f t="shared" ref="I19" ca="1" si="13">IF(D19="HDW",G19*F19,0)</f>
        <v>0</v>
      </c>
      <c r="J19" s="361">
        <f t="shared" ref="J19" ca="1" si="14">IF(D19="JASA",G19*F19,0)</f>
        <v>0</v>
      </c>
      <c r="K19" s="362">
        <f t="shared" ref="K19" ca="1" si="15">SUM(H19:J19)</f>
        <v>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65" customFormat="1">
      <c r="A20" s="336"/>
      <c r="B20" s="498"/>
      <c r="C20" s="499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ref="H20:H27" ca="1" si="16">IF(OR(D20="MDU",D20="MDU-KD"),(IF($O$3="RAB NON MDU","PLN KD",G20*F20)),0)</f>
        <v>0</v>
      </c>
      <c r="I20" s="361">
        <f t="shared" ref="I20:I27" ca="1" si="17">IF(D20="HDW",G20*F20,0)</f>
        <v>0</v>
      </c>
      <c r="J20" s="361">
        <f t="shared" ref="J20:J27" ca="1" si="18">IF(D20="JASA",G20*F20,0)</f>
        <v>0</v>
      </c>
      <c r="K20" s="362">
        <f t="shared" ref="K20:K27" ca="1" si="19">SUM(H20:J20)</f>
        <v>0</v>
      </c>
      <c r="L20" s="342"/>
      <c r="M20" s="342"/>
      <c r="N20" s="369"/>
      <c r="O20" s="344"/>
      <c r="P20" s="397"/>
      <c r="Q20" s="344"/>
    </row>
    <row r="21" spans="1:22" s="365" customFormat="1">
      <c r="A21" s="336"/>
      <c r="B21" s="510" t="s">
        <v>1035</v>
      </c>
      <c r="C21" s="511" t="s">
        <v>1620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501">
        <v>2</v>
      </c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6"/>
        <v>0</v>
      </c>
      <c r="I21" s="361">
        <f t="shared" ca="1" si="17"/>
        <v>0</v>
      </c>
      <c r="J21" s="361">
        <f t="shared" ca="1" si="18"/>
        <v>0</v>
      </c>
      <c r="K21" s="362">
        <f t="shared" ca="1" si="19"/>
        <v>0</v>
      </c>
      <c r="L21" s="342"/>
      <c r="M21" s="342"/>
      <c r="N21" s="369"/>
      <c r="O21" s="344"/>
      <c r="P21" s="397"/>
      <c r="Q21" s="344"/>
    </row>
    <row r="22" spans="1:22" s="365" customFormat="1">
      <c r="A22" s="336"/>
      <c r="B22" s="510">
        <v>1</v>
      </c>
      <c r="C22" s="511" t="s">
        <v>595</v>
      </c>
      <c r="D22" s="358" t="str">
        <f ca="1">IF(ISERROR(OFFSET('HARGA SATUAN'!$D$6,MATCH(RAB!C22,'HARGA SATUAN'!$C$7:$C$1492,0),0)),"",OFFSET('HARGA SATUAN'!$D$6,MATCH(RAB!C22,'HARGA SATUAN'!$C$7:$C$1492,0),0))</f>
        <v>HDW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501">
        <f>F21*1</f>
        <v>2</v>
      </c>
      <c r="G22" s="360">
        <f ca="1">IF(ISERROR(OFFSET('HARGA SATUAN'!$I$6,MATCH(RAB!C22,'HARGA SATUAN'!$C$7:$C$1492,0),0)),0,OFFSET('HARGA SATUAN'!$I$6,MATCH(RAB!C22,'HARGA SATUAN'!$C$7:$C$1492,0),0))</f>
        <v>78500</v>
      </c>
      <c r="H22" s="361">
        <f t="shared" ca="1" si="16"/>
        <v>0</v>
      </c>
      <c r="I22" s="361">
        <f t="shared" ca="1" si="17"/>
        <v>157000</v>
      </c>
      <c r="J22" s="361">
        <f t="shared" ca="1" si="18"/>
        <v>0</v>
      </c>
      <c r="K22" s="362">
        <f t="shared" ca="1" si="19"/>
        <v>157000</v>
      </c>
      <c r="L22" s="342"/>
      <c r="M22" s="342"/>
      <c r="N22" s="369"/>
      <c r="O22" s="344"/>
      <c r="P22" s="397"/>
      <c r="Q22" s="344"/>
    </row>
    <row r="23" spans="1:22" s="365" customFormat="1">
      <c r="A23" s="336"/>
      <c r="B23" s="510">
        <v>2</v>
      </c>
      <c r="C23" s="511" t="s">
        <v>229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501">
        <f>F21*1</f>
        <v>2</v>
      </c>
      <c r="G23" s="360">
        <f ca="1">IF(ISERROR(OFFSET('HARGA SATUAN'!$I$6,MATCH(RAB!C23,'HARGA SATUAN'!$C$7:$C$1492,0),0)),0,OFFSET('HARGA SATUAN'!$I$6,MATCH(RAB!C23,'HARGA SATUAN'!$C$7:$C$1492,0),0))</f>
        <v>4212</v>
      </c>
      <c r="H23" s="361">
        <f t="shared" ca="1" si="16"/>
        <v>0</v>
      </c>
      <c r="I23" s="361">
        <f t="shared" ca="1" si="17"/>
        <v>8424</v>
      </c>
      <c r="J23" s="361">
        <f t="shared" ca="1" si="18"/>
        <v>0</v>
      </c>
      <c r="K23" s="362">
        <f t="shared" ca="1" si="19"/>
        <v>8424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510">
        <v>3</v>
      </c>
      <c r="C24" s="511" t="s">
        <v>266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Mtr</v>
      </c>
      <c r="F24" s="501">
        <f>F21*1</f>
        <v>2</v>
      </c>
      <c r="G24" s="360">
        <f ca="1">IF(ISERROR(OFFSET('HARGA SATUAN'!$I$6,MATCH(RAB!C24,'HARGA SATUAN'!$C$7:$C$1492,0),0)),0,OFFSET('HARGA SATUAN'!$I$6,MATCH(RAB!C24,'HARGA SATUAN'!$C$7:$C$1492,0),0))</f>
        <v>23310</v>
      </c>
      <c r="H24" s="361">
        <f t="shared" ca="1" si="16"/>
        <v>0</v>
      </c>
      <c r="I24" s="361">
        <f t="shared" ca="1" si="17"/>
        <v>46620</v>
      </c>
      <c r="J24" s="361">
        <f t="shared" ca="1" si="18"/>
        <v>0</v>
      </c>
      <c r="K24" s="362">
        <f t="shared" ca="1" si="19"/>
        <v>46620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510">
        <v>4</v>
      </c>
      <c r="C25" s="511" t="s">
        <v>35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501">
        <f>F21*1</f>
        <v>2</v>
      </c>
      <c r="G25" s="360">
        <f ca="1">IF(ISERROR(OFFSET('HARGA SATUAN'!$I$6,MATCH(RAB!C25,'HARGA SATUAN'!$C$7:$C$1492,0),0)),0,OFFSET('HARGA SATUAN'!$I$6,MATCH(RAB!C25,'HARGA SATUAN'!$C$7:$C$1492,0),0))</f>
        <v>2300</v>
      </c>
      <c r="H25" s="361">
        <f t="shared" ca="1" si="16"/>
        <v>0</v>
      </c>
      <c r="I25" s="361">
        <f t="shared" ca="1" si="17"/>
        <v>4600</v>
      </c>
      <c r="J25" s="361">
        <f t="shared" ca="1" si="18"/>
        <v>0</v>
      </c>
      <c r="K25" s="362">
        <f t="shared" ca="1" si="19"/>
        <v>4600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510">
        <v>5</v>
      </c>
      <c r="C26" s="511" t="s">
        <v>630</v>
      </c>
      <c r="D26" s="358" t="str">
        <f ca="1">IF(ISERROR(OFFSET('HARGA SATUAN'!$D$6,MATCH(RAB!C26,'HARGA SATUAN'!$C$7:$C$1492,0),0)),"",OFFSET('HARGA SATUAN'!$D$6,MATCH(RAB!C26,'HARGA SATUAN'!$C$7:$C$1492,0),0))</f>
        <v>JASA</v>
      </c>
      <c r="E26" s="359" t="str">
        <f ca="1">IF(B26="+","Unit",IF(ISERROR(OFFSET('HARGA SATUAN'!$E$6,MATCH(RAB!C26,'HARGA SATUAN'!$C$7:$C$1492,0),0)),"",OFFSET('HARGA SATUAN'!$E$6,MATCH(RAB!C26,'HARGA SATUAN'!$C$7:$C$1492,0),0)))</f>
        <v>Unit</v>
      </c>
      <c r="F26" s="501">
        <f>F21*1</f>
        <v>2</v>
      </c>
      <c r="G26" s="360">
        <f ca="1">IF(ISERROR(OFFSET('HARGA SATUAN'!$I$6,MATCH(RAB!C26,'HARGA SATUAN'!$C$7:$C$1492,0),0)),0,OFFSET('HARGA SATUAN'!$I$6,MATCH(RAB!C26,'HARGA SATUAN'!$C$7:$C$1492,0),0))</f>
        <v>35700</v>
      </c>
      <c r="H26" s="361">
        <f t="shared" ca="1" si="16"/>
        <v>0</v>
      </c>
      <c r="I26" s="361">
        <f t="shared" ca="1" si="17"/>
        <v>0</v>
      </c>
      <c r="J26" s="361">
        <f t="shared" ca="1" si="18"/>
        <v>71400</v>
      </c>
      <c r="K26" s="362">
        <f t="shared" ca="1" si="19"/>
        <v>71400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510"/>
      <c r="C27" s="511"/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501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ca="1" si="16"/>
        <v>0</v>
      </c>
      <c r="I27" s="361">
        <f t="shared" ca="1" si="17"/>
        <v>0</v>
      </c>
      <c r="J27" s="361">
        <f t="shared" ca="1" si="18"/>
        <v>0</v>
      </c>
      <c r="K27" s="362">
        <f t="shared" ca="1" si="19"/>
        <v>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498"/>
      <c r="C28" s="506" t="s">
        <v>1621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/>
      </c>
      <c r="F28" s="501"/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ref="H28" ca="1" si="20">IF(OR(D28="MDU",D28="MDU-KD"),(IF($O$3="RAB NON MDU","PLN KD",G28*F28)),0)</f>
        <v>0</v>
      </c>
      <c r="I28" s="361">
        <f t="shared" ref="I28" ca="1" si="21">IF(D28="HDW",G28*F28,0)</f>
        <v>0</v>
      </c>
      <c r="J28" s="361">
        <f t="shared" ref="J28" ca="1" si="22">IF(D28="JASA",G28*F28,0)</f>
        <v>0</v>
      </c>
      <c r="K28" s="362">
        <f t="shared" ref="K28" ca="1" si="23">SUM(H28:J28)</f>
        <v>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498">
        <v>1</v>
      </c>
      <c r="C29" s="109" t="s">
        <v>1403</v>
      </c>
      <c r="D29" s="358" t="str">
        <f ca="1">IF(ISERROR(OFFSET('HARGA SATUAN'!$D$6,MATCH(RAB!C29,'HARGA SATUAN'!$C$7:$C$1492,0),0)),"",OFFSET('HARGA SATUAN'!$D$6,MATCH(RAB!C29,'HARGA SATUAN'!$C$7:$C$1492,0),0))</f>
        <v>MDU-KD</v>
      </c>
      <c r="E29" s="359" t="str">
        <f ca="1">IF(B29="+","Unit",IF(ISERROR(OFFSET('HARGA SATUAN'!$E$6,MATCH(RAB!C29,'HARGA SATUAN'!$C$7:$C$1492,0),0)),"",OFFSET('HARGA SATUAN'!$E$6,MATCH(RAB!C29,'HARGA SATUAN'!$C$7:$C$1492,0),0)))</f>
        <v>Mtr</v>
      </c>
      <c r="F29" s="501">
        <v>50</v>
      </c>
      <c r="G29" s="360">
        <f ca="1">IF(ISERROR(OFFSET('HARGA SATUAN'!$I$6,MATCH(RAB!C29,'HARGA SATUAN'!$C$7:$C$1492,0),0)),0,OFFSET('HARGA SATUAN'!$I$6,MATCH(RAB!C29,'HARGA SATUAN'!$C$7:$C$1492,0),0))</f>
        <v>30400</v>
      </c>
      <c r="H29" s="361">
        <f t="shared" ref="H29:H30" ca="1" si="24">IF(OR(D29="MDU",D29="MDU-KD"),(IF($O$3="RAB NON MDU","PLN KD",G29*F29)),0)</f>
        <v>1520000</v>
      </c>
      <c r="I29" s="361">
        <f t="shared" ref="I29:I30" ca="1" si="25">IF(D29="HDW",G29*F29,0)</f>
        <v>0</v>
      </c>
      <c r="J29" s="361">
        <f t="shared" ref="J29:J30" ca="1" si="26">IF(D29="JASA",G29*F29,0)</f>
        <v>0</v>
      </c>
      <c r="K29" s="362">
        <f t="shared" ref="K29:K30" ca="1" si="27">SUM(H29:J29)</f>
        <v>1520000</v>
      </c>
      <c r="L29" s="342"/>
      <c r="M29" s="342"/>
      <c r="N29" s="369"/>
      <c r="O29" s="344"/>
      <c r="P29" s="397"/>
      <c r="Q29" s="344"/>
    </row>
    <row r="30" spans="1:22" s="365" customFormat="1">
      <c r="A30" s="336"/>
      <c r="B30" s="498">
        <v>2</v>
      </c>
      <c r="C30" s="109" t="s">
        <v>347</v>
      </c>
      <c r="D30" s="503" t="s">
        <v>47</v>
      </c>
      <c r="E30" s="504" t="s">
        <v>297</v>
      </c>
      <c r="F30" s="504">
        <f>F29/50</f>
        <v>1</v>
      </c>
      <c r="G30" s="505">
        <v>85000</v>
      </c>
      <c r="H30" s="361">
        <f t="shared" si="24"/>
        <v>0</v>
      </c>
      <c r="I30" s="361">
        <f t="shared" si="25"/>
        <v>0</v>
      </c>
      <c r="J30" s="361">
        <f t="shared" si="26"/>
        <v>85000</v>
      </c>
      <c r="K30" s="362">
        <f t="shared" si="27"/>
        <v>85000</v>
      </c>
      <c r="L30" s="342"/>
      <c r="M30" s="342"/>
      <c r="N30" s="369"/>
      <c r="O30" s="344"/>
      <c r="P30" s="397"/>
      <c r="Q30" s="344"/>
    </row>
    <row r="31" spans="1:22" s="365" customFormat="1">
      <c r="A31" s="336"/>
      <c r="B31" s="498"/>
      <c r="C31" s="499"/>
      <c r="D31" s="358" t="str">
        <f ca="1">IF(ISERROR(OFFSET('HARGA SATUAN'!$D$6,MATCH(RAB!C31,'HARGA SATUAN'!$C$7:$C$1492,0),0)),"",OFFSET('HARGA SATUAN'!$D$6,MATCH(RAB!C31,'HARGA SATUAN'!$C$7:$C$1492,0),0))</f>
        <v/>
      </c>
      <c r="E31" s="359" t="str">
        <f ca="1">IF(B31="+","Unit",IF(ISERROR(OFFSET('HARGA SATUAN'!$E$6,MATCH(RAB!C31,'HARGA SATUAN'!$C$7:$C$1492,0),0)),"",OFFSET('HARGA SATUAN'!$E$6,MATCH(RAB!C31,'HARGA SATUAN'!$C$7:$C$1492,0),0)))</f>
        <v/>
      </c>
      <c r="F31" s="501"/>
      <c r="G31" s="360">
        <f ca="1">IF(ISERROR(OFFSET('HARGA SATUAN'!$I$6,MATCH(RAB!C31,'HARGA SATUAN'!$C$7:$C$1492,0),0)),0,OFFSET('HARGA SATUAN'!$I$6,MATCH(RAB!C31,'HARGA SATUAN'!$C$7:$C$1492,0),0))</f>
        <v>0</v>
      </c>
      <c r="H31" s="361">
        <f t="shared" ref="H31:H32" ca="1" si="28">IF(OR(D31="MDU",D31="MDU-KD"),(IF($O$3="RAB NON MDU","PLN KD",G31*F31)),0)</f>
        <v>0</v>
      </c>
      <c r="I31" s="361">
        <f t="shared" ref="I31:I32" ca="1" si="29">IF(D31="HDW",G31*F31,0)</f>
        <v>0</v>
      </c>
      <c r="J31" s="361">
        <f t="shared" ref="J31:J32" ca="1" si="30">IF(D31="JASA",G31*F31,0)</f>
        <v>0</v>
      </c>
      <c r="K31" s="362">
        <f t="shared" ref="K31:K32" ca="1" si="31">SUM(H31:J31)</f>
        <v>0</v>
      </c>
      <c r="L31" s="342"/>
      <c r="M31" s="342"/>
      <c r="N31" s="369"/>
      <c r="O31" s="344"/>
      <c r="P31" s="397"/>
      <c r="Q31" s="344"/>
    </row>
    <row r="32" spans="1:22" ht="15.75" customHeight="1">
      <c r="B32" s="366" t="s">
        <v>1614</v>
      </c>
      <c r="C32" s="367" t="s">
        <v>1616</v>
      </c>
      <c r="D32" s="358" t="str">
        <f ca="1">IF(ISERROR(OFFSET('HARGA SATUAN'!$D$6,MATCH(RAB!C32,'HARGA SATUAN'!$C$7:$C$1492,0),0)),"",OFFSET('HARGA SATUAN'!$D$6,MATCH(RAB!C32,'HARGA SATUAN'!$C$7:$C$1492,0),0))</f>
        <v/>
      </c>
      <c r="E32" s="359" t="str">
        <f ca="1">IF(B32="+","Unit",IF(ISERROR(OFFSET('HARGA SATUAN'!$E$6,MATCH(RAB!C32,'HARGA SATUAN'!$C$7:$C$1492,0),0)),"",OFFSET('HARGA SATUAN'!$E$6,MATCH(RAB!C32,'HARGA SATUAN'!$C$7:$C$1492,0),0)))</f>
        <v/>
      </c>
      <c r="F32" s="501"/>
      <c r="G32" s="360">
        <f ca="1">IF(ISERROR(OFFSET('HARGA SATUAN'!$I$6,MATCH(RAB!C32,'HARGA SATUAN'!$C$7:$C$1492,0),0)),0,OFFSET('HARGA SATUAN'!$I$6,MATCH(RAB!C32,'HARGA SATUAN'!$C$7:$C$1492,0),0))</f>
        <v>0</v>
      </c>
      <c r="H32" s="361">
        <f t="shared" ca="1" si="28"/>
        <v>0</v>
      </c>
      <c r="I32" s="361">
        <f t="shared" ca="1" si="29"/>
        <v>0</v>
      </c>
      <c r="J32" s="361">
        <f t="shared" ca="1" si="30"/>
        <v>0</v>
      </c>
      <c r="K32" s="362">
        <f t="shared" ca="1" si="31"/>
        <v>0</v>
      </c>
    </row>
    <row r="33" spans="2:11">
      <c r="B33" s="494"/>
      <c r="C33" s="497"/>
      <c r="D33" s="358" t="str">
        <f ca="1">IF(ISERROR(OFFSET('HARGA SATUAN'!$D$6,MATCH(RAB!C33,'HARGA SATUAN'!$C$7:$C$1492,0),0)),"",OFFSET('HARGA SATUAN'!$D$6,MATCH(RAB!C33,'HARGA SATUAN'!$C$7:$C$1492,0),0))</f>
        <v/>
      </c>
      <c r="E33" s="359" t="str">
        <f ca="1">IF(B33="+","Unit",IF(ISERROR(OFFSET('HARGA SATUAN'!$E$6,MATCH(RAB!C33,'HARGA SATUAN'!$C$7:$C$1492,0),0)),"",OFFSET('HARGA SATUAN'!$E$6,MATCH(RAB!C33,'HARGA SATUAN'!$C$7:$C$1492,0),0)))</f>
        <v/>
      </c>
      <c r="F33" s="501"/>
      <c r="G33" s="360">
        <f ca="1">IF(ISERROR(OFFSET('HARGA SATUAN'!$I$6,MATCH(RAB!C33,'HARGA SATUAN'!$C$7:$C$1492,0),0)),0,OFFSET('HARGA SATUAN'!$I$6,MATCH(RAB!C33,'HARGA SATUAN'!$C$7:$C$1492,0),0))</f>
        <v>0</v>
      </c>
      <c r="H33" s="361">
        <f t="shared" ref="H33:H35" ca="1" si="32">IF(OR(D33="MDU",D33="MDU-KD"),(IF($O$3="RAB NON MDU","PLN KD",G33*F33)),0)</f>
        <v>0</v>
      </c>
      <c r="I33" s="361">
        <f t="shared" ref="I33:I35" ca="1" si="33">IF(D33="HDW",G33*F33,0)</f>
        <v>0</v>
      </c>
      <c r="J33" s="361">
        <f t="shared" ref="J33:J35" ca="1" si="34">IF(D33="JASA",G33*F33,0)</f>
        <v>0</v>
      </c>
      <c r="K33" s="362">
        <f t="shared" ref="K33:K35" ca="1" si="35">SUM(H33:J33)</f>
        <v>0</v>
      </c>
    </row>
    <row r="34" spans="2:11">
      <c r="B34" s="495" t="s">
        <v>1615</v>
      </c>
      <c r="C34" s="500" t="s">
        <v>1618</v>
      </c>
      <c r="D34" s="358" t="str">
        <f ca="1">IF(ISERROR(OFFSET('HARGA SATUAN'!$D$6,MATCH(RAB!C34,'HARGA SATUAN'!$C$7:$C$1492,0),0)),"",OFFSET('HARGA SATUAN'!$D$6,MATCH(RAB!C34,'HARGA SATUAN'!$C$7:$C$1492,0),0))</f>
        <v/>
      </c>
      <c r="E34" s="359" t="str">
        <f ca="1">IF(B34="+","Unit",IF(ISERROR(OFFSET('HARGA SATUAN'!$E$6,MATCH(RAB!C34,'HARGA SATUAN'!$C$7:$C$1492,0),0)),"",OFFSET('HARGA SATUAN'!$E$6,MATCH(RAB!C34,'HARGA SATUAN'!$C$7:$C$1492,0),0)))</f>
        <v/>
      </c>
      <c r="F34" s="501"/>
      <c r="G34" s="360">
        <f ca="1">IF(ISERROR(OFFSET('HARGA SATUAN'!$I$6,MATCH(RAB!C34,'HARGA SATUAN'!$C$7:$C$1492,0),0)),0,OFFSET('HARGA SATUAN'!$I$6,MATCH(RAB!C34,'HARGA SATUAN'!$C$7:$C$1492,0),0))</f>
        <v>0</v>
      </c>
      <c r="H34" s="361">
        <f t="shared" ca="1" si="32"/>
        <v>0</v>
      </c>
      <c r="I34" s="361">
        <f t="shared" ca="1" si="33"/>
        <v>0</v>
      </c>
      <c r="J34" s="361">
        <f t="shared" ca="1" si="34"/>
        <v>0</v>
      </c>
      <c r="K34" s="362">
        <f t="shared" ca="1" si="35"/>
        <v>0</v>
      </c>
    </row>
    <row r="35" spans="2:11">
      <c r="B35" s="495"/>
      <c r="C35" s="496"/>
      <c r="D35" s="358" t="str">
        <f ca="1">IF(ISERROR(OFFSET('HARGA SATUAN'!$D$6,MATCH(RAB!C35,'HARGA SATUAN'!$C$7:$C$1492,0),0)),"",OFFSET('HARGA SATUAN'!$D$6,MATCH(RAB!C35,'HARGA SATUAN'!$C$7:$C$1492,0),0))</f>
        <v/>
      </c>
      <c r="E35" s="359" t="str">
        <f ca="1">IF(B35="+","Unit",IF(ISERROR(OFFSET('HARGA SATUAN'!$E$6,MATCH(RAB!C35,'HARGA SATUAN'!$C$7:$C$1492,0),0)),"",OFFSET('HARGA SATUAN'!$E$6,MATCH(RAB!C35,'HARGA SATUAN'!$C$7:$C$1492,0),0)))</f>
        <v/>
      </c>
      <c r="F35" s="501"/>
      <c r="G35" s="360">
        <f ca="1">IF(ISERROR(OFFSET('HARGA SATUAN'!$I$6,MATCH(RAB!C35,'HARGA SATUAN'!$C$7:$C$1492,0),0)),0,OFFSET('HARGA SATUAN'!$I$6,MATCH(RAB!C35,'HARGA SATUAN'!$C$7:$C$1492,0),0))</f>
        <v>0</v>
      </c>
      <c r="H35" s="361">
        <f t="shared" ca="1" si="32"/>
        <v>0</v>
      </c>
      <c r="I35" s="361">
        <f t="shared" ca="1" si="33"/>
        <v>0</v>
      </c>
      <c r="J35" s="361">
        <f t="shared" ca="1" si="34"/>
        <v>0</v>
      </c>
      <c r="K35" s="362">
        <f t="shared" ca="1" si="35"/>
        <v>0</v>
      </c>
    </row>
    <row r="36" spans="2:11">
      <c r="B36" s="495" t="s">
        <v>1035</v>
      </c>
      <c r="C36" s="496" t="s">
        <v>1625</v>
      </c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>Unit</v>
      </c>
      <c r="F36" s="509">
        <v>2</v>
      </c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ref="H36:H40" ca="1" si="36">IF(OR(D36="MDU",D36="MDU-KD"),(IF($O$3="RAB NON MDU","PLN KD",G36*F36)),0)</f>
        <v>0</v>
      </c>
      <c r="I36" s="361">
        <f t="shared" ref="I36:I40" ca="1" si="37">IF(D36="HDW",G36*F36,0)</f>
        <v>0</v>
      </c>
      <c r="J36" s="361">
        <f t="shared" ref="J36:J40" ca="1" si="38">IF(D36="JASA",G36*F36,0)</f>
        <v>0</v>
      </c>
      <c r="K36" s="362">
        <f t="shared" ref="K36:K40" ca="1" si="39">SUM(H36:J36)</f>
        <v>0</v>
      </c>
    </row>
    <row r="37" spans="2:11">
      <c r="B37" s="512">
        <v>1</v>
      </c>
      <c r="C37" s="109" t="s">
        <v>482</v>
      </c>
      <c r="D37" s="358" t="str">
        <f ca="1">IF(ISERROR(OFFSET('HARGA SATUAN'!$D$6,MATCH(RAB!C37,'HARGA SATUAN'!$C$7:$C$1492,0),0)),"",OFFSET('HARGA SATUAN'!$D$6,MATCH(RAB!C37,'HARGA SATUAN'!$C$7:$C$1492,0),0))</f>
        <v>MDU-KD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509">
        <f>F36*1</f>
        <v>2</v>
      </c>
      <c r="G37" s="360">
        <f ca="1">IF(ISERROR(OFFSET('HARGA SATUAN'!$I$6,MATCH(RAB!C37,'HARGA SATUAN'!$C$7:$C$1492,0),0)),0,OFFSET('HARGA SATUAN'!$I$6,MATCH(RAB!C37,'HARGA SATUAN'!$C$7:$C$1492,0),0))</f>
        <v>327600</v>
      </c>
      <c r="H37" s="361">
        <f t="shared" ca="1" si="36"/>
        <v>655200</v>
      </c>
      <c r="I37" s="361">
        <f t="shared" ca="1" si="37"/>
        <v>0</v>
      </c>
      <c r="J37" s="361">
        <f t="shared" ca="1" si="38"/>
        <v>0</v>
      </c>
      <c r="K37" s="362">
        <f t="shared" ca="1" si="39"/>
        <v>655200</v>
      </c>
    </row>
    <row r="38" spans="2:11">
      <c r="B38" s="512">
        <v>2</v>
      </c>
      <c r="C38" s="513" t="s">
        <v>487</v>
      </c>
      <c r="D38" s="358" t="str">
        <f ca="1">IF(ISERROR(OFFSET('HARGA SATUAN'!$D$6,MATCH(RAB!C38,'HARGA SATUAN'!$C$7:$C$1492,0),0)),"",OFFSET('HARGA SATUAN'!$D$6,MATCH(RAB!C38,'HARGA SATUAN'!$C$7:$C$1492,0),0))</f>
        <v>MDU-KD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9">
        <f>F36*1</f>
        <v>2</v>
      </c>
      <c r="G38" s="360">
        <f ca="1">IF(ISERROR(OFFSET('HARGA SATUAN'!$I$6,MATCH(RAB!C38,'HARGA SATUAN'!$C$7:$C$1492,0),0)),0,OFFSET('HARGA SATUAN'!$I$6,MATCH(RAB!C38,'HARGA SATUAN'!$C$7:$C$1492,0),0))</f>
        <v>39000</v>
      </c>
      <c r="H38" s="361">
        <f t="shared" ca="1" si="36"/>
        <v>78000</v>
      </c>
      <c r="I38" s="361">
        <f t="shared" ca="1" si="37"/>
        <v>0</v>
      </c>
      <c r="J38" s="361">
        <f t="shared" ca="1" si="38"/>
        <v>0</v>
      </c>
      <c r="K38" s="362">
        <f t="shared" ca="1" si="39"/>
        <v>78000</v>
      </c>
    </row>
    <row r="39" spans="2:11">
      <c r="B39" s="512">
        <v>3</v>
      </c>
      <c r="C39" s="513" t="s">
        <v>73</v>
      </c>
      <c r="D39" s="358" t="str">
        <f ca="1">IF(ISERROR(OFFSET('HARGA SATUAN'!$D$6,MATCH(RAB!C39,'HARGA SATUAN'!$C$7:$C$1492,0),0)),"",OFFSET('HARGA SATUAN'!$D$6,MATCH(RAB!C39,'HARGA SATUAN'!$C$7:$C$1492,0),0))</f>
        <v>MDU-KD</v>
      </c>
      <c r="E39" s="359" t="str">
        <f ca="1">IF(B39="+","Unit",IF(ISERROR(OFFSET('HARGA SATUAN'!$E$6,MATCH(RAB!C39,'HARGA SATUAN'!$C$7:$C$1492,0),0)),"",OFFSET('HARGA SATUAN'!$E$6,MATCH(RAB!C39,'HARGA SATUAN'!$C$7:$C$1492,0),0)))</f>
        <v>Mtr</v>
      </c>
      <c r="F39" s="509">
        <f>F36*20</f>
        <v>40</v>
      </c>
      <c r="G39" s="360">
        <f ca="1">IF(ISERROR(OFFSET('HARGA SATUAN'!$I$6,MATCH(RAB!C39,'HARGA SATUAN'!$C$7:$C$1492,0),0)),0,OFFSET('HARGA SATUAN'!$I$6,MATCH(RAB!C39,'HARGA SATUAN'!$C$7:$C$1492,0),0))</f>
        <v>4300</v>
      </c>
      <c r="H39" s="361">
        <f t="shared" ca="1" si="36"/>
        <v>172000</v>
      </c>
      <c r="I39" s="361">
        <f t="shared" ca="1" si="37"/>
        <v>0</v>
      </c>
      <c r="J39" s="361">
        <f t="shared" ca="1" si="38"/>
        <v>0</v>
      </c>
      <c r="K39" s="362">
        <f t="shared" ca="1" si="39"/>
        <v>172000</v>
      </c>
    </row>
    <row r="40" spans="2:11">
      <c r="B40" s="512">
        <v>4</v>
      </c>
      <c r="C40" s="513" t="s">
        <v>798</v>
      </c>
      <c r="D40" s="358" t="str">
        <f ca="1">IF(ISERROR(OFFSET('HARGA SATUAN'!$D$6,MATCH(RAB!C40,'HARGA SATUAN'!$C$7:$C$1492,0),0)),"",OFFSET('HARGA SATUAN'!$D$6,MATCH(RAB!C40,'HARGA SATUAN'!$C$7:$C$1492,0),0))</f>
        <v>JASA</v>
      </c>
      <c r="E40" s="359" t="str">
        <f ca="1">IF(B40="+","Unit",IF(ISERROR(OFFSET('HARGA SATUAN'!$E$6,MATCH(RAB!C40,'HARGA SATUAN'!$C$7:$C$1492,0),0)),"",OFFSET('HARGA SATUAN'!$E$6,MATCH(RAB!C40,'HARGA SATUAN'!$C$7:$C$1492,0),0)))</f>
        <v>Unit</v>
      </c>
      <c r="F40" s="509">
        <f>F36*1</f>
        <v>2</v>
      </c>
      <c r="G40" s="360">
        <f ca="1">IF(ISERROR(OFFSET('HARGA SATUAN'!$I$6,MATCH(RAB!C40,'HARGA SATUAN'!$C$7:$C$1492,0),0)),0,OFFSET('HARGA SATUAN'!$I$6,MATCH(RAB!C40,'HARGA SATUAN'!$C$7:$C$1492,0),0))</f>
        <v>54400</v>
      </c>
      <c r="H40" s="361">
        <f t="shared" ca="1" si="36"/>
        <v>0</v>
      </c>
      <c r="I40" s="361">
        <f t="shared" ca="1" si="37"/>
        <v>0</v>
      </c>
      <c r="J40" s="361">
        <f t="shared" ca="1" si="38"/>
        <v>108800</v>
      </c>
      <c r="K40" s="362">
        <f t="shared" ca="1" si="39"/>
        <v>108800</v>
      </c>
    </row>
    <row r="41" spans="2:11">
      <c r="B41" s="374"/>
      <c r="C41" s="502"/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/>
      </c>
      <c r="F41" s="368"/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ref="H41:H53" ca="1" si="40">IF(OR(D41="MDU",D41="MDU-KD"),(IF($O$3="RAB NON MDU","PLN KD",G41*F41)),0)</f>
        <v>0</v>
      </c>
      <c r="I41" s="361">
        <f t="shared" ref="I41:I53" ca="1" si="41">IF(D41="HDW",G41*F41,0)</f>
        <v>0</v>
      </c>
      <c r="J41" s="361">
        <f t="shared" ref="J41:J53" ca="1" si="42">IF(D41="JASA",G41*F41,0)</f>
        <v>0</v>
      </c>
      <c r="K41" s="362">
        <f t="shared" ref="K41:K53" ca="1" si="43">SUM(H41:J41)</f>
        <v>0</v>
      </c>
    </row>
    <row r="42" spans="2:11">
      <c r="B42" s="507" t="s">
        <v>1035</v>
      </c>
      <c r="C42" s="508" t="s">
        <v>1622</v>
      </c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>Unit</v>
      </c>
      <c r="F42" s="509">
        <f>F36</f>
        <v>2</v>
      </c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ca="1" si="40"/>
        <v>0</v>
      </c>
      <c r="I42" s="361">
        <f t="shared" ca="1" si="41"/>
        <v>0</v>
      </c>
      <c r="J42" s="361">
        <f t="shared" ca="1" si="42"/>
        <v>0</v>
      </c>
      <c r="K42" s="362">
        <f t="shared" ca="1" si="43"/>
        <v>0</v>
      </c>
    </row>
    <row r="43" spans="2:11">
      <c r="B43" s="507">
        <v>1</v>
      </c>
      <c r="C43" s="508" t="s">
        <v>115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Set</v>
      </c>
      <c r="F43" s="509">
        <f>F42*1</f>
        <v>2</v>
      </c>
      <c r="G43" s="360">
        <f ca="1">IF(ISERROR(OFFSET('HARGA SATUAN'!$I$6,MATCH(RAB!C43,'HARGA SATUAN'!$C$7:$C$1492,0),0)),0,OFFSET('HARGA SATUAN'!$I$6,MATCH(RAB!C43,'HARGA SATUAN'!$C$7:$C$1492,0),0))</f>
        <v>11500</v>
      </c>
      <c r="H43" s="361">
        <f t="shared" ca="1" si="40"/>
        <v>0</v>
      </c>
      <c r="I43" s="361">
        <f t="shared" ca="1" si="41"/>
        <v>23000</v>
      </c>
      <c r="J43" s="361">
        <f t="shared" ca="1" si="42"/>
        <v>0</v>
      </c>
      <c r="K43" s="362">
        <f t="shared" ca="1" si="43"/>
        <v>23000</v>
      </c>
    </row>
    <row r="44" spans="2:11">
      <c r="B44" s="507">
        <v>2</v>
      </c>
      <c r="C44" s="508" t="s">
        <v>145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Set</v>
      </c>
      <c r="F44" s="509">
        <f>F42*1</f>
        <v>2</v>
      </c>
      <c r="G44" s="360">
        <f ca="1">IF(ISERROR(OFFSET('HARGA SATUAN'!$I$6,MATCH(RAB!C44,'HARGA SATUAN'!$C$7:$C$1492,0),0)),0,OFFSET('HARGA SATUAN'!$I$6,MATCH(RAB!C44,'HARGA SATUAN'!$C$7:$C$1492,0),0))</f>
        <v>6200</v>
      </c>
      <c r="H44" s="361">
        <f t="shared" ca="1" si="40"/>
        <v>0</v>
      </c>
      <c r="I44" s="361">
        <f t="shared" ca="1" si="41"/>
        <v>12400</v>
      </c>
      <c r="J44" s="361">
        <f t="shared" ca="1" si="42"/>
        <v>0</v>
      </c>
      <c r="K44" s="362">
        <f t="shared" ca="1" si="43"/>
        <v>12400</v>
      </c>
    </row>
    <row r="45" spans="2:11">
      <c r="B45" s="507">
        <v>3</v>
      </c>
      <c r="C45" s="508" t="s">
        <v>587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Btg</v>
      </c>
      <c r="F45" s="509">
        <f>F42*1</f>
        <v>2</v>
      </c>
      <c r="G45" s="360">
        <f ca="1">IF(ISERROR(OFFSET('HARGA SATUAN'!$I$6,MATCH(RAB!C45,'HARGA SATUAN'!$C$7:$C$1492,0),0)),0,OFFSET('HARGA SATUAN'!$I$6,MATCH(RAB!C45,'HARGA SATUAN'!$C$7:$C$1492,0),0))</f>
        <v>45796</v>
      </c>
      <c r="H45" s="361">
        <f t="shared" ca="1" si="40"/>
        <v>0</v>
      </c>
      <c r="I45" s="361">
        <f t="shared" ca="1" si="41"/>
        <v>91592</v>
      </c>
      <c r="J45" s="361">
        <f t="shared" ca="1" si="42"/>
        <v>0</v>
      </c>
      <c r="K45" s="362">
        <f t="shared" ca="1" si="43"/>
        <v>91592</v>
      </c>
    </row>
    <row r="46" spans="2:11">
      <c r="B46" s="507">
        <v>4</v>
      </c>
      <c r="C46" s="508" t="s">
        <v>118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Set</v>
      </c>
      <c r="F46" s="509">
        <f>F42*1</f>
        <v>2</v>
      </c>
      <c r="G46" s="360">
        <f ca="1">IF(ISERROR(OFFSET('HARGA SATUAN'!$I$6,MATCH(RAB!C46,'HARGA SATUAN'!$C$7:$C$1492,0),0)),0,OFFSET('HARGA SATUAN'!$I$6,MATCH(RAB!C46,'HARGA SATUAN'!$C$7:$C$1492,0),0))</f>
        <v>5300</v>
      </c>
      <c r="H46" s="361">
        <f t="shared" ca="1" si="40"/>
        <v>0</v>
      </c>
      <c r="I46" s="361">
        <f t="shared" ca="1" si="41"/>
        <v>10600</v>
      </c>
      <c r="J46" s="361">
        <f t="shared" ca="1" si="42"/>
        <v>0</v>
      </c>
      <c r="K46" s="362">
        <f t="shared" ca="1" si="43"/>
        <v>10600</v>
      </c>
    </row>
    <row r="47" spans="2:11">
      <c r="B47" s="507">
        <v>5</v>
      </c>
      <c r="C47" s="508" t="s">
        <v>117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09">
        <f>F42*1</f>
        <v>2</v>
      </c>
      <c r="G47" s="360">
        <f ca="1">IF(ISERROR(OFFSET('HARGA SATUAN'!$I$6,MATCH(RAB!C47,'HARGA SATUAN'!$C$7:$C$1492,0),0)),0,OFFSET('HARGA SATUAN'!$I$6,MATCH(RAB!C47,'HARGA SATUAN'!$C$7:$C$1492,0),0))</f>
        <v>58600</v>
      </c>
      <c r="H47" s="361">
        <f t="shared" ca="1" si="40"/>
        <v>0</v>
      </c>
      <c r="I47" s="361">
        <f t="shared" ca="1" si="41"/>
        <v>117200</v>
      </c>
      <c r="J47" s="361">
        <f t="shared" ca="1" si="42"/>
        <v>0</v>
      </c>
      <c r="K47" s="362">
        <f t="shared" ca="1" si="43"/>
        <v>117200</v>
      </c>
    </row>
    <row r="48" spans="2:11">
      <c r="B48" s="507">
        <v>6</v>
      </c>
      <c r="C48" s="109" t="s">
        <v>1154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Set</v>
      </c>
      <c r="F48" s="509">
        <f>F42*1</f>
        <v>2</v>
      </c>
      <c r="G48" s="360">
        <f ca="1">IF(ISERROR(OFFSET('HARGA SATUAN'!$I$6,MATCH(RAB!C48,'HARGA SATUAN'!$C$7:$C$1492,0),0)),0,OFFSET('HARGA SATUAN'!$I$6,MATCH(RAB!C48,'HARGA SATUAN'!$C$7:$C$1492,0),0))</f>
        <v>3888</v>
      </c>
      <c r="H48" s="361">
        <f t="shared" ca="1" si="40"/>
        <v>0</v>
      </c>
      <c r="I48" s="361">
        <f t="shared" ca="1" si="41"/>
        <v>7776</v>
      </c>
      <c r="J48" s="361">
        <f t="shared" ca="1" si="42"/>
        <v>0</v>
      </c>
      <c r="K48" s="362">
        <f t="shared" ca="1" si="43"/>
        <v>7776</v>
      </c>
    </row>
    <row r="49" spans="2:13">
      <c r="B49" s="507">
        <v>7</v>
      </c>
      <c r="C49" s="508" t="s">
        <v>119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Set</v>
      </c>
      <c r="F49" s="509">
        <f>F42*2</f>
        <v>4</v>
      </c>
      <c r="G49" s="360">
        <f ca="1">IF(ISERROR(OFFSET('HARGA SATUAN'!$I$6,MATCH(RAB!C49,'HARGA SATUAN'!$C$7:$C$1492,0),0)),0,OFFSET('HARGA SATUAN'!$I$6,MATCH(RAB!C49,'HARGA SATUAN'!$C$7:$C$1492,0),0))</f>
        <v>8900</v>
      </c>
      <c r="H49" s="361">
        <f t="shared" ca="1" si="40"/>
        <v>0</v>
      </c>
      <c r="I49" s="361">
        <f t="shared" ca="1" si="41"/>
        <v>35600</v>
      </c>
      <c r="J49" s="361">
        <f t="shared" ca="1" si="42"/>
        <v>0</v>
      </c>
      <c r="K49" s="362">
        <f t="shared" ca="1" si="43"/>
        <v>35600</v>
      </c>
    </row>
    <row r="50" spans="2:13">
      <c r="B50" s="374"/>
      <c r="C50" s="502"/>
      <c r="D50" s="358" t="str">
        <f ca="1">IF(ISERROR(OFFSET('HARGA SATUAN'!$D$6,MATCH(RAB!C50,'HARGA SATUAN'!$C$7:$C$1492,0),0)),"",OFFSET('HARGA SATUAN'!$D$6,MATCH(RAB!C50,'HARGA SATUAN'!$C$7:$C$1492,0),0))</f>
        <v/>
      </c>
      <c r="E50" s="359" t="str">
        <f ca="1">IF(B50="+","Unit",IF(ISERROR(OFFSET('HARGA SATUAN'!$E$6,MATCH(RAB!C50,'HARGA SATUAN'!$C$7:$C$1492,0),0)),"",OFFSET('HARGA SATUAN'!$E$6,MATCH(RAB!C50,'HARGA SATUAN'!$C$7:$C$1492,0),0)))</f>
        <v/>
      </c>
      <c r="F50" s="368"/>
      <c r="G50" s="360">
        <f ca="1">IF(ISERROR(OFFSET('HARGA SATUAN'!$I$6,MATCH(RAB!C50,'HARGA SATUAN'!$C$7:$C$1492,0),0)),0,OFFSET('HARGA SATUAN'!$I$6,MATCH(RAB!C50,'HARGA SATUAN'!$C$7:$C$1492,0),0))</f>
        <v>0</v>
      </c>
      <c r="H50" s="361">
        <f t="shared" ca="1" si="40"/>
        <v>0</v>
      </c>
      <c r="I50" s="361">
        <f t="shared" ca="1" si="41"/>
        <v>0</v>
      </c>
      <c r="J50" s="361">
        <f t="shared" ca="1" si="42"/>
        <v>0</v>
      </c>
      <c r="K50" s="362">
        <f t="shared" ca="1" si="43"/>
        <v>0</v>
      </c>
    </row>
    <row r="51" spans="2:13">
      <c r="B51" s="366" t="s">
        <v>22</v>
      </c>
      <c r="C51" s="367" t="s">
        <v>1617</v>
      </c>
      <c r="D51" s="358" t="str">
        <f ca="1">IF(ISERROR(OFFSET('HARGA SATUAN'!$D$6,MATCH(RAB!C51,'HARGA SATUAN'!$C$7:$C$1492,0),0)),"",OFFSET('HARGA SATUAN'!$D$6,MATCH(RAB!C51,'HARGA SATUAN'!$C$7:$C$1492,0),0))</f>
        <v/>
      </c>
      <c r="E51" s="359" t="str">
        <f ca="1">IF(B51="+","Unit",IF(ISERROR(OFFSET('HARGA SATUAN'!$E$6,MATCH(RAB!C51,'HARGA SATUAN'!$C$7:$C$1492,0),0)),"",OFFSET('HARGA SATUAN'!$E$6,MATCH(RAB!C51,'HARGA SATUAN'!$C$7:$C$1492,0),0)))</f>
        <v/>
      </c>
      <c r="F51" s="368"/>
      <c r="G51" s="360">
        <f ca="1">IF(ISERROR(OFFSET('HARGA SATUAN'!$I$6,MATCH(RAB!C51,'HARGA SATUAN'!$C$7:$C$1492,0),0)),0,OFFSET('HARGA SATUAN'!$I$6,MATCH(RAB!C51,'HARGA SATUAN'!$C$7:$C$1492,0),0))</f>
        <v>0</v>
      </c>
      <c r="H51" s="361">
        <f t="shared" ca="1" si="40"/>
        <v>0</v>
      </c>
      <c r="I51" s="361">
        <f t="shared" ca="1" si="41"/>
        <v>0</v>
      </c>
      <c r="J51" s="361">
        <f t="shared" ca="1" si="42"/>
        <v>0</v>
      </c>
      <c r="K51" s="362">
        <f t="shared" ca="1" si="43"/>
        <v>0</v>
      </c>
    </row>
    <row r="52" spans="2:13">
      <c r="B52" s="374"/>
      <c r="C52" s="373"/>
      <c r="D52" s="358" t="str">
        <f ca="1">IF(ISERROR(OFFSET('HARGA SATUAN'!$D$6,MATCH(RAB!C52,'HARGA SATUAN'!$C$7:$C$1492,0),0)),"",OFFSET('HARGA SATUAN'!$D$6,MATCH(RAB!C52,'HARGA SATUAN'!$C$7:$C$1492,0),0))</f>
        <v/>
      </c>
      <c r="E52" s="359" t="str">
        <f ca="1">IF(B52="+","Unit",IF(ISERROR(OFFSET('HARGA SATUAN'!$E$6,MATCH(RAB!C52,'HARGA SATUAN'!$C$7:$C$1492,0),0)),"",OFFSET('HARGA SATUAN'!$E$6,MATCH(RAB!C52,'HARGA SATUAN'!$C$7:$C$1492,0),0)))</f>
        <v/>
      </c>
      <c r="F52" s="368"/>
      <c r="G52" s="360">
        <f ca="1">IF(ISERROR(OFFSET('HARGA SATUAN'!$I$6,MATCH(RAB!C52,'HARGA SATUAN'!$C$7:$C$1492,0),0)),0,OFFSET('HARGA SATUAN'!$I$6,MATCH(RAB!C52,'HARGA SATUAN'!$C$7:$C$1492,0),0))</f>
        <v>0</v>
      </c>
      <c r="H52" s="361">
        <f t="shared" ca="1" si="40"/>
        <v>0</v>
      </c>
      <c r="I52" s="361">
        <f t="shared" ca="1" si="41"/>
        <v>0</v>
      </c>
      <c r="J52" s="361">
        <f t="shared" ca="1" si="42"/>
        <v>0</v>
      </c>
      <c r="K52" s="362">
        <f t="shared" ca="1" si="43"/>
        <v>0</v>
      </c>
    </row>
    <row r="53" spans="2:13">
      <c r="B53" s="375"/>
      <c r="C53" s="376" t="s">
        <v>475</v>
      </c>
      <c r="D53" s="358" t="str">
        <f ca="1">IF(ISERROR(OFFSET('HARGA SATUAN'!$D$6,MATCH(RAB!C53,'HARGA SATUAN'!$C$7:$C$1492,0),0)),"",OFFSET('HARGA SATUAN'!$D$6,MATCH(RAB!C53,'HARGA SATUAN'!$C$7:$C$1492,0),0))</f>
        <v/>
      </c>
      <c r="E53" s="359" t="str">
        <f ca="1">IF(B53="+","Unit",IF(ISERROR(OFFSET('HARGA SATUAN'!$E$6,MATCH(RAB!C53,'HARGA SATUAN'!$C$7:$C$1492,0),0)),"",OFFSET('HARGA SATUAN'!$E$6,MATCH(RAB!C53,'HARGA SATUAN'!$C$7:$C$1492,0),0)))</f>
        <v/>
      </c>
      <c r="F53" s="368"/>
      <c r="G53" s="360">
        <f ca="1">IF(ISERROR(OFFSET('HARGA SATUAN'!$I$6,MATCH(RAB!C53,'HARGA SATUAN'!$C$7:$C$1492,0),0)),0,OFFSET('HARGA SATUAN'!$I$6,MATCH(RAB!C53,'HARGA SATUAN'!$C$7:$C$1492,0),0))</f>
        <v>0</v>
      </c>
      <c r="H53" s="361">
        <f t="shared" ca="1" si="40"/>
        <v>0</v>
      </c>
      <c r="I53" s="361">
        <f t="shared" ca="1" si="41"/>
        <v>0</v>
      </c>
      <c r="J53" s="361">
        <f t="shared" ca="1" si="42"/>
        <v>0</v>
      </c>
      <c r="K53" s="362">
        <f t="shared" ca="1" si="43"/>
        <v>0</v>
      </c>
    </row>
    <row r="54" spans="2:13">
      <c r="B54" s="378">
        <v>1</v>
      </c>
      <c r="C54" s="379" t="s">
        <v>1091</v>
      </c>
      <c r="D54" s="380" t="str">
        <f ca="1">IF(ISERROR(OFFSET('HARGA SATUAN'!$D$6,MATCH(RAB!C54,'HARGA SATUAN'!$C$7:$C$1492,0),0)),"",OFFSET('HARGA SATUAN'!$D$6,MATCH(RAB!C54,'HARGA SATUAN'!$C$7:$C$1492,0),0))</f>
        <v>JASA</v>
      </c>
      <c r="E54" s="381" t="str">
        <f ca="1">IF(ISERROR(OFFSET('HARGA SATUAN'!$E$6,MATCH(RAB!C54,'HARGA SATUAN'!$C$7:$C$1492,0),0)),"",OFFSET('HARGA SATUAN'!$E$6,MATCH(RAB!C54,'HARGA SATUAN'!$C$7:$C$1492,0),0))</f>
        <v>Lot</v>
      </c>
      <c r="F54" s="382">
        <v>1</v>
      </c>
      <c r="G54" s="383">
        <f ca="1">IF(ISERROR(OFFSET('HARGA SATUAN'!$I$6,MATCH(RAB!C54,'HARGA SATUAN'!$C$7:$C$1492,0),0)),0,OFFSET('HARGA SATUAN'!$I$6,MATCH(RAB!C54,'HARGA SATUAN'!$C$7:$C$1492,0),0))</f>
        <v>2.5000000000000001E-2</v>
      </c>
      <c r="H54" s="384"/>
      <c r="I54" s="384"/>
      <c r="J54" s="384">
        <f ca="1">SUM(K15:K19)*G54</f>
        <v>84565</v>
      </c>
      <c r="K54" s="385">
        <f ca="1">SUM(H54:J54)</f>
        <v>84565</v>
      </c>
    </row>
    <row r="55" spans="2:13">
      <c r="B55" s="386"/>
      <c r="C55" s="387"/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IF(ISERROR(OFFSET('HARGA SATUAN'!$E$6,MATCH(RAB!C55,'HARGA SATUAN'!$C$7:$C$1492,0),0)),"",OFFSET('HARGA SATUAN'!$E$6,MATCH(RAB!C55,'HARGA SATUAN'!$C$7:$C$1492,0),0))</f>
        <v/>
      </c>
      <c r="F55" s="377"/>
      <c r="G55" s="360" t="str">
        <f ca="1">IF(ISERROR(OFFSET('HARGA SATUAN'!$I$6,MATCH(RAB!C55,'HARGA SATUAN'!$C$7:$C$1492,0),0)),"",OFFSET('HARGA SATUAN'!$I$6,MATCH(RAB!C55,'HARGA SATUAN'!$C$7:$C$1492,0),0))</f>
        <v/>
      </c>
      <c r="H55" s="361">
        <f ca="1">IF(OR(D55="MDU",D55="MDU-KD"),IF(G55="PLN",0,G55*F55),0)</f>
        <v>0</v>
      </c>
      <c r="I55" s="361">
        <f ca="1">IF(D55="HDW",IF(G55="PLN",0,G55*F55),0)</f>
        <v>0</v>
      </c>
      <c r="J55" s="361">
        <f ca="1">IF(D55="JASA",IF(G55="PLN",0,G55*F55),0)</f>
        <v>0</v>
      </c>
      <c r="K55" s="362">
        <f ca="1">SUM(H55:J55)</f>
        <v>0</v>
      </c>
    </row>
    <row r="56" spans="2:13" ht="15.75" thickBot="1">
      <c r="B56" s="388"/>
      <c r="C56" s="389"/>
      <c r="D56" s="390"/>
      <c r="E56" s="391"/>
      <c r="F56" s="391"/>
      <c r="G56" s="391"/>
      <c r="H56" s="392"/>
      <c r="I56" s="392"/>
      <c r="J56" s="392"/>
      <c r="K56" s="393"/>
    </row>
    <row r="57" spans="2:13">
      <c r="B57" s="394"/>
      <c r="C57" s="614" t="s">
        <v>1008</v>
      </c>
      <c r="D57" s="614"/>
      <c r="E57" s="614"/>
      <c r="F57" s="614"/>
      <c r="G57" s="395" t="s">
        <v>9</v>
      </c>
      <c r="H57" s="396">
        <f ca="1">SUM(H14:H55)</f>
        <v>2425200</v>
      </c>
      <c r="I57" s="396">
        <f ca="1">SUM(I14:I55)</f>
        <v>3897412</v>
      </c>
      <c r="J57" s="396">
        <f ca="1">SUM(J14:J55)</f>
        <v>349765</v>
      </c>
      <c r="K57" s="396">
        <f ca="1">SUM(K14:K55)</f>
        <v>6672377</v>
      </c>
    </row>
    <row r="58" spans="2:13">
      <c r="B58" s="398"/>
      <c r="C58" s="630" t="s">
        <v>1457</v>
      </c>
      <c r="D58" s="630"/>
      <c r="E58" s="630"/>
      <c r="F58" s="630"/>
      <c r="G58" s="399" t="s">
        <v>9</v>
      </c>
      <c r="H58" s="400">
        <f ca="1">H57*0.11</f>
        <v>266772</v>
      </c>
      <c r="I58" s="400">
        <f ca="1">I57*0.11</f>
        <v>428715.32</v>
      </c>
      <c r="J58" s="400">
        <f ca="1">J57*0.11</f>
        <v>38474.15</v>
      </c>
      <c r="K58" s="400">
        <f ca="1">K57*0.11</f>
        <v>733961.47</v>
      </c>
    </row>
    <row r="59" spans="2:13" ht="15.75" thickBot="1">
      <c r="B59" s="398"/>
      <c r="C59" s="628" t="s">
        <v>463</v>
      </c>
      <c r="D59" s="628"/>
      <c r="E59" s="628"/>
      <c r="F59" s="628"/>
      <c r="G59" s="401" t="s">
        <v>9</v>
      </c>
      <c r="H59" s="402">
        <f ca="1">SUM(H57:H58)</f>
        <v>2691972</v>
      </c>
      <c r="I59" s="402">
        <f ca="1">SUM(I57:I58)</f>
        <v>4326127.32</v>
      </c>
      <c r="J59" s="401">
        <f ca="1">SUM(J57:J58)</f>
        <v>388239.15</v>
      </c>
      <c r="K59" s="401">
        <f ca="1">SUM(K57:K58)</f>
        <v>7406338.4699999997</v>
      </c>
      <c r="M59" s="484"/>
    </row>
    <row r="60" spans="2:13">
      <c r="B60" s="631" t="str">
        <f ca="1">"Terbilang : "&amp;PROPER(IF(K59=0,"nol",IF(K59&lt;0,"minus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IF(--MID(TEXT(ABS(K59),"000000000000000"),1,3)=0,"",MID(TEXT(ABS(K59),"000000000000000"),1,1)&amp;" ratus "&amp;MID(TEXT(ABS(K59),"000000000000000"),2,1)&amp;" puluh "&amp;MID(TEXT(ABS(K59),"000000000000000"),3,1)&amp;" trilyun ")&amp; IF(--MID(TEXT(ABS(K59),"000000000000000"),4,3)=0,"",MID(TEXT(ABS(K59),"000000000000000"),4,1)&amp;" ratus "&amp;MID(TEXT(ABS(K59),"000000000000000"),5,1)&amp;" puluh "&amp;MID(TEXT(ABS(K59),"000000000000000"),6,1)&amp;" milyar ")&amp; IF(--MID(TEXT(ABS(K59),"000000000000000"),7,3)=0,"",MID(TEXT(ABS(K59),"000000000000000"),7,1)&amp;" ratus "&amp;MID(TEXT(ABS(K59),"000000000000000"),8,1)&amp;" puluh "&amp;MID(TEXT(ABS(K59),"000000000000000"),9,1)&amp;" juta ")&amp; IF(--MID(TEXT(ABS(K59),"000000000000000"),10,3)=0,"",IF(--MID(TEXT(ABS(K59),"000000000000000"),10,3)=1,"*",MID(TEXT(ABS(K59),"000000000000000"),10,1)&amp;" ratus "&amp;MID(TEXT(ABS(K59),"000000000000000"),11,1)&amp;" puluh ")&amp;MID(TEXT(ABS(K59),"000000000000000"),12,1)&amp;" ribu ")&amp; IF(--MID(TEXT(ABS(K59),"000000000000000"),13,3)=0,"",MID(TEXT(ABS(K59),"000000000000000"),13,1)&amp;" ratus "&amp;MID(TEXT(ABS(K59),"000000000000000"),14,1)&amp;" puluh "&amp;MID(TEXT(ABS(K59),"000000000000000"),15,1)),1,"satu"),2,"dua"),3,"tiga"),4,"empat"),5,"lima"),6,"enam"),7,"tujuh"),8,"delapan"),9,"sembilan"),"0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Juta Empat Ratus Enam Ribu Tiga Ratus Tiga Puluh Delapan Rupiah</v>
      </c>
      <c r="C60" s="632"/>
      <c r="D60" s="632"/>
      <c r="E60" s="632"/>
      <c r="F60" s="632"/>
      <c r="G60" s="632"/>
      <c r="H60" s="632"/>
      <c r="I60" s="632"/>
      <c r="J60" s="632"/>
      <c r="K60" s="633"/>
    </row>
    <row r="61" spans="2:13">
      <c r="B61" s="634"/>
      <c r="C61" s="635"/>
      <c r="D61" s="635"/>
      <c r="E61" s="635"/>
      <c r="F61" s="635"/>
      <c r="G61" s="635"/>
      <c r="H61" s="635"/>
      <c r="I61" s="635"/>
      <c r="J61" s="635"/>
      <c r="K61" s="636"/>
    </row>
    <row r="62" spans="2:13" ht="15.75" thickBot="1">
      <c r="B62" s="403" t="str">
        <f>"Harga yang dipakai adalah "&amp;'HARGA SATUAN'!I5&amp;""</f>
        <v>Harga yang dipakai adalah RAB HSS 2023</v>
      </c>
      <c r="C62" s="404"/>
      <c r="D62" s="405"/>
      <c r="E62" s="405"/>
      <c r="F62" s="405"/>
      <c r="G62" s="406"/>
      <c r="H62" s="406"/>
      <c r="I62" s="406"/>
      <c r="J62" s="406"/>
      <c r="K62" s="407"/>
    </row>
    <row r="63" spans="2:13">
      <c r="C63" s="408"/>
      <c r="E63" s="410"/>
      <c r="F63" s="410"/>
      <c r="G63" s="410"/>
    </row>
    <row r="64" spans="2:13">
      <c r="C64" s="337"/>
      <c r="E64" s="410"/>
      <c r="F64" s="410"/>
      <c r="G64" s="410"/>
      <c r="H64" s="637"/>
      <c r="I64" s="637"/>
      <c r="J64" s="638"/>
      <c r="K64" s="638"/>
    </row>
    <row r="65" spans="3:11">
      <c r="C65" s="337"/>
      <c r="E65" s="410"/>
      <c r="F65" s="410"/>
      <c r="G65" s="410"/>
      <c r="H65" s="411"/>
      <c r="I65" s="627" t="s">
        <v>1610</v>
      </c>
      <c r="J65" s="627"/>
      <c r="K65" s="627"/>
    </row>
    <row r="66" spans="3:11">
      <c r="C66" s="337"/>
      <c r="E66" s="410"/>
      <c r="F66" s="410"/>
      <c r="G66" s="410"/>
      <c r="H66" s="411"/>
      <c r="I66" s="627" t="s">
        <v>1546</v>
      </c>
      <c r="J66" s="627"/>
      <c r="K66" s="627"/>
    </row>
    <row r="67" spans="3:11">
      <c r="C67" s="337"/>
      <c r="E67" s="410"/>
      <c r="F67" s="410"/>
      <c r="G67" s="410"/>
      <c r="H67" s="412"/>
      <c r="I67" s="413"/>
      <c r="J67" s="413"/>
      <c r="K67" s="413"/>
    </row>
    <row r="68" spans="3:11">
      <c r="C68" s="337"/>
      <c r="E68" s="410"/>
      <c r="F68" s="410"/>
      <c r="G68" s="410"/>
      <c r="H68" s="412"/>
      <c r="I68" s="412"/>
      <c r="J68" s="412"/>
      <c r="K68" s="412"/>
    </row>
    <row r="69" spans="3:11">
      <c r="C69" s="337"/>
      <c r="E69" s="410"/>
      <c r="F69" s="410"/>
      <c r="G69" s="410"/>
      <c r="H69" s="412"/>
      <c r="I69" s="412"/>
      <c r="J69" s="412"/>
      <c r="K69" s="412"/>
    </row>
    <row r="70" spans="3:11">
      <c r="C70" s="337"/>
      <c r="E70" s="410"/>
      <c r="F70" s="410"/>
      <c r="G70" s="410"/>
      <c r="H70" s="412"/>
      <c r="I70" s="412"/>
      <c r="J70" s="412"/>
      <c r="K70" s="412"/>
    </row>
    <row r="71" spans="3:11">
      <c r="C71" s="337"/>
      <c r="E71" s="410"/>
      <c r="F71" s="410"/>
      <c r="G71" s="410"/>
      <c r="H71" s="414"/>
      <c r="I71" s="627" t="s">
        <v>1547</v>
      </c>
      <c r="J71" s="627"/>
      <c r="K71" s="627"/>
    </row>
    <row r="72" spans="3:11">
      <c r="C72" s="408"/>
      <c r="E72" s="410"/>
      <c r="F72" s="410"/>
      <c r="G72" s="410"/>
      <c r="H72" s="412"/>
      <c r="I72" s="412"/>
      <c r="J72" s="412"/>
      <c r="K72" s="412"/>
    </row>
    <row r="73" spans="3:11">
      <c r="C73" s="408"/>
      <c r="E73" s="410"/>
      <c r="F73" s="410"/>
      <c r="G73" s="410"/>
      <c r="H73" s="412"/>
      <c r="I73" s="412"/>
      <c r="J73" s="412"/>
      <c r="K73" s="412"/>
    </row>
    <row r="74" spans="3:11">
      <c r="C74" s="408"/>
      <c r="E74" s="410"/>
      <c r="F74" s="410"/>
      <c r="G74" s="410"/>
      <c r="H74" s="412"/>
      <c r="I74" s="412"/>
      <c r="J74" s="412"/>
      <c r="K74" s="412"/>
    </row>
  </sheetData>
  <sheetProtection sort="0" autoFilter="0"/>
  <protectedRanges>
    <protectedRange sqref="B52 B35:B50" name="Range1_1"/>
    <protectedRange sqref="F14:F29 F31:F53" name="Range1_1_2_2"/>
    <protectedRange sqref="C52 C35:C38 C40:C50" name="Range1_1_1"/>
    <protectedRange sqref="B33:C34" name="Range1_6_2"/>
    <protectedRange sqref="C39" name="Range1_1_3_13"/>
    <protectedRange sqref="C17" name="Range1_1_3_14"/>
    <protectedRange sqref="C18" name="Range1_1_3"/>
    <protectedRange sqref="G30" name="Range1_3_7"/>
    <protectedRange sqref="C30" name="Range1_1_3_5"/>
    <protectedRange sqref="C29" name="Range1_1_3_1"/>
  </protectedRanges>
  <mergeCells count="22">
    <mergeCell ref="I66:K66"/>
    <mergeCell ref="I71:K71"/>
    <mergeCell ref="C59:F59"/>
    <mergeCell ref="G6:K6"/>
    <mergeCell ref="I65:K65"/>
    <mergeCell ref="C58:F58"/>
    <mergeCell ref="B60:K61"/>
    <mergeCell ref="H64:K64"/>
    <mergeCell ref="H11:K11"/>
    <mergeCell ref="H12:H13"/>
    <mergeCell ref="J12:J13"/>
    <mergeCell ref="K12:K13"/>
    <mergeCell ref="O3:P4"/>
    <mergeCell ref="B4:K4"/>
    <mergeCell ref="C57:F57"/>
    <mergeCell ref="B11:B13"/>
    <mergeCell ref="C11:C13"/>
    <mergeCell ref="D11:D13"/>
    <mergeCell ref="E11:E13"/>
    <mergeCell ref="F11:F13"/>
    <mergeCell ref="G11:G13"/>
    <mergeCell ref="I12:I13"/>
  </mergeCells>
  <phoneticPr fontId="139" type="noConversion"/>
  <conditionalFormatting sqref="C15 C17:C19">
    <cfRule type="cellIs" dxfId="8" priority="506" operator="equal">
      <formula>0</formula>
    </cfRule>
  </conditionalFormatting>
  <conditionalFormatting sqref="C29">
    <cfRule type="cellIs" dxfId="7" priority="10" operator="equal">
      <formula>0</formula>
    </cfRule>
  </conditionalFormatting>
  <conditionalFormatting sqref="C32">
    <cfRule type="cellIs" dxfId="6" priority="131" operator="equal">
      <formula>0</formula>
    </cfRule>
  </conditionalFormatting>
  <conditionalFormatting sqref="C37">
    <cfRule type="cellIs" dxfId="5" priority="1" operator="equal">
      <formula>0</formula>
    </cfRule>
  </conditionalFormatting>
  <conditionalFormatting sqref="C48">
    <cfRule type="cellIs" dxfId="4" priority="22" operator="equal">
      <formula>0</formula>
    </cfRule>
  </conditionalFormatting>
  <conditionalFormatting sqref="C51">
    <cfRule type="cellIs" dxfId="3" priority="129" operator="equal">
      <formula>0</formula>
    </cfRule>
  </conditionalFormatting>
  <conditionalFormatting sqref="C30:G30">
    <cfRule type="cellIs" dxfId="2" priority="24" operator="equal">
      <formula>0</formula>
    </cfRule>
  </conditionalFormatting>
  <conditionalFormatting sqref="E1:E3 G1:G13 E5:E13 H12:I12 O13 S14:V19 E14:K29 H30:K30 E31:K53 E54:G54 H54:K56 E55:H55 E56:F56">
    <cfRule type="cellIs" dxfId="1" priority="1086" stopIfTrue="1" operator="equal">
      <formula>0</formula>
    </cfRule>
  </conditionalFormatting>
  <conditionalFormatting sqref="G55:G65521 E60:E65521">
    <cfRule type="cellIs" dxfId="0" priority="220" stopIfTrue="1" operator="equal">
      <formula>0</formula>
    </cfRule>
  </conditionalFormatting>
  <dataValidations count="4">
    <dataValidation allowBlank="1" showInputMessage="1" showErrorMessage="1" errorTitle="PERINGATAN !!!" error="MDU / UPAH SALAH BOZ...." sqref="O11:Q11 F21:F29 H14:K56 F31:F3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  <dataValidation type="list" allowBlank="1" showInputMessage="1" showErrorMessage="1" errorTitle="PERINGATAN !!!" error="GOLONGAN MATERIAL/JASA SALAH...." sqref="D30" xr:uid="{32A4B08E-AF47-4156-A47F-8DFEC9F7CBB7}">
      <formula1>#REF!</formula1>
    </dataValidation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4" zoomScale="115" zoomScaleNormal="115" zoomScaleSheetLayoutView="115" workbookViewId="0">
      <selection activeCell="Q40" sqref="Q40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1" t="s">
        <v>1439</v>
      </c>
      <c r="X2" s="642"/>
      <c r="Y2" s="642"/>
      <c r="Z2" s="642"/>
      <c r="AA2" s="642"/>
      <c r="AB2" s="642"/>
      <c r="AC2" s="642"/>
      <c r="AD2" s="643"/>
    </row>
    <row r="3" spans="3:30">
      <c r="C3" s="238"/>
      <c r="W3" s="644"/>
      <c r="X3" s="645"/>
      <c r="Y3" s="645"/>
      <c r="Z3" s="645"/>
      <c r="AA3" s="645"/>
      <c r="AB3" s="645"/>
      <c r="AC3" s="645"/>
      <c r="AD3" s="646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7" t="s">
        <v>990</v>
      </c>
      <c r="Y5" s="647"/>
      <c r="Z5" s="647"/>
      <c r="AA5" s="647" t="s">
        <v>988</v>
      </c>
      <c r="AB5" s="647"/>
      <c r="AC5" s="647" t="s">
        <v>989</v>
      </c>
      <c r="AD5" s="648"/>
    </row>
    <row r="6" spans="3:30">
      <c r="C6" s="238"/>
      <c r="W6" s="241">
        <v>1</v>
      </c>
      <c r="X6" s="647" t="s">
        <v>993</v>
      </c>
      <c r="Y6" s="647"/>
      <c r="Z6" s="647"/>
      <c r="AA6" s="647"/>
      <c r="AB6" s="647"/>
      <c r="AC6" s="647"/>
      <c r="AD6" s="648"/>
    </row>
    <row r="7" spans="3:30">
      <c r="C7" s="238"/>
      <c r="E7" s="490" t="str">
        <f>PETA!C6</f>
        <v>KOORDINAT : -6.903315, 110.631655</v>
      </c>
      <c r="W7" s="241">
        <v>2</v>
      </c>
      <c r="X7" s="647" t="s">
        <v>994</v>
      </c>
      <c r="Y7" s="647"/>
      <c r="Z7" s="647"/>
      <c r="AA7" s="647"/>
      <c r="AB7" s="647"/>
      <c r="AC7" s="647"/>
      <c r="AD7" s="648"/>
    </row>
    <row r="8" spans="3:30">
      <c r="C8" s="238"/>
      <c r="W8" s="241">
        <v>3</v>
      </c>
      <c r="X8" s="647" t="s">
        <v>995</v>
      </c>
      <c r="Y8" s="647"/>
      <c r="Z8" s="647"/>
      <c r="AA8" s="647"/>
      <c r="AB8" s="647"/>
      <c r="AC8" s="647"/>
      <c r="AD8" s="648"/>
    </row>
    <row r="9" spans="3:30">
      <c r="C9" s="238"/>
      <c r="W9" s="241">
        <v>4</v>
      </c>
      <c r="X9" s="647" t="s">
        <v>996</v>
      </c>
      <c r="Y9" s="647"/>
      <c r="Z9" s="647"/>
      <c r="AA9" s="647"/>
      <c r="AB9" s="647"/>
      <c r="AC9" s="647"/>
      <c r="AD9" s="648"/>
    </row>
    <row r="10" spans="3:30">
      <c r="C10" s="238"/>
      <c r="W10" s="241">
        <v>5</v>
      </c>
      <c r="X10" s="647" t="s">
        <v>997</v>
      </c>
      <c r="Y10" s="647"/>
      <c r="Z10" s="647"/>
      <c r="AA10" s="647"/>
      <c r="AB10" s="647"/>
      <c r="AC10" s="647"/>
      <c r="AD10" s="648"/>
    </row>
    <row r="11" spans="3:30">
      <c r="C11" s="238"/>
      <c r="W11" s="241">
        <v>6</v>
      </c>
      <c r="X11" s="647" t="s">
        <v>998</v>
      </c>
      <c r="Y11" s="647"/>
      <c r="Z11" s="647"/>
      <c r="AA11" s="647"/>
      <c r="AB11" s="647"/>
      <c r="AC11" s="647"/>
      <c r="AD11" s="648"/>
    </row>
    <row r="12" spans="3:30">
      <c r="C12" s="238"/>
      <c r="W12" s="241">
        <v>7</v>
      </c>
      <c r="X12" s="647" t="s">
        <v>999</v>
      </c>
      <c r="Y12" s="647"/>
      <c r="Z12" s="647"/>
      <c r="AA12" s="647"/>
      <c r="AB12" s="647"/>
      <c r="AC12" s="647"/>
      <c r="AD12" s="648"/>
    </row>
    <row r="13" spans="3:30" ht="12.75" customHeight="1">
      <c r="C13" s="238"/>
      <c r="W13" s="241">
        <v>8</v>
      </c>
      <c r="X13" s="647" t="s">
        <v>1000</v>
      </c>
      <c r="Y13" s="647"/>
      <c r="Z13" s="647"/>
      <c r="AA13" s="647"/>
      <c r="AB13" s="647"/>
      <c r="AC13" s="647"/>
      <c r="AD13" s="648"/>
    </row>
    <row r="14" spans="3:30">
      <c r="C14" s="238"/>
      <c r="W14" s="241">
        <v>9</v>
      </c>
      <c r="X14" s="647" t="s">
        <v>1001</v>
      </c>
      <c r="Y14" s="647"/>
      <c r="Z14" s="647"/>
      <c r="AA14" s="647"/>
      <c r="AB14" s="647"/>
      <c r="AC14" s="647"/>
      <c r="AD14" s="648"/>
    </row>
    <row r="15" spans="3:30">
      <c r="C15" s="238"/>
      <c r="W15" s="241">
        <v>10</v>
      </c>
      <c r="X15" s="647" t="s">
        <v>1010</v>
      </c>
      <c r="Y15" s="647"/>
      <c r="Z15" s="647"/>
      <c r="AA15" s="647"/>
      <c r="AB15" s="647"/>
      <c r="AC15" s="647"/>
      <c r="AD15" s="648"/>
    </row>
    <row r="16" spans="3:30">
      <c r="C16" s="238"/>
      <c r="W16" s="241">
        <v>11</v>
      </c>
      <c r="X16" s="647" t="s">
        <v>1455</v>
      </c>
      <c r="Y16" s="647"/>
      <c r="Z16" s="647"/>
      <c r="AA16" s="647"/>
      <c r="AB16" s="647"/>
      <c r="AC16" s="647"/>
      <c r="AD16" s="648"/>
    </row>
    <row r="17" spans="3:30">
      <c r="C17" s="238"/>
      <c r="S17" s="242"/>
      <c r="W17" s="241">
        <v>12</v>
      </c>
      <c r="X17" s="647" t="s">
        <v>1011</v>
      </c>
      <c r="Y17" s="647"/>
      <c r="Z17" s="647"/>
      <c r="AA17" s="647"/>
      <c r="AB17" s="647"/>
      <c r="AC17" s="647"/>
      <c r="AD17" s="648"/>
    </row>
    <row r="18" spans="3:30">
      <c r="C18" s="243"/>
      <c r="D18" s="244"/>
      <c r="E18" s="244"/>
      <c r="W18" s="241">
        <v>13</v>
      </c>
      <c r="X18" s="647"/>
      <c r="Y18" s="647"/>
      <c r="Z18" s="647"/>
      <c r="AA18" s="647"/>
      <c r="AB18" s="647"/>
      <c r="AC18" s="647"/>
      <c r="AD18" s="648"/>
    </row>
    <row r="19" spans="3:30">
      <c r="C19" s="238"/>
      <c r="W19" s="245"/>
      <c r="X19" s="664"/>
      <c r="Y19" s="664"/>
      <c r="Z19" s="664"/>
      <c r="AA19" s="664"/>
      <c r="AB19" s="664"/>
      <c r="AC19" s="664"/>
      <c r="AD19" s="665"/>
    </row>
    <row r="20" spans="3:30">
      <c r="C20" s="238"/>
      <c r="W20" s="649" t="s">
        <v>992</v>
      </c>
      <c r="X20" s="650"/>
      <c r="Y20" s="650"/>
      <c r="Z20" s="650"/>
      <c r="AA20" s="650"/>
      <c r="AB20" s="650"/>
      <c r="AC20" s="650"/>
      <c r="AD20" s="651"/>
    </row>
    <row r="21" spans="3:30">
      <c r="C21" s="238"/>
      <c r="W21" s="652" t="s">
        <v>985</v>
      </c>
      <c r="X21" s="653"/>
      <c r="Y21" s="653"/>
      <c r="Z21" s="654"/>
      <c r="AA21" s="655" t="s">
        <v>986</v>
      </c>
      <c r="AB21" s="656"/>
      <c r="AC21" s="656"/>
      <c r="AD21" s="657"/>
    </row>
    <row r="22" spans="3:30">
      <c r="C22" s="238"/>
      <c r="W22" s="658"/>
      <c r="X22" s="659"/>
      <c r="Y22" s="492"/>
      <c r="Z22" s="493"/>
      <c r="AA22" s="660"/>
      <c r="AB22" s="661"/>
      <c r="AC22" s="248"/>
      <c r="AD22" s="249"/>
    </row>
    <row r="23" spans="3:30">
      <c r="C23" s="238"/>
      <c r="W23" s="658" t="s">
        <v>1624</v>
      </c>
      <c r="X23" s="659"/>
      <c r="Y23" s="492"/>
      <c r="Z23" s="493"/>
      <c r="AA23" s="662"/>
      <c r="AB23" s="663"/>
      <c r="AC23" s="248"/>
      <c r="AD23" s="249"/>
    </row>
    <row r="24" spans="3:30">
      <c r="C24" s="238"/>
      <c r="W24" s="668" t="s">
        <v>1620</v>
      </c>
      <c r="X24" s="669"/>
      <c r="Y24" s="246"/>
      <c r="Z24" s="247"/>
      <c r="AA24" s="670"/>
      <c r="AB24" s="671"/>
      <c r="AC24" s="248"/>
      <c r="AD24" s="249"/>
    </row>
    <row r="25" spans="3:30">
      <c r="C25" s="238"/>
      <c r="W25" s="668"/>
      <c r="X25" s="669"/>
      <c r="Y25" s="246"/>
      <c r="Z25" s="247"/>
      <c r="AA25" s="662"/>
      <c r="AB25" s="663"/>
      <c r="AC25" s="248"/>
      <c r="AD25" s="249"/>
    </row>
    <row r="26" spans="3:30">
      <c r="C26" s="238"/>
      <c r="W26" s="480"/>
      <c r="X26" s="481"/>
      <c r="Y26" s="246"/>
      <c r="Z26" s="247"/>
      <c r="AA26" s="662"/>
      <c r="AB26" s="663"/>
      <c r="AC26" s="248"/>
      <c r="AD26" s="249"/>
    </row>
    <row r="27" spans="3:30">
      <c r="C27" s="238"/>
      <c r="W27" s="480"/>
      <c r="X27" s="481"/>
      <c r="Y27" s="246"/>
      <c r="Z27" s="247"/>
      <c r="AA27" s="666"/>
      <c r="AB27" s="667"/>
      <c r="AC27" s="248"/>
      <c r="AD27" s="249"/>
    </row>
    <row r="28" spans="3:30">
      <c r="C28" s="238"/>
      <c r="W28" s="480"/>
      <c r="X28" s="481"/>
      <c r="Y28" s="246"/>
      <c r="Z28" s="247"/>
      <c r="AA28" s="666"/>
      <c r="AB28" s="667"/>
      <c r="AC28" s="248"/>
      <c r="AD28" s="249"/>
    </row>
    <row r="29" spans="3:30">
      <c r="C29" s="238"/>
      <c r="W29" s="480"/>
      <c r="X29" s="481"/>
      <c r="Y29" s="246"/>
      <c r="Z29" s="247"/>
      <c r="AA29" s="666"/>
      <c r="AB29" s="667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66"/>
      <c r="AB30" s="667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66"/>
      <c r="AB31" s="667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66"/>
      <c r="AB32" s="667"/>
      <c r="AC32" s="248"/>
      <c r="AD32" s="249"/>
    </row>
    <row r="33" spans="3:30">
      <c r="C33" s="238"/>
      <c r="W33" s="480"/>
      <c r="X33" s="481"/>
      <c r="Y33" s="246"/>
      <c r="Z33" s="247"/>
      <c r="AA33" s="666"/>
      <c r="AB33" s="667"/>
      <c r="AC33" s="248"/>
      <c r="AD33" s="249"/>
    </row>
    <row r="34" spans="3:30">
      <c r="C34" s="238"/>
      <c r="W34" s="480"/>
      <c r="X34" s="481"/>
      <c r="Y34" s="246"/>
      <c r="Z34" s="247"/>
      <c r="AA34" s="666"/>
      <c r="AB34" s="667"/>
      <c r="AC34" s="248"/>
      <c r="AD34" s="249"/>
    </row>
    <row r="35" spans="3:30">
      <c r="C35" s="238"/>
      <c r="W35" s="668"/>
      <c r="X35" s="681"/>
      <c r="Y35" s="246"/>
      <c r="Z35" s="247"/>
      <c r="AA35" s="666"/>
      <c r="AB35" s="667"/>
      <c r="AC35" s="248"/>
      <c r="AD35" s="249"/>
    </row>
    <row r="36" spans="3:30">
      <c r="C36" s="238"/>
      <c r="W36" s="672"/>
      <c r="X36" s="673"/>
      <c r="Y36" s="246"/>
      <c r="Z36" s="251"/>
      <c r="AA36" s="674"/>
      <c r="AB36" s="667"/>
      <c r="AC36" s="248"/>
      <c r="AD36" s="249"/>
    </row>
    <row r="37" spans="3:30" ht="12.75" customHeight="1">
      <c r="C37" s="238"/>
      <c r="W37" s="675"/>
      <c r="X37" s="676"/>
      <c r="Y37" s="246"/>
      <c r="Z37" s="251"/>
      <c r="AA37" s="677"/>
      <c r="AB37" s="678"/>
      <c r="AC37" s="252"/>
      <c r="AD37" s="253"/>
    </row>
    <row r="38" spans="3:30" ht="12.75" customHeight="1">
      <c r="C38" s="238"/>
      <c r="W38" s="675"/>
      <c r="X38" s="676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5"/>
      <c r="X39" s="676"/>
      <c r="Y39" s="254"/>
      <c r="Z39" s="257"/>
      <c r="AA39" s="679"/>
      <c r="AB39" s="680"/>
      <c r="AC39" s="252"/>
      <c r="AD39" s="253"/>
    </row>
    <row r="40" spans="3:30" ht="12" customHeight="1">
      <c r="C40" s="238"/>
      <c r="W40" s="685"/>
      <c r="X40" s="686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87"/>
      <c r="X41" s="688"/>
      <c r="Y41" s="260"/>
      <c r="Z41" s="261"/>
      <c r="AA41" s="679"/>
      <c r="AB41" s="680"/>
      <c r="AC41" s="252"/>
      <c r="AD41" s="253"/>
    </row>
    <row r="42" spans="3:30" ht="12" customHeight="1">
      <c r="C42" s="238"/>
      <c r="W42" s="689" t="s">
        <v>1456</v>
      </c>
      <c r="X42" s="690"/>
      <c r="Y42" s="690"/>
      <c r="Z42" s="690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2" t="s">
        <v>11</v>
      </c>
      <c r="X44" s="683"/>
      <c r="Y44" s="647"/>
      <c r="Z44" s="647"/>
      <c r="AA44" s="647"/>
      <c r="AB44" s="647"/>
      <c r="AC44" s="647"/>
      <c r="AD44" s="648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2" t="s">
        <v>984</v>
      </c>
      <c r="X45" s="683"/>
      <c r="Y45" s="647">
        <v>1</v>
      </c>
      <c r="Z45" s="647"/>
      <c r="AA45" s="647"/>
      <c r="AB45" s="647" t="s">
        <v>12</v>
      </c>
      <c r="AC45" s="647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2" t="s">
        <v>15</v>
      </c>
      <c r="X46" s="683"/>
      <c r="Y46" s="684"/>
      <c r="Z46" s="684"/>
      <c r="AA46" s="684"/>
      <c r="AB46" s="647" t="s">
        <v>16</v>
      </c>
      <c r="AC46" s="647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5" t="s">
        <v>17</v>
      </c>
      <c r="X47" s="695"/>
      <c r="Y47" s="695"/>
      <c r="Z47" s="695"/>
      <c r="AA47" s="695"/>
      <c r="AB47" s="695"/>
      <c r="AC47" s="695"/>
      <c r="AD47" s="696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97" t="str">
        <f>RAB!G6</f>
        <v>KOS GOLDYS</v>
      </c>
      <c r="X48" s="697"/>
      <c r="Y48" s="697"/>
      <c r="Z48" s="697"/>
      <c r="AA48" s="697"/>
      <c r="AB48" s="697"/>
      <c r="AC48" s="697"/>
      <c r="AD48" s="698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97"/>
      <c r="X49" s="697"/>
      <c r="Y49" s="697"/>
      <c r="Z49" s="697"/>
      <c r="AA49" s="697"/>
      <c r="AB49" s="697"/>
      <c r="AC49" s="697"/>
      <c r="AD49" s="698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97"/>
      <c r="X50" s="697"/>
      <c r="Y50" s="697"/>
      <c r="Z50" s="697"/>
      <c r="AA50" s="697"/>
      <c r="AB50" s="697"/>
      <c r="AC50" s="697"/>
      <c r="AD50" s="698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99"/>
      <c r="X51" s="699"/>
      <c r="Y51" s="699"/>
      <c r="Z51" s="699"/>
      <c r="AA51" s="699"/>
      <c r="AB51" s="699"/>
      <c r="AC51" s="699"/>
      <c r="AD51" s="700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2" t="s">
        <v>18</v>
      </c>
      <c r="X52" s="683"/>
      <c r="Y52" s="647" t="s">
        <v>1549</v>
      </c>
      <c r="Z52" s="647"/>
      <c r="AA52" s="647"/>
      <c r="AB52" s="647"/>
      <c r="AC52" s="647"/>
      <c r="AD52" s="648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2" t="s">
        <v>19</v>
      </c>
      <c r="X53" s="683"/>
      <c r="Y53" s="647" t="s">
        <v>1549</v>
      </c>
      <c r="Z53" s="647"/>
      <c r="AA53" s="647"/>
      <c r="AB53" s="647"/>
      <c r="AC53" s="647"/>
      <c r="AD53" s="648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2" t="s">
        <v>20</v>
      </c>
      <c r="X54" s="683"/>
      <c r="Y54" s="691" t="s">
        <v>1550</v>
      </c>
      <c r="Z54" s="691"/>
      <c r="AA54" s="691"/>
      <c r="AB54" s="647"/>
      <c r="AC54" s="647"/>
      <c r="AD54" s="648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2" t="s">
        <v>21</v>
      </c>
      <c r="X55" s="693"/>
      <c r="Y55" s="691" t="s">
        <v>1551</v>
      </c>
      <c r="Z55" s="691"/>
      <c r="AA55" s="691"/>
      <c r="AB55" s="691"/>
      <c r="AC55" s="691"/>
      <c r="AD55" s="694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7" zoomScale="40" zoomScaleNormal="55" zoomScaleSheetLayoutView="40" workbookViewId="0">
      <selection activeCell="T46" sqref="T46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1" t="s">
        <v>1528</v>
      </c>
      <c r="E4" s="702"/>
      <c r="F4" s="702"/>
      <c r="G4" s="702"/>
      <c r="H4" s="702"/>
      <c r="I4" s="702"/>
      <c r="J4" s="702"/>
      <c r="K4" s="702"/>
      <c r="L4" s="702"/>
      <c r="M4" s="702"/>
      <c r="N4" s="702"/>
      <c r="O4" s="702"/>
      <c r="P4" s="702"/>
      <c r="Q4" s="702"/>
      <c r="R4" s="702"/>
      <c r="S4" s="702"/>
      <c r="T4" s="702"/>
      <c r="U4" s="702"/>
      <c r="V4" s="702"/>
      <c r="W4" s="702"/>
      <c r="X4" s="702"/>
      <c r="Y4" s="702"/>
      <c r="Z4" s="702"/>
      <c r="AA4" s="702"/>
      <c r="AB4" s="702"/>
      <c r="AC4" s="703"/>
      <c r="AD4" s="217"/>
      <c r="AE4" s="216"/>
      <c r="AF4" s="216"/>
    </row>
    <row r="5" spans="2:32" ht="13.5" customHeight="1">
      <c r="B5" s="215"/>
      <c r="C5" s="215"/>
      <c r="D5" s="704"/>
      <c r="E5" s="705"/>
      <c r="F5" s="705"/>
      <c r="G5" s="705"/>
      <c r="H5" s="705"/>
      <c r="I5" s="705"/>
      <c r="J5" s="705"/>
      <c r="K5" s="705"/>
      <c r="L5" s="705"/>
      <c r="M5" s="705"/>
      <c r="N5" s="705"/>
      <c r="O5" s="705"/>
      <c r="P5" s="705"/>
      <c r="Q5" s="705"/>
      <c r="R5" s="705"/>
      <c r="S5" s="705"/>
      <c r="T5" s="705"/>
      <c r="U5" s="705"/>
      <c r="V5" s="705"/>
      <c r="W5" s="705"/>
      <c r="X5" s="705"/>
      <c r="Y5" s="705"/>
      <c r="Z5" s="705"/>
      <c r="AA5" s="705"/>
      <c r="AB5" s="705"/>
      <c r="AC5" s="706"/>
      <c r="AD5" s="217"/>
      <c r="AE5" s="216"/>
      <c r="AF5" s="216"/>
    </row>
    <row r="6" spans="2:32" ht="12.75" customHeight="1">
      <c r="B6" s="215"/>
      <c r="C6" s="215"/>
      <c r="D6" s="704"/>
      <c r="E6" s="705"/>
      <c r="F6" s="705"/>
      <c r="G6" s="705"/>
      <c r="H6" s="705"/>
      <c r="I6" s="705"/>
      <c r="J6" s="705"/>
      <c r="K6" s="705"/>
      <c r="L6" s="705"/>
      <c r="M6" s="705"/>
      <c r="N6" s="705"/>
      <c r="O6" s="705"/>
      <c r="P6" s="705"/>
      <c r="Q6" s="705"/>
      <c r="R6" s="705"/>
      <c r="S6" s="705"/>
      <c r="T6" s="705"/>
      <c r="U6" s="705"/>
      <c r="V6" s="705"/>
      <c r="W6" s="705"/>
      <c r="X6" s="705"/>
      <c r="Y6" s="705"/>
      <c r="Z6" s="705"/>
      <c r="AA6" s="705"/>
      <c r="AB6" s="705"/>
      <c r="AC6" s="706"/>
      <c r="AE6" s="216"/>
      <c r="AF6" s="216"/>
    </row>
    <row r="7" spans="2:32" ht="12.75" customHeight="1" thickBot="1">
      <c r="B7" s="215"/>
      <c r="C7" s="215"/>
      <c r="D7" s="707"/>
      <c r="E7" s="708"/>
      <c r="F7" s="708"/>
      <c r="G7" s="708"/>
      <c r="H7" s="708"/>
      <c r="I7" s="708"/>
      <c r="J7" s="708"/>
      <c r="K7" s="708"/>
      <c r="L7" s="708"/>
      <c r="M7" s="708"/>
      <c r="N7" s="708"/>
      <c r="O7" s="708"/>
      <c r="P7" s="708"/>
      <c r="Q7" s="708"/>
      <c r="R7" s="708"/>
      <c r="S7" s="708"/>
      <c r="T7" s="708"/>
      <c r="U7" s="708"/>
      <c r="V7" s="708"/>
      <c r="W7" s="708"/>
      <c r="X7" s="708"/>
      <c r="Y7" s="708"/>
      <c r="Z7" s="708"/>
      <c r="AA7" s="708"/>
      <c r="AB7" s="708"/>
      <c r="AC7" s="709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tabSelected="1" view="pageBreakPreview" zoomScale="70" zoomScaleNormal="40" zoomScaleSheetLayoutView="70" workbookViewId="0">
      <selection activeCell="V11" sqref="V11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5" t="s">
        <v>1527</v>
      </c>
      <c r="D3" s="705"/>
      <c r="E3" s="705"/>
      <c r="F3" s="705"/>
      <c r="G3" s="705"/>
      <c r="H3" s="705"/>
      <c r="I3" s="705"/>
      <c r="J3" s="705"/>
      <c r="K3" s="705"/>
      <c r="L3" s="705"/>
      <c r="M3" s="705"/>
      <c r="N3" s="705"/>
      <c r="O3" s="705"/>
      <c r="P3" s="705"/>
      <c r="Q3" s="705"/>
      <c r="R3" s="705"/>
      <c r="S3" s="705"/>
      <c r="T3" s="705"/>
      <c r="U3" s="705"/>
      <c r="V3" s="705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05"/>
      <c r="D4" s="705"/>
      <c r="E4" s="705"/>
      <c r="F4" s="705"/>
      <c r="G4" s="705"/>
      <c r="H4" s="705"/>
      <c r="I4" s="705"/>
      <c r="J4" s="705"/>
      <c r="K4" s="705"/>
      <c r="L4" s="705"/>
      <c r="M4" s="705"/>
      <c r="N4" s="705"/>
      <c r="O4" s="705"/>
      <c r="P4" s="705"/>
      <c r="Q4" s="705"/>
      <c r="R4" s="705"/>
      <c r="S4" s="705"/>
      <c r="T4" s="705"/>
      <c r="U4" s="705"/>
      <c r="V4" s="705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10" t="s">
        <v>1627</v>
      </c>
      <c r="D6" s="710"/>
      <c r="E6" s="710"/>
      <c r="F6" s="710"/>
      <c r="G6" s="710"/>
      <c r="H6" s="710"/>
      <c r="I6" s="710"/>
      <c r="J6" s="710"/>
      <c r="K6" s="710"/>
      <c r="L6" s="710"/>
      <c r="M6" s="710"/>
      <c r="W6" s="182"/>
      <c r="Y6" s="428"/>
      <c r="Z6" s="428"/>
      <c r="AA6" s="428"/>
      <c r="AB6" s="429"/>
      <c r="AC6" s="429"/>
    </row>
    <row r="7" spans="1:29" ht="18" customHeight="1">
      <c r="A7" s="181"/>
      <c r="C7" s="710"/>
      <c r="D7" s="710"/>
      <c r="E7" s="710"/>
      <c r="F7" s="710"/>
      <c r="G7" s="710"/>
      <c r="H7" s="710"/>
      <c r="I7" s="710"/>
      <c r="J7" s="710"/>
      <c r="K7" s="710"/>
      <c r="L7" s="710"/>
      <c r="M7" s="710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2024-04-26T07:10:18Z</dcterms:modified>
</cp:coreProperties>
</file>