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88F90324-557D-4E32-B6D5-964D26B9FCD2}" xr6:coauthVersionLast="47" xr6:coauthVersionMax="47" xr10:uidLastSave="{00000000-0000-0000-0000-000000000000}"/>
  <bookViews>
    <workbookView xWindow="-120" yWindow="-120" windowWidth="29040" windowHeight="157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RAB!$A$1:$K$110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" i="59" l="1"/>
  <c r="F78" i="11"/>
  <c r="F75" i="11"/>
  <c r="D70" i="11"/>
  <c r="H70" i="11" s="1"/>
  <c r="E70" i="11"/>
  <c r="G70" i="11"/>
  <c r="D71" i="11"/>
  <c r="J71" i="11" s="1"/>
  <c r="E71" i="11"/>
  <c r="G71" i="11"/>
  <c r="D69" i="11"/>
  <c r="J69" i="11" s="1"/>
  <c r="E69" i="11"/>
  <c r="G69" i="11"/>
  <c r="F27" i="11"/>
  <c r="F26" i="11"/>
  <c r="F25" i="11"/>
  <c r="F24" i="11"/>
  <c r="F23" i="11"/>
  <c r="I71" i="11" l="1"/>
  <c r="J70" i="11"/>
  <c r="H71" i="11"/>
  <c r="I70" i="11"/>
  <c r="I69" i="11"/>
  <c r="H69" i="11"/>
  <c r="K70" i="11" l="1"/>
  <c r="K71" i="11"/>
  <c r="K69" i="11"/>
  <c r="F34" i="11" l="1"/>
  <c r="F33" i="11"/>
  <c r="F32" i="11"/>
  <c r="F31" i="11"/>
  <c r="F30" i="11"/>
  <c r="D21" i="11"/>
  <c r="J21" i="11" s="1"/>
  <c r="E21" i="11"/>
  <c r="G21" i="11"/>
  <c r="D22" i="11"/>
  <c r="J22" i="11" s="1"/>
  <c r="E22" i="11"/>
  <c r="G22" i="11"/>
  <c r="D23" i="11"/>
  <c r="H23" i="11" s="1"/>
  <c r="E23" i="11"/>
  <c r="G23" i="11"/>
  <c r="D24" i="11"/>
  <c r="H24" i="11" s="1"/>
  <c r="E24" i="11"/>
  <c r="G24" i="11"/>
  <c r="D25" i="11"/>
  <c r="J25" i="11" s="1"/>
  <c r="E25" i="11"/>
  <c r="G25" i="11"/>
  <c r="D26" i="11"/>
  <c r="J26" i="11" s="1"/>
  <c r="E26" i="11"/>
  <c r="G26" i="11"/>
  <c r="D27" i="11"/>
  <c r="H27" i="11" s="1"/>
  <c r="E27" i="11"/>
  <c r="G27" i="11"/>
  <c r="D28" i="11"/>
  <c r="H28" i="11" s="1"/>
  <c r="E28" i="11"/>
  <c r="G28" i="11"/>
  <c r="D29" i="11"/>
  <c r="J29" i="11" s="1"/>
  <c r="E29" i="11"/>
  <c r="G29" i="11"/>
  <c r="D30" i="11"/>
  <c r="J30" i="11" s="1"/>
  <c r="E30" i="11"/>
  <c r="G30" i="11"/>
  <c r="D31" i="11"/>
  <c r="H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E34" i="11"/>
  <c r="G34" i="11"/>
  <c r="D35" i="11"/>
  <c r="H35" i="11" s="1"/>
  <c r="E35" i="11"/>
  <c r="G35" i="11"/>
  <c r="G18" i="11"/>
  <c r="D18" i="11"/>
  <c r="E18" i="11"/>
  <c r="J23" i="11" l="1"/>
  <c r="I25" i="11"/>
  <c r="I23" i="11"/>
  <c r="K23" i="11" s="1"/>
  <c r="I29" i="11"/>
  <c r="I33" i="11"/>
  <c r="J27" i="11"/>
  <c r="I21" i="11"/>
  <c r="J35" i="11"/>
  <c r="H21" i="11"/>
  <c r="I35" i="11"/>
  <c r="H33" i="11"/>
  <c r="I32" i="11"/>
  <c r="J31" i="11"/>
  <c r="H29" i="11"/>
  <c r="I28" i="11"/>
  <c r="I31" i="11"/>
  <c r="I27" i="11"/>
  <c r="H25" i="11"/>
  <c r="K25" i="11" s="1"/>
  <c r="I24" i="11"/>
  <c r="J34" i="11"/>
  <c r="I34" i="11"/>
  <c r="I30" i="11"/>
  <c r="I26" i="11"/>
  <c r="I22" i="11"/>
  <c r="H34" i="11"/>
  <c r="J32" i="11"/>
  <c r="H30" i="11"/>
  <c r="J28" i="11"/>
  <c r="H26" i="11"/>
  <c r="J24" i="11"/>
  <c r="H22" i="11"/>
  <c r="J18" i="11"/>
  <c r="I18" i="11"/>
  <c r="H18" i="11"/>
  <c r="F41" i="11"/>
  <c r="F40" i="11"/>
  <c r="F39" i="11"/>
  <c r="F38" i="11"/>
  <c r="F37" i="11"/>
  <c r="D39" i="11"/>
  <c r="H39" i="11" s="1"/>
  <c r="E39" i="11"/>
  <c r="G39" i="11"/>
  <c r="D40" i="11"/>
  <c r="J40" i="11" s="1"/>
  <c r="E40" i="11"/>
  <c r="G40" i="11"/>
  <c r="D41" i="11"/>
  <c r="H41" i="11" s="1"/>
  <c r="E41" i="11"/>
  <c r="G41" i="11"/>
  <c r="D42" i="11"/>
  <c r="J42" i="11" s="1"/>
  <c r="E42" i="11"/>
  <c r="G42" i="11"/>
  <c r="D43" i="11"/>
  <c r="H43" i="11" s="1"/>
  <c r="E43" i="11"/>
  <c r="G43" i="11"/>
  <c r="D36" i="11"/>
  <c r="H36" i="11" s="1"/>
  <c r="E36" i="11"/>
  <c r="G36" i="11"/>
  <c r="D37" i="11"/>
  <c r="J37" i="11" s="1"/>
  <c r="E37" i="11"/>
  <c r="G37" i="11"/>
  <c r="D38" i="11"/>
  <c r="H38" i="11" s="1"/>
  <c r="E38" i="11"/>
  <c r="G38" i="11"/>
  <c r="F76" i="11"/>
  <c r="F74" i="11"/>
  <c r="F73" i="11"/>
  <c r="F85" i="11"/>
  <c r="F84" i="11"/>
  <c r="F83" i="11"/>
  <c r="F82" i="11"/>
  <c r="F81" i="11"/>
  <c r="F80" i="11"/>
  <c r="F79" i="11"/>
  <c r="K27" i="11" l="1"/>
  <c r="K29" i="11"/>
  <c r="K21" i="11"/>
  <c r="K32" i="11"/>
  <c r="K33" i="11"/>
  <c r="K31" i="11"/>
  <c r="K35" i="11"/>
  <c r="K28" i="11"/>
  <c r="K22" i="11"/>
  <c r="K24" i="11"/>
  <c r="K26" i="11"/>
  <c r="K34" i="11"/>
  <c r="K18" i="11"/>
  <c r="K30" i="11"/>
  <c r="I39" i="11"/>
  <c r="J43" i="11"/>
  <c r="I43" i="11"/>
  <c r="I42" i="11"/>
  <c r="J41" i="11"/>
  <c r="J39" i="11"/>
  <c r="I41" i="11"/>
  <c r="I40" i="11"/>
  <c r="H42" i="11"/>
  <c r="H40" i="11"/>
  <c r="J38" i="11"/>
  <c r="I37" i="11"/>
  <c r="J36" i="11"/>
  <c r="I36" i="11"/>
  <c r="I38" i="11"/>
  <c r="H37" i="11"/>
  <c r="K39" i="11" l="1"/>
  <c r="K42" i="11"/>
  <c r="K43" i="11"/>
  <c r="K41" i="11"/>
  <c r="K40" i="11"/>
  <c r="K37" i="11"/>
  <c r="K36" i="11"/>
  <c r="K38" i="11"/>
  <c r="G77" i="11" l="1"/>
  <c r="G78" i="11"/>
  <c r="G79" i="11"/>
  <c r="G80" i="11"/>
  <c r="G81" i="11"/>
  <c r="G82" i="11"/>
  <c r="G83" i="11"/>
  <c r="G84" i="11"/>
  <c r="G85" i="11"/>
  <c r="G86" i="11"/>
  <c r="G87" i="11"/>
  <c r="G88" i="11"/>
  <c r="G89" i="11"/>
  <c r="D77" i="11"/>
  <c r="H77" i="11" s="1"/>
  <c r="E77" i="11"/>
  <c r="D78" i="11"/>
  <c r="J78" i="11" s="1"/>
  <c r="E78" i="11"/>
  <c r="D79" i="11"/>
  <c r="E79" i="11"/>
  <c r="D80" i="11"/>
  <c r="H80" i="11" s="1"/>
  <c r="E80" i="11"/>
  <c r="D81" i="11"/>
  <c r="H81" i="11" s="1"/>
  <c r="E81" i="11"/>
  <c r="D82" i="11"/>
  <c r="J82" i="11" s="1"/>
  <c r="E82" i="11"/>
  <c r="D83" i="11"/>
  <c r="E83" i="11"/>
  <c r="D84" i="11"/>
  <c r="H84" i="11" s="1"/>
  <c r="E84" i="11"/>
  <c r="D85" i="11"/>
  <c r="H85" i="11" s="1"/>
  <c r="E85" i="11"/>
  <c r="D86" i="11"/>
  <c r="J86" i="11" s="1"/>
  <c r="E86" i="11"/>
  <c r="D87" i="11"/>
  <c r="J87" i="11" s="1"/>
  <c r="E87" i="11"/>
  <c r="D88" i="11"/>
  <c r="I88" i="11" s="1"/>
  <c r="E88" i="11"/>
  <c r="D89" i="11"/>
  <c r="H89" i="11" s="1"/>
  <c r="E89" i="11"/>
  <c r="F66" i="11"/>
  <c r="F65" i="11"/>
  <c r="F64" i="11"/>
  <c r="F63" i="11"/>
  <c r="F60" i="11"/>
  <c r="F59" i="11"/>
  <c r="F58" i="11"/>
  <c r="F57" i="11"/>
  <c r="F54" i="11"/>
  <c r="F53" i="11"/>
  <c r="F52" i="11"/>
  <c r="F51" i="11"/>
  <c r="F50" i="11"/>
  <c r="F49" i="11"/>
  <c r="D47" i="11"/>
  <c r="H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H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H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H57" i="11" s="1"/>
  <c r="E57" i="11"/>
  <c r="G57" i="11"/>
  <c r="D58" i="11"/>
  <c r="H58" i="11" s="1"/>
  <c r="E58" i="11"/>
  <c r="G58" i="11"/>
  <c r="D59" i="11"/>
  <c r="J59" i="11" s="1"/>
  <c r="E59" i="11"/>
  <c r="G59" i="11"/>
  <c r="D60" i="11"/>
  <c r="E60" i="11"/>
  <c r="G60" i="11"/>
  <c r="D61" i="11"/>
  <c r="H61" i="11" s="1"/>
  <c r="E61" i="11"/>
  <c r="G61" i="11"/>
  <c r="D62" i="11"/>
  <c r="H62" i="11" s="1"/>
  <c r="E62" i="11"/>
  <c r="G62" i="11"/>
  <c r="D63" i="11"/>
  <c r="J63" i="11" s="1"/>
  <c r="E63" i="11"/>
  <c r="G63" i="11"/>
  <c r="D64" i="11"/>
  <c r="J64" i="11" s="1"/>
  <c r="E64" i="11"/>
  <c r="G64" i="11"/>
  <c r="D65" i="11"/>
  <c r="H65" i="11" s="1"/>
  <c r="E65" i="11"/>
  <c r="G65" i="11"/>
  <c r="D66" i="11"/>
  <c r="H66" i="11" s="1"/>
  <c r="E66" i="11"/>
  <c r="G66" i="11"/>
  <c r="D67" i="11"/>
  <c r="H67" i="11" s="1"/>
  <c r="E67" i="11"/>
  <c r="G67" i="11"/>
  <c r="D68" i="11"/>
  <c r="J68" i="11" s="1"/>
  <c r="E68" i="11"/>
  <c r="G68" i="11"/>
  <c r="F45" i="11"/>
  <c r="I83" i="11" l="1"/>
  <c r="I79" i="11"/>
  <c r="I85" i="11"/>
  <c r="J77" i="11"/>
  <c r="H88" i="11"/>
  <c r="J81" i="11"/>
  <c r="H79" i="11"/>
  <c r="I77" i="11"/>
  <c r="J85" i="11"/>
  <c r="H83" i="11"/>
  <c r="I81" i="11"/>
  <c r="I87" i="11"/>
  <c r="I86" i="11"/>
  <c r="I82" i="11"/>
  <c r="I78" i="11"/>
  <c r="J89" i="11"/>
  <c r="H87" i="11"/>
  <c r="H86" i="11"/>
  <c r="J84" i="11"/>
  <c r="H82" i="11"/>
  <c r="J80" i="11"/>
  <c r="H78" i="11"/>
  <c r="I89" i="11"/>
  <c r="J88" i="11"/>
  <c r="I84" i="11"/>
  <c r="J83" i="11"/>
  <c r="I80" i="11"/>
  <c r="J79" i="11"/>
  <c r="I59" i="11"/>
  <c r="I53" i="11"/>
  <c r="I55" i="11"/>
  <c r="J47" i="11"/>
  <c r="I65" i="11"/>
  <c r="I47" i="11"/>
  <c r="J60" i="11"/>
  <c r="I57" i="11"/>
  <c r="H55" i="11"/>
  <c r="I54" i="11"/>
  <c r="I49" i="11"/>
  <c r="I68" i="11"/>
  <c r="I61" i="11"/>
  <c r="I63" i="11"/>
  <c r="H51" i="11"/>
  <c r="I50" i="11"/>
  <c r="I51" i="11"/>
  <c r="I66" i="11"/>
  <c r="J65" i="11"/>
  <c r="H63" i="11"/>
  <c r="I62" i="11"/>
  <c r="J61" i="11"/>
  <c r="H59" i="11"/>
  <c r="I58" i="11"/>
  <c r="J57" i="11"/>
  <c r="J53" i="11"/>
  <c r="K53" i="11" s="1"/>
  <c r="J49" i="11"/>
  <c r="H68" i="11"/>
  <c r="I64" i="11"/>
  <c r="I60" i="11"/>
  <c r="I56" i="11"/>
  <c r="I52" i="11"/>
  <c r="I48" i="11"/>
  <c r="J67" i="11"/>
  <c r="J66" i="11"/>
  <c r="H64" i="11"/>
  <c r="J62" i="11"/>
  <c r="H60" i="11"/>
  <c r="J58" i="11"/>
  <c r="H56" i="11"/>
  <c r="J54" i="11"/>
  <c r="H52" i="11"/>
  <c r="J50" i="11"/>
  <c r="H48" i="11"/>
  <c r="I67" i="11"/>
  <c r="K64" i="11" l="1"/>
  <c r="K48" i="11"/>
  <c r="K86" i="11"/>
  <c r="K81" i="11"/>
  <c r="K83" i="11"/>
  <c r="K59" i="11"/>
  <c r="K80" i="11"/>
  <c r="K89" i="11"/>
  <c r="K78" i="11"/>
  <c r="K87" i="11"/>
  <c r="K85" i="11"/>
  <c r="K84" i="11"/>
  <c r="K79" i="11"/>
  <c r="K77" i="11"/>
  <c r="K88" i="11"/>
  <c r="K82" i="11"/>
  <c r="K47" i="11"/>
  <c r="K52" i="11"/>
  <c r="K55" i="11"/>
  <c r="K63" i="11"/>
  <c r="K54" i="11"/>
  <c r="K62" i="11"/>
  <c r="K67" i="11"/>
  <c r="K51" i="11"/>
  <c r="K65" i="11"/>
  <c r="K49" i="11"/>
  <c r="K57" i="11"/>
  <c r="K50" i="11"/>
  <c r="K68" i="11"/>
  <c r="K56" i="11"/>
  <c r="K61" i="11"/>
  <c r="K58" i="11"/>
  <c r="K66" i="11"/>
  <c r="K60" i="11"/>
  <c r="D44" i="11" l="1"/>
  <c r="E44" i="11"/>
  <c r="G44" i="11"/>
  <c r="J45" i="11"/>
  <c r="D46" i="11"/>
  <c r="H46" i="11" s="1"/>
  <c r="E46" i="11"/>
  <c r="G46" i="11"/>
  <c r="D72" i="11"/>
  <c r="D73" i="11"/>
  <c r="D74" i="11"/>
  <c r="D75" i="11"/>
  <c r="D76" i="11"/>
  <c r="D20" i="11"/>
  <c r="H20" i="11" s="1"/>
  <c r="E20" i="11"/>
  <c r="G20" i="11"/>
  <c r="E7" i="64"/>
  <c r="D17" i="11"/>
  <c r="J17" i="11" s="1"/>
  <c r="E17" i="11"/>
  <c r="G17" i="11"/>
  <c r="D15" i="11"/>
  <c r="J15" i="11" s="1"/>
  <c r="E15" i="11"/>
  <c r="G15" i="11"/>
  <c r="D16" i="11"/>
  <c r="J16" i="11" s="1"/>
  <c r="E16" i="11"/>
  <c r="G16" i="11"/>
  <c r="H44" i="11" l="1"/>
  <c r="J46" i="11"/>
  <c r="I46" i="11"/>
  <c r="I45" i="11"/>
  <c r="J44" i="11"/>
  <c r="I44" i="11"/>
  <c r="H45" i="11"/>
  <c r="J20" i="11"/>
  <c r="I20" i="11"/>
  <c r="I15" i="11"/>
  <c r="H15" i="11"/>
  <c r="I17" i="11"/>
  <c r="H17" i="11"/>
  <c r="I16" i="11"/>
  <c r="H16" i="11"/>
  <c r="K46" i="11" l="1"/>
  <c r="K45" i="11"/>
  <c r="K44" i="11"/>
  <c r="K20" i="11"/>
  <c r="K15" i="11"/>
  <c r="K17" i="11"/>
  <c r="K16" i="11"/>
  <c r="G6" i="11" l="1"/>
  <c r="E72" i="11"/>
  <c r="G72" i="11"/>
  <c r="J73" i="11"/>
  <c r="E73" i="11"/>
  <c r="G73" i="11"/>
  <c r="J74" i="11"/>
  <c r="E74" i="11"/>
  <c r="G74" i="11"/>
  <c r="E75" i="11"/>
  <c r="G75" i="11"/>
  <c r="H76" i="11"/>
  <c r="E76" i="11"/>
  <c r="G76" i="11"/>
  <c r="D20" i="60"/>
  <c r="H72" i="11" l="1"/>
  <c r="H75" i="11"/>
  <c r="J76" i="11"/>
  <c r="J75" i="11"/>
  <c r="I73" i="11"/>
  <c r="H73" i="11"/>
  <c r="J72" i="11"/>
  <c r="I75" i="11"/>
  <c r="H74" i="11"/>
  <c r="I74" i="11"/>
  <c r="I76" i="11"/>
  <c r="I72" i="11"/>
  <c r="D14" i="11"/>
  <c r="J14" i="11" s="1"/>
  <c r="E14" i="11"/>
  <c r="G14" i="11"/>
  <c r="K19" i="60"/>
  <c r="D19" i="60"/>
  <c r="K73" i="11" l="1"/>
  <c r="K75" i="11"/>
  <c r="K76" i="11"/>
  <c r="K72" i="11"/>
  <c r="K74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9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90" i="11"/>
  <c r="D91" i="11"/>
  <c r="H91" i="11" s="1"/>
  <c r="E9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9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8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9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91" i="11"/>
  <c r="I91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91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93" i="11"/>
  <c r="H94" i="11" s="1"/>
  <c r="I93" i="11"/>
  <c r="I94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95" i="11"/>
  <c r="I95" i="11"/>
  <c r="F364" i="29"/>
  <c r="F69" i="39"/>
  <c r="F72" i="39"/>
  <c r="F367" i="29"/>
  <c r="J90" i="11"/>
  <c r="K90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93" i="11" l="1"/>
  <c r="K94" i="11" s="1"/>
  <c r="K95" i="11" s="1"/>
  <c r="B96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93" i="11"/>
  <c r="J9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9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<sst xmlns="http://schemas.openxmlformats.org/spreadsheetml/2006/main" count="4754" uniqueCount="1634">
  <si>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</si>
  <si>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</si>
  <si>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</si>
  <si>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</si>
  <si>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</si>
  <si>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</si>
  <si>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</si>
  <si>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</si>
  <si>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</si>
  <si>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</si>
  <si>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</si>
  <si>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</si>
  <si>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</si>
  <si>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</si>
  <si>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</si>
  <si>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</si>
  <si>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</si>
  <si>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</si>
  <si>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</si>
  <si>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</si>
  <si>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</si>
  <si>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</si>
  <si>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</si>
  <si>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</si>
  <si>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</si>
  <si>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</si>
  <si>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</si>
  <si>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</si>
  <si>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</si>
  <si>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</si>
  <si>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</si>
  <si>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</si>
  <si>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</si>
  <si>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</si>
  <si>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</si>
  <si>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</si>
  <si>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</si>
  <si>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</si>
  <si>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</si>
  <si>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</si>
  <si>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</si>
  <si>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</si>
  <si>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</si>
  <si>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</si>
  <si>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</si>
  <si>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</si>
  <si>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</si>
  <si>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</si>
  <si>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</si>
  <si>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</si>
  <si>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</si>
  <si>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</si>
  <si>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</si>
  <si>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</si>
  <si>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</si>
  <si>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</si>
  <si>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</si>
  <si>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</si>
  <si>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</si>
  <si>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</si>
  <si>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</si>
  <si>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</si>
  <si>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</si>
  <si>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</si>
  <si>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</si>
  <si>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</si>
  <si>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</si>
  <si>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</si>
  <si>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</si>
  <si>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</si>
  <si>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</si>
  <si>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</si>
  <si>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</si>
  <si>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</si>
  <si>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</si>
  <si>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</si>
  <si>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</si>
  <si>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</si>
  <si>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</si>
  <si>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</si>
  <si>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</si>
  <si>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</si>
  <si>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</si>
  <si>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</si>
  <si>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</si>
  <si>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</si>
  <si>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</si>
  <si>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</si>
  <si>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</si>
  <si>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</si>
  <si>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</si>
  <si>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</si>
  <si>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</si>
  <si>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</si>
  <si>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</si>
  <si>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</si>
  <si>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</si>
  <si>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</si>
  <si>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</si>
  <si>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</si>
  <si>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</si>
  <si>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</si>
  <si>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</si>
  <si>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</si>
  <si>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</si>
  <si>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</si>
  <si>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</si>
  <si>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</si>
  <si>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</si>
  <si>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</si>
  <si>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</si>
  <si>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</si>
  <si>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</si>
  <si>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</si>
  <si>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</si>
  <si>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</si>
  <si>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</si>
  <si>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</si>
  <si>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</si>
  <si>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</si>
  <si>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</si>
  <si>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</si>
  <si>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</si>
  <si>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</si>
  <si>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</si>
  <si>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</si>
  <si>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</si>
  <si>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</si>
  <si>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</si>
  <si>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</si>
  <si>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</si>
  <si>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</si>
  <si>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</si>
  <si>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</si>
  <si>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</si>
  <si>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</si>
  <si>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</si>
  <si>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</si>
  <si>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</si>
  <si>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</si>
  <si>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</si>
  <si>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</si>
  <si>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</si>
  <si>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</si>
  <si>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</si>
  <si>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</si>
  <si>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</si>
  <si>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</si>
  <si>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</si>
  <si>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</si>
  <si>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</si>
  <si>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</si>
  <si>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</si>
  <si>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</si>
  <si>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</si>
  <si>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</si>
  <si>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</si>
  <si>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</si>
  <si>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</si>
  <si>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</si>
  <si>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</si>
  <si>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</si>
  <si>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</si>
  <si>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</si>
  <si>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</si>
  <si>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</si>
  <si>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</si>
  <si>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</si>
  <si>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</si>
  <si>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</si>
  <si>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</si>
  <si>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</si>
  <si>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</si>
  <si>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</si>
  <si>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</si>
  <si>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</si>
  <si>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</si>
  <si>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</si>
  <si>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</si>
  <si>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</si>
  <si>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</si>
  <si>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</si>
  <si>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</si>
  <si>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</si>
  <si>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</si>
  <si>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</si>
  <si>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</si>
  <si>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</si>
  <si>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</si>
  <si>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</si>
  <si>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</si>
  <si>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</si>
  <si>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</si>
  <si>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</si>
  <si>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</si>
  <si>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</si>
  <si>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</si>
  <si>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</si>
  <si>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</si>
  <si>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</si>
  <si>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</si>
  <si>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</si>
  <si>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</si>
  <si>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</si>
  <si>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</si>
  <si>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</si>
  <si>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</si>
  <si>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</si>
  <si>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</si>
  <si>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</si>
  <si>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</si>
  <si>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</si>
  <si>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</si>
  <si>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</si>
  <si>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</si>
  <si>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</si>
  <si>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</si>
  <si>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</si>
  <si>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</si>
  <si>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</si>
  <si>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</si>
  <si>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</si>
  <si>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</si>
  <si>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</si>
  <si>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</si>
  <si>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</si>
  <si>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</si>
  <si>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</si>
  <si>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</si>
  <si>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</si>
  <si>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</si>
  <si>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</si>
  <si>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</si>
  <si>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</si>
  <si>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</si>
  <si>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</si>
  <si>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</si>
  <si>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</si>
  <si>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</si>
  <si>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</si>
  <si>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</si>
  <si>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</si>
  <si>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</si>
  <si>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</si>
  <si>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</si>
  <si>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</si>
  <si>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</si>
  <si>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</si>
  <si>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</si>
  <si>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</si>
  <si>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</si>
  <si>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</si>
  <si>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</si>
  <si>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</si>
  <si>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</si>
  <si>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</si>
  <si>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</si>
  <si>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</si>
  <si>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</si>
  <si>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</si>
  <si>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</si>
  <si>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</si>
  <si>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</si>
  <si>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</si>
  <si>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</si>
  <si>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</si>
  <si>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</si>
  <si>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</si>
  <si>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</si>
  <si>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</si>
  <si>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</si>
  <si>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</si>
  <si>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</si>
  <si>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</si>
  <si>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</si>
  <si>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</si>
  <si>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</si>
  <si>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</si>
  <si>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</si>
  <si>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</si>
  <si>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</si>
  <si>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</si>
  <si>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</si>
  <si>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</si>
  <si>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</si>
  <si>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</si>
  <si>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</si>
  <si>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</si>
  <si>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</si>
  <si>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</si>
  <si>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</si>
  <si>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</si>
  <si>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</si>
  <si>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</si>
  <si>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</si>
  <si>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</si>
  <si>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</si>
  <si>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</si>
  <si>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</si>
  <si>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</si>
  <si>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</si>
  <si>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</si>
  <si>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</si>
  <si>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</si>
  <si>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</si>
  <si>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</si>
  <si>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</si>
  <si>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</si>
  <si>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</si>
  <si>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</si>
  <si>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</si>
  <si>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</si>
  <si>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</si>
  <si>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</si>
  <si>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</si>
  <si>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</si>
  <si>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</si>
  <si>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</si>
  <si>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</si>
  <si>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</si>
  <si>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</si>
  <si>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</si>
  <si>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</si>
  <si>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</si>
  <si>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</si>
  <si>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</si>
  <si>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</si>
  <si>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</si>
  <si>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</si>
  <si>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</si>
  <si>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</si>
  <si>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</si>
  <si>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</si>
  <si>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</si>
  <si>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</si>
  <si>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</si>
  <si>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</si>
  <si>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</si>
  <si>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</si>
  <si>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</si>
  <si>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</si>
  <si>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</si>
  <si>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</si>
  <si>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</si>
  <si>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</si>
  <si>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</si>
  <si>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</si>
  <si>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</si>
  <si>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</si>
  <si>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</si>
  <si>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</si>
  <si>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</si>
  <si>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</si>
  <si>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</si>
  <si>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</si>
  <si>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</si>
  <si>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</si>
  <si>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</si>
  <si>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</si>
  <si>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</si>
  <si>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</si>
  <si>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</si>
  <si>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</si>
  <si>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</si>
  <si>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</si>
  <si>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</si>
  <si>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</si>
  <si>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</si>
  <si>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</si>
  <si>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</si>
  <si>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</si>
  <si>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</si>
  <si>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</si>
  <si>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</si>
  <si>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</si>
  <si>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</si>
  <si>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</si>
  <si>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</si>
  <si>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</si>
  <si>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</si>
  <si>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</si>
  <si>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</si>
  <si>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</si>
  <si>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</si>
  <si>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</si>
  <si>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</si>
  <si>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</si>
  <si>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</si>
  <si>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</si>
  <si>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</si>
  <si>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</si>
  <si>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</si>
  <si>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</si>
  <si>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</si>
  <si>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</si>
  <si>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</si>
  <si>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</si>
  <si>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</si>
  <si>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</si>
  <si>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</si>
  <si>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</si>
  <si>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</si>
  <si>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</si>
  <si>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</si>
  <si>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</si>
  <si>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</si>
  <si>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</si>
  <si>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</si>
  <si>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</si>
  <si>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</si>
  <si>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</si>
  <si>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</si>
  <si>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</si>
  <si>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</si>
  <si>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</si>
  <si>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</si>
  <si>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</si>
  <si>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</si>
  <si>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</si>
  <si>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</si>
  <si>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</si>
  <si>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</si>
  <si>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</si>
  <si>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</si>
  <si>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</si>
  <si>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</si>
  <si>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</si>
  <si>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</si>
  <si>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</si>
  <si>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</si>
  <si>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</si>
  <si>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</si>
  <si>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</si>
  <si>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</si>
  <si>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</si>
  <si>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</si>
  <si>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</si>
  <si>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</si>
  <si>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</si>
  <si>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</si>
  <si>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</si>
  <si>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</si>
  <si>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</si>
  <si>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</si>
  <si>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</si>
  <si>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</si>
  <si>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</si>
  <si>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</si>
  <si>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</si>
  <si>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</si>
  <si>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</si>
  <si>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</si>
  <si>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</si>
  <si>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</si>
  <si>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</si>
  <si>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</si>
  <si>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</si>
  <si>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</si>
  <si>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</si>
  <si>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</si>
  <si>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</si>
  <si>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</si>
  <si>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</si>
  <si>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</si>
  <si>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</si>
  <si>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</si>
  <si>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</si>
  <si>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</si>
  <si>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</si>
  <si>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</si>
  <si>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</si>
  <si>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</si>
  <si>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</si>
  <si>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</si>
  <si>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</si>
  <si>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</si>
  <si>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</si>
  <si>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</si>
  <si>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</si>
  <si>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</si>
  <si>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</si>
  <si>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</si>
  <si>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</si>
  <si>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</si>
  <si>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</si>
  <si>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</si>
  <si>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</si>
  <si>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</si>
  <si>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</si>
  <si>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</si>
  <si>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</si>
  <si>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</si>
  <si>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</si>
  <si>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</si>
  <si>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</si>
  <si>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</si>
  <si>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</si>
  <si>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</si>
  <si>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</si>
  <si>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</si>
  <si>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</si>
  <si>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</si>
  <si>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</si>
  <si>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</si>
  <si>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</si>
  <si>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</si>
  <si>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</si>
  <si>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</si>
  <si>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</si>
  <si>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</si>
  <si>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</si>
  <si>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</si>
  <si>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</si>
  <si>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</si>
  <si>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</si>
  <si>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</si>
  <si>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</si>
  <si>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</si>
  <si>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</si>
  <si>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</si>
  <si>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</si>
  <si>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</si>
  <si>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</si>
  <si>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</si>
  <si>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</si>
  <si>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</si>
  <si>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</si>
  <si>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</si>
  <si>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</si>
  <si>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</si>
  <si>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</si>
  <si>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</si>
  <si>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</si>
  <si>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</si>
  <si>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</si>
  <si>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</si>
  <si>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</si>
  <si>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</si>
  <si>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</si>
  <si>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</si>
  <si>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</si>
  <si>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</si>
  <si>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</si>
  <si>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</si>
  <si>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</si>
  <si>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</si>
  <si>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</si>
  <si>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</si>
  <si>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</si>
  <si>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</si>
  <si>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</si>
  <si>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</si>
  <si>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</si>
  <si>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</si>
  <si>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</si>
  <si>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</si>
  <si>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</si>
  <si>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</si>
  <si>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</si>
  <si>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</si>
  <si>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</si>
  <si>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</si>
  <si>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</si>
  <si>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</si>
  <si>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</si>
  <si>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</si>
  <si>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</si>
  <si>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</si>
  <si>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</si>
  <si>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</si>
  <si>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</si>
  <si>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</si>
  <si>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</si>
  <si>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</si>
  <si>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</si>
  <si>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</si>
  <si>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</si>
  <si>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</si>
  <si>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</si>
  <si>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</si>
  <si>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</si>
  <si>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</si>
  <si>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</si>
  <si>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</si>
  <si>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</si>
  <si>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</si>
  <si>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</si>
  <si>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</si>
  <si>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</si>
  <si>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</si>
  <si>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</si>
  <si>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</si>
  <si>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</si>
  <si>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</si>
  <si>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</si>
  <si>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</si>
  <si>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</si>
  <si>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</si>
  <si>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</si>
  <si>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</si>
  <si>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</si>
  <si>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</si>
  <si>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</si>
  <si>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</si>
  <si>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</si>
  <si>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</si>
  <si>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</si>
  <si>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</si>
  <si>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</si>
  <si>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</si>
  <si>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</si>
  <si>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</si>
  <si>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</si>
  <si>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</si>
  <si>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</si>
  <si>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</si>
  <si>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</si>
  <si>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</si>
  <si>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</si>
  <si>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</si>
  <si>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</si>
  <si>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</si>
  <si>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</si>
  <si>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</si>
  <si>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</si>
  <si>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</si>
  <si>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</si>
  <si>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</si>
  <si>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</si>
  <si>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</si>
  <si>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</si>
  <si>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</si>
  <si>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</si>
  <si>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</si>
  <si>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</si>
  <si>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</si>
  <si>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</si>
  <si>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</si>
  <si>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</si>
  <si>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</si>
  <si>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</si>
  <si>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</si>
  <si>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</si>
  <si>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</si>
  <si>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</si>
  <si>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</si>
  <si>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</si>
  <si>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</si>
  <si>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</si>
  <si>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</si>
  <si>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</si>
  <si>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</si>
  <si>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</si>
  <si>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</si>
  <si>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</si>
  <si>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</si>
  <si>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</si>
  <si>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</si>
  <si>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</si>
  <si>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</si>
  <si>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</si>
  <si>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</si>
  <si>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</si>
  <si>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</si>
  <si>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</si>
  <si>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</si>
  <si>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</si>
  <si>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</si>
  <si>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</si>
  <si>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</si>
  <si>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</si>
  <si>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</si>
  <si>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</si>
  <si>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</si>
  <si>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</si>
  <si>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</si>
  <si>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</si>
  <si>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</si>
  <si>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</si>
  <si>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</si>
  <si>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</si>
  <si>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</si>
  <si>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</si>
  <si>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</si>
  <si>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</si>
  <si>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</si>
  <si>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</si>
  <si>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</si>
  <si>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</si>
  <si>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</si>
  <si>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</si>
  <si>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</si>
  <si>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</si>
  <si>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</si>
  <si>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</si>
  <si>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</si>
  <si>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</si>
  <si>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</si>
  <si>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</si>
  <si>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</si>
  <si>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</si>
  <si>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</si>
  <si>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</si>
  <si>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</si>
  <si>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</si>
  <si>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</si>
  <si>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</si>
  <si>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</si>
  <si>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</si>
  <si>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</si>
  <si>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</si>
  <si>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</si>
  <si>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</si>
  <si>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</si>
  <si>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</si>
  <si>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</si>
  <si>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</si>
  <si>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</si>
  <si>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</si>
  <si>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</si>
  <si>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</si>
  <si>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</si>
  <si>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</si>
  <si>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</si>
  <si>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</si>
  <si>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</si>
  <si>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</si>
  <si>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</si>
  <si>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</si>
  <si>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</si>
  <si>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</si>
  <si>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</si>
  <si>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</si>
  <si>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</si>
  <si>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</si>
  <si>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</si>
  <si>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</si>
  <si>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</si>
  <si>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</si>
  <si>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</si>
  <si>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</si>
  <si>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</si>
  <si>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</si>
  <si>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</si>
  <si>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</si>
  <si>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</si>
  <si>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</si>
  <si>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</si>
  <si>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</si>
  <si>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</si>
  <si>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</si>
  <si>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</si>
  <si>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</si>
  <si>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</si>
  <si>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</si>
  <si>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</si>
  <si>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</si>
  <si>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</si>
  <si>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</si>
  <si>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</si>
  <si>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</si>
  <si>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</si>
  <si>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</si>
  <si>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</si>
  <si>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</si>
  <si>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</si>
  <si>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</si>
  <si>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</si>
  <si>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</si>
  <si>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</si>
  <si>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</si>
  <si>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</si>
  <si>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</si>
  <si>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</si>
  <si>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</si>
  <si>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</si>
  <si>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</si>
  <si>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</si>
  <si>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</si>
  <si>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</si>
  <si>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</si>
  <si>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</si>
  <si>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</si>
  <si>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</si>
  <si>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</si>
  <si>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</si>
  <si>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</si>
  <si>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</si>
  <si>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</si>
  <si>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</si>
  <si>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</si>
  <si>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</si>
  <si>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</si>
  <si>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</si>
  <si>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</si>
  <si>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</si>
  <si>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</si>
  <si>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</si>
  <si>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</si>
  <si>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</si>
  <si>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</si>
  <si>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</si>
  <si>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</si>
  <si>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</si>
  <si>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</si>
  <si>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</si>
  <si>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</si>
  <si>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</si>
  <si>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</si>
  <si>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</si>
  <si>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</si>
  <si>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</si>
  <si>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</si>
  <si>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</si>
  <si>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</si>
  <si>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</si>
  <si>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</si>
  <si>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</si>
  <si>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</si>
  <si>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</si>
  <si>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</si>
  <si>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</si>
  <si>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</si>
  <si>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</si>
  <si>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</si>
  <si>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</si>
  <si>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</si>
  <si>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</si>
  <si>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</si>
  <si>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</si>
  <si>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</si>
  <si>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</si>
  <si>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</si>
  <si>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</si>
  <si>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</si>
  <si>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</si>
  <si>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</si>
  <si>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</si>
  <si>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</si>
  <si>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</si>
  <si>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</si>
  <si>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</si>
  <si>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</si>
  <si>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</si>
  <si>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</si>
  <si>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</si>
  <si>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</si>
  <si>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</si>
  <si>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</si>
  <si>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</si>
  <si>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</si>
  <si>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</si>
  <si>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</si>
  <si>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</si>
  <si>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</si>
  <si>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</si>
  <si>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</si>
  <si>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</si>
  <si>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</si>
  <si>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</si>
  <si>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</si>
  <si>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</si>
  <si>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</si>
  <si>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</si>
  <si>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</si>
  <si>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</si>
  <si>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</si>
  <si>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</si>
  <si>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</si>
  <si>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</si>
  <si>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</si>
  <si>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</si>
  <si>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</si>
  <si>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</si>
  <si>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</si>
  <si>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</si>
  <si>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</si>
  <si>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</si>
  <si>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</si>
  <si>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</si>
  <si>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</si>
  <si>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</si>
  <si>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</si>
  <si>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</si>
  <si>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</si>
  <si>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</si>
  <si>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</si>
  <si>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</si>
  <si>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</si>
  <si>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</si>
  <si>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</si>
  <si>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</si>
  <si>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</si>
  <si>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</si>
  <si>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</si>
  <si>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</si>
  <si>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</si>
  <si>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</si>
  <si>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</si>
  <si>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</si>
  <si>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</si>
  <si>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</si>
  <si>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</si>
  <si>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</si>
  <si>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</si>
  <si>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</si>
  <si>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</si>
  <si>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</si>
  <si>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</si>
  <si>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</si>
  <si>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</si>
  <si>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</si>
  <si>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</si>
  <si>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</si>
  <si>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</si>
  <si>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</si>
  <si>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</si>
  <si>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</si>
  <si>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</si>
  <si>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</si>
  <si>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</si>
  <si>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</si>
  <si>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</si>
  <si>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</si>
  <si>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</si>
  <si>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</si>
  <si>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</si>
  <si>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</si>
  <si>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</si>
  <si>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</si>
  <si>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</si>
  <si>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</si>
  <si>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</si>
  <si>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</si>
  <si>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</si>
  <si>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</si>
  <si>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</si>
  <si>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</si>
  <si>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</si>
  <si>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</si>
  <si>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</si>
  <si>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</si>
  <si>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</si>
  <si>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</si>
  <si>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</si>
  <si>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</si>
  <si>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</si>
  <si>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</si>
  <si>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</si>
  <si>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</si>
  <si>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</si>
  <si>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</si>
  <si>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</si>
  <si>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</si>
  <si>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</si>
  <si>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</si>
  <si>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</si>
  <si>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</si>
  <si>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</si>
  <si>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</si>
  <si>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</si>
  <si>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</si>
  <si>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</si>
  <si>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</si>
  <si>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</si>
  <si>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</si>
  <si>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</si>
  <si>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</si>
  <si>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</si>
  <si>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</si>
  <si>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</si>
  <si>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</si>
  <si>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</si>
  <si>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</si>
  <si>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</si>
  <si>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</si>
  <si>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</si>
  <si>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</si>
  <si>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</si>
  <si>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</si>
  <si>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</si>
  <si>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</si>
  <si>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</si>
  <si>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</si>
  <si>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</si>
  <si>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</si>
  <si>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</si>
  <si>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</si>
  <si>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</si>
  <si>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</si>
  <si>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</si>
  <si>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</si>
  <si>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</si>
  <si>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</si>
  <si>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</si>
  <si>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</si>
  <si>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</si>
  <si>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</si>
  <si>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</si>
  <si>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</si>
  <si>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</si>
  <si>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</si>
  <si>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</si>
  <si>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</si>
  <si>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</si>
  <si>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</si>
  <si>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</si>
  <si>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</si>
  <si>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</si>
  <si>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</si>
  <si>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</si>
  <si>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</si>
  <si>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</si>
  <si>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</si>
  <si>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</si>
  <si>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</si>
  <si>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</si>
  <si>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</si>
  <si>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</si>
  <si>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</si>
  <si>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</si>
  <si>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</si>
  <si>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</si>
  <si>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</si>
  <si>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</si>
  <si>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</si>
  <si>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</si>
  <si>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</si>
  <si>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</si>
  <si>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</si>
  <si>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</si>
  <si>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</si>
  <si>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</si>
  <si>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</si>
  <si>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</si>
  <si>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</si>
  <si>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</si>
  <si>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</si>
  <si>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</si>
  <si>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</si>
  <si>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</si>
  <si>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</si>
  <si>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</si>
  <si>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</si>
  <si>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</si>
  <si>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</si>
  <si>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</si>
  <si>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</si>
  <si>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</si>
  <si>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</si>
  <si>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</si>
  <si>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</si>
  <si>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</si>
  <si>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</si>
  <si>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</si>
  <si>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</si>
  <si>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</si>
  <si>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</si>
  <si>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</si>
  <si>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</si>
  <si>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</si>
  <si>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</si>
  <si>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</si>
  <si>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</si>
  <si>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</si>
  <si>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</si>
  <si>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</si>
  <si>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</si>
  <si>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</si>
  <si>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</si>
  <si>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</si>
  <si>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</si>
  <si>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</si>
  <si>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</si>
  <si>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</si>
  <si>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</si>
  <si>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</si>
  <si>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</si>
  <si>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</si>
  <si>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</si>
  <si>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</si>
  <si>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</si>
  <si>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</si>
  <si>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</si>
  <si>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</si>
  <si>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</si>
  <si>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</si>
  <si>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</si>
  <si>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</si>
  <si>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</si>
  <si>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</si>
  <si>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</si>
  <si>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</si>
  <si>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</si>
  <si>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</si>
  <si>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</si>
  <si>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</si>
  <si>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</si>
  <si>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</si>
  <si>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</si>
  <si>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</si>
  <si>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</si>
  <si>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</si>
  <si>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</si>
  <si>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</si>
  <si>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</si>
  <si>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</si>
  <si>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</si>
  <si>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</si>
  <si>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</si>
  <si>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</si>
  <si>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</si>
  <si>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</si>
  <si>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</si>
  <si>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</si>
  <si>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</si>
  <si>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</si>
  <si>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</si>
  <si>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</si>
  <si>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</si>
  <si>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</si>
  <si>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</si>
  <si>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</si>
  <si>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</si>
  <si>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</si>
  <si>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</si>
  <si>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</si>
  <si>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</si>
  <si>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</si>
  <si>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</si>
  <si>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</si>
  <si>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</si>
  <si>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</si>
  <si>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</si>
  <si>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</si>
  <si>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</si>
  <si>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</si>
  <si>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</si>
  <si>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</si>
  <si>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</si>
  <si>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</si>
  <si>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</si>
  <si>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</si>
  <si>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</si>
  <si>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</si>
  <si>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</si>
  <si>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</si>
  <si>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</si>
  <si>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</si>
  <si>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</si>
  <si>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</si>
  <si>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</si>
  <si>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</si>
  <si>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</si>
  <si>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</si>
  <si>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</si>
  <si>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</si>
  <si>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</si>
  <si>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</si>
  <si>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</si>
  <si>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</si>
  <si>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</si>
  <si>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</si>
  <si>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</si>
  <si>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</si>
  <si>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</si>
  <si>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</si>
  <si>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</si>
  <si>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</si>
  <si>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</si>
  <si>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</si>
  <si>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</si>
  <si>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</si>
  <si>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</si>
  <si>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</si>
  <si>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</si>
  <si>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</si>
  <si>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</si>
  <si>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</si>
  <si>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</si>
  <si>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</si>
  <si>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</si>
  <si>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</si>
  <si>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</si>
  <si>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</si>
  <si>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</si>
  <si>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</si>
  <si>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</si>
  <si>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</si>
  <si>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</si>
  <si>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</si>
  <si>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</si>
  <si>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</si>
  <si>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</si>
  <si>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</si>
  <si>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</si>
  <si>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</si>
  <si>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</si>
  <si>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</si>
  <si>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</si>
  <si>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</si>
  <si>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</si>
  <si>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</si>
  <si>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</si>
  <si>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</si>
  <si>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</si>
  <si>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</si>
  <si>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</si>
  <si>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</si>
  <si>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</si>
  <si>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</si>
  <si>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</si>
  <si>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</si>
  <si>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</si>
  <si>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</si>
  <si>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</si>
  <si>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</si>
  <si>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</si>
  <si>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</si>
  <si>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</si>
  <si>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</si>
  <si>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</si>
  <si>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</si>
  <si>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</si>
  <si>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</si>
  <si>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</si>
  <si>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</si>
  <si>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</si>
  <si>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</si>
  <si>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</si>
  <si>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</si>
  <si>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</si>
  <si>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</si>
  <si>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</si>
  <si>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</si>
  <si>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</si>
  <si>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</si>
  <si>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</si>
  <si>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</si>
  <si>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</si>
  <si>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</si>
  <si>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</si>
  <si>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</si>
  <si>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</si>
  <si>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</si>
  <si>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</si>
  <si>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</si>
  <si>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</si>
  <si>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</si>
  <si>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</si>
  <si>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</si>
  <si>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</si>
  <si>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</si>
  <si>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</si>
  <si>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</si>
  <si>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</si>
  <si>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</si>
  <si>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</si>
  <si>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</si>
  <si>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</si>
  <si>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</si>
  <si>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</si>
  <si>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</si>
  <si>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</si>
  <si>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</si>
  <si>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</si>
  <si>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</si>
  <si>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</si>
  <si>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</si>
  <si>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</si>
  <si>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</si>
  <si>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</si>
  <si>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</si>
  <si>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</si>
  <si>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</si>
  <si>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</si>
  <si>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</si>
  <si>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</si>
  <si>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</si>
  <si>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</si>
  <si>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</si>
  <si>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</si>
  <si>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</si>
  <si>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</si>
  <si>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</si>
  <si>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</si>
  <si>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</si>
  <si>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</si>
  <si>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</si>
  <si>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</si>
  <si>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</si>
  <si>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</si>
  <si>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</si>
  <si>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</si>
  <si>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</si>
  <si>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</si>
  <si>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</si>
  <si>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</si>
  <si>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</si>
  <si>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</si>
  <si>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</si>
  <si>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</si>
  <si>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</si>
  <si>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</si>
  <si>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</si>
  <si>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</si>
  <si>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</si>
  <si>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</si>
  <si>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</si>
  <si>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</si>
  <si>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</si>
  <si>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</si>
  <si>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</si>
  <si>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</si>
  <si>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</si>
  <si>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</si>
  <si>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</si>
  <si>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</si>
  <si>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</si>
  <si>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</si>
  <si>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</si>
  <si>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</si>
  <si>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</si>
  <si>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</si>
  <si>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</si>
  <si>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</si>
  <si>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</si>
  <si>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</si>
  <si>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</si>
  <si>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</si>
  <si>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</si>
  <si>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</si>
  <si>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</si>
  <si>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</si>
  <si>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</si>
  <si>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</si>
  <si>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</si>
  <si>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</si>
  <si>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</si>
  <si>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</si>
  <si>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</si>
  <si>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</si>
  <si>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</si>
  <si>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</si>
  <si>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</si>
  <si>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</si>
  <si>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</si>
  <si>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</si>
  <si>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</si>
  <si>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</si>
  <si>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</si>
  <si>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</si>
  <si>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</si>
  <si>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</si>
  <si>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</si>
  <si>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</si>
  <si>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</si>
  <si>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</si>
  <si>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</si>
  <si>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</si>
  <si>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</si>
  <si>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</si>
  <si>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</si>
  <si>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</si>
  <si>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</si>
  <si>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</si>
  <si>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</si>
  <si>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</si>
  <si>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</si>
  <si>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</si>
  <si>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</si>
  <si>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</si>
  <si>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</si>
  <si>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</si>
  <si>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</si>
  <si>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</si>
  <si>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</si>
  <si>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</si>
  <si>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</si>
  <si>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</si>
  <si>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</si>
  <si>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</si>
  <si>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</si>
  <si>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</si>
  <si>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</si>
  <si>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</si>
  <si>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</si>
  <si>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</si>
  <si>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</si>
  <si>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</si>
  <si>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</si>
  <si>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</si>
  <si>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</si>
  <si>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</si>
  <si>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</si>
  <si>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</si>
  <si>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</si>
  <si>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</si>
  <si>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</si>
  <si>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</si>
  <si>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</si>
  <si>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</si>
  <si>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</si>
  <si>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</si>
  <si>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</si>
  <si>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</si>
  <si>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</si>
  <si>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</si>
  <si>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</si>
  <si>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</si>
  <si>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</si>
  <si>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</si>
  <si>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</si>
  <si>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</si>
  <si>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</si>
  <si>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</si>
  <si>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</si>
  <si>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</si>
  <si>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</si>
  <si>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</si>
  <si>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</si>
  <si>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</si>
  <si>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</si>
  <si>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</si>
  <si>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</si>
  <si>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</si>
  <si>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</si>
  <si>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</si>
  <si>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</si>
  <si>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</si>
  <si>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</si>
  <si>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</si>
  <si>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</si>
  <si>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</si>
  <si>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</si>
  <si>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</si>
  <si>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</si>
  <si>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</si>
  <si>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</si>
  <si>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</si>
  <si>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</si>
  <si>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</si>
  <si>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</si>
  <si>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</si>
  <si>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</si>
  <si>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</si>
  <si>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</si>
  <si>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</si>
  <si>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</si>
  <si>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</si>
  <si>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</si>
  <si>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</si>
  <si>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</si>
  <si>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</si>
  <si>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</si>
  <si>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</si>
  <si>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</si>
  <si>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</si>
  <si>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</si>
  <si>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</si>
  <si>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</si>
  <si>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</si>
  <si>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</si>
  <si>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</si>
  <si>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</si>
  <si>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</si>
  <si>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</si>
  <si>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</si>
  <si>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</si>
  <si>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</si>
  <si>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</si>
  <si>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</si>
  <si>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</si>
  <si>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</si>
  <si>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</si>
  <si>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</si>
  <si>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</si>
  <si>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</si>
  <si>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</si>
  <si>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</si>
  <si>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</si>
  <si>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</si>
  <si>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</si>
  <si>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</si>
  <si>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</si>
  <si>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</si>
  <si>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</si>
  <si>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</si>
  <si>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</si>
  <si>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</si>
  <si>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</si>
  <si>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</si>
  <si>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</si>
  <si>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</si>
  <si>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</si>
  <si>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</si>
  <si>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</si>
  <si>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</si>
  <si>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</si>
  <si>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</si>
  <si>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</si>
  <si>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</si>
  <si>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</si>
  <si>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</si>
  <si>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</si>
  <si>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</si>
  <si>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</si>
  <si>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</si>
  <si>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</si>
  <si>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</si>
  <si>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</si>
  <si>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</si>
  <si>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</si>
  <si>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</si>
  <si>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</si>
  <si>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</si>
  <si>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</si>
  <si>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</si>
  <si>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</si>
  <si>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</si>
  <si>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</si>
  <si>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</si>
  <si>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</si>
  <si>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</si>
  <si>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</si>
  <si>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</si>
  <si>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</si>
  <si>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</si>
  <si>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</si>
  <si>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</si>
  <si>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</si>
  <si>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</si>
  <si>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</si>
  <si>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</si>
  <si>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</si>
  <si>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</si>
  <si>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</si>
  <si>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</si>
  <si>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</si>
  <si>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</si>
  <si>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</si>
  <si>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</si>
  <si>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</si>
  <si>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</si>
  <si>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</si>
  <si>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</si>
  <si>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</si>
  <si>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</si>
  <si>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</si>
  <si>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</si>
  <si>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</si>
  <si>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</si>
  <si>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</si>
  <si>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</si>
  <si>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</si>
  <si>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</si>
  <si>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</si>
  <si>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</si>
  <si>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</si>
  <si>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</si>
  <si>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</si>
  <si>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</si>
  <si>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</si>
  <si>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</si>
  <si>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</si>
  <si>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</si>
  <si>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</si>
  <si>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</si>
  <si>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</si>
  <si>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</si>
  <si>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</si>
  <si>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</si>
  <si>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</si>
  <si>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</si>
  <si>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</si>
  <si>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</si>
  <si>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</si>
  <si>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</si>
  <si>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</si>
  <si>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</si>
  <si>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</si>
  <si>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</si>
  <si>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</si>
  <si>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</si>
  <si>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</si>
  <si>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</si>
  <si>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</si>
  <si>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</si>
  <si>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</si>
  <si>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</si>
  <si>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</si>
  <si>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</si>
  <si>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</si>
  <si>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</si>
  <si>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</si>
  <si>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</si>
  <si>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</si>
  <si>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</si>
  <si>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</si>
  <si>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</si>
  <si>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</si>
  <si>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</si>
  <si>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</si>
  <si>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</si>
  <si>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</si>
  <si>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</si>
  <si>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</si>
  <si>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</si>
  <si>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</si>
  <si>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</si>
  <si>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</si>
  <si>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</si>
  <si>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</si>
  <si>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</si>
  <si>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</si>
  <si>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</si>
  <si>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</si>
  <si>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</si>
  <si>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Pemasangan APP </t>
  </si>
  <si>
    <t>KONSTRUKSI JARINGAN 3 PHASE</t>
  </si>
  <si>
    <t>CJ6-T</t>
  </si>
  <si>
    <t>MJ6-T</t>
  </si>
  <si>
    <t>CE1-3</t>
  </si>
  <si>
    <t>F1-3</t>
  </si>
  <si>
    <t>CM2-12A</t>
  </si>
  <si>
    <t>SCHOOR</t>
  </si>
  <si>
    <t>KONDUKTOR</t>
  </si>
  <si>
    <t>Pemasangan APP 1 Fasa Di Bangunan</t>
  </si>
  <si>
    <t>R3</t>
  </si>
  <si>
    <t>Daya 1.300 VA</t>
  </si>
  <si>
    <t>KOORDINAT : -6.910503, 110.635580</t>
  </si>
  <si>
    <t>CJ5-T</t>
  </si>
  <si>
    <t>DS JOGOLOYO, KEC WONOSALAM</t>
  </si>
  <si>
    <t>KOS JOKO PRABOWO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</si>
</sst>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4" fillId="0" borderId="0">
      <alignment horizontal="centerContinuous"/>
    </xf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66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4" fontId="38" fillId="0" borderId="0" applyFill="0" applyBorder="0" applyAlignment="0"/>
    <xf numFmtId="174" fontId="24" fillId="0" borderId="0" applyFill="0" applyBorder="0" applyAlignment="0"/>
    <xf numFmtId="175" fontId="38" fillId="0" borderId="0" applyFill="0" applyBorder="0" applyAlignment="0"/>
    <xf numFmtId="175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43" fontId="107" fillId="0" borderId="0" applyFont="0" applyFill="0" applyBorder="0" applyAlignment="0" applyProtection="0"/>
    <xf numFmtId="0" fontId="67" fillId="0" borderId="0"/>
    <xf numFmtId="0" fontId="67" fillId="0" borderId="0"/>
    <xf numFmtId="0" fontId="67" fillId="0" borderId="0"/>
    <xf numFmtId="43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38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9" fontId="38" fillId="0" borderId="0" applyFont="0" applyFill="0" applyBorder="0" applyAlignment="0" applyProtection="0"/>
    <xf numFmtId="179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24" fillId="0" borderId="0" applyFont="0" applyFill="0" applyBorder="0" applyAlignment="0" applyProtection="0"/>
    <xf numFmtId="168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80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8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81" fontId="38" fillId="0" borderId="0" applyFont="0" applyFill="0" applyBorder="0" applyAlignment="0" applyProtection="0"/>
    <xf numFmtId="181" fontId="38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205" fontId="24" fillId="0" borderId="0" applyFont="0" applyFill="0" applyBorder="0" applyAlignment="0" applyProtection="0"/>
    <xf numFmtId="204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73" fillId="0" borderId="0" applyNumberFormat="0" applyAlignment="0">
      <alignment horizontal="left"/>
    </xf>
    <xf numFmtId="0" fontId="67" fillId="0" borderId="0"/>
    <xf numFmtId="0" fontId="67" fillId="0" borderId="0"/>
    <xf numFmtId="185" fontId="38" fillId="0" borderId="3"/>
    <xf numFmtId="185" fontId="24" fillId="0" borderId="3"/>
    <xf numFmtId="42" fontId="25" fillId="0" borderId="0" applyFont="0" applyFill="0" applyBorder="0" applyAlignment="0" applyProtection="0"/>
    <xf numFmtId="42" fontId="50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44" fontId="38" fillId="0" borderId="0" applyFont="0" applyFill="0" applyBorder="0" applyAlignment="0" applyProtection="0"/>
    <xf numFmtId="44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2" fillId="0" borderId="0" applyFont="0" applyFill="0" applyBorder="0" applyAlignment="0" applyProtection="0"/>
    <xf numFmtId="187" fontId="74" fillId="0" borderId="0">
      <protection locked="0"/>
    </xf>
    <xf numFmtId="14" fontId="66" fillId="0" borderId="0" applyFill="0" applyBorder="0" applyAlignment="0"/>
    <xf numFmtId="188" fontId="75" fillId="0" borderId="0">
      <protection locked="0"/>
    </xf>
    <xf numFmtId="0" fontId="76" fillId="0" borderId="0"/>
    <xf numFmtId="0" fontId="76" fillId="0" borderId="4"/>
    <xf numFmtId="0" fontId="76" fillId="0" borderId="4"/>
    <xf numFmtId="0" fontId="76" fillId="0" borderId="4"/>
    <xf numFmtId="0" fontId="76" fillId="0" borderId="4"/>
    <xf numFmtId="0" fontId="77" fillId="22" borderId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78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80" fillId="0" borderId="0">
      <protection locked="0"/>
    </xf>
    <xf numFmtId="189" fontId="74" fillId="0" borderId="0">
      <protection locked="0"/>
    </xf>
    <xf numFmtId="0" fontId="81" fillId="0" borderId="5"/>
    <xf numFmtId="0" fontId="81" fillId="0" borderId="5"/>
    <xf numFmtId="0" fontId="81" fillId="0" borderId="5"/>
    <xf numFmtId="0" fontId="81" fillId="0" borderId="5"/>
    <xf numFmtId="0" fontId="81" fillId="0" borderId="4"/>
    <xf numFmtId="0" fontId="81" fillId="0" borderId="4"/>
    <xf numFmtId="0" fontId="81" fillId="23" borderId="4"/>
    <xf numFmtId="0" fontId="81" fillId="23" borderId="4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82" fillId="0" borderId="0" applyNumberFormat="0"/>
    <xf numFmtId="38" fontId="43" fillId="24" borderId="0" applyNumberFormat="0" applyBorder="0" applyAlignment="0" applyProtection="0"/>
    <xf numFmtId="0" fontId="83" fillId="0" borderId="6" applyNumberFormat="0" applyAlignment="0" applyProtection="0">
      <alignment horizontal="left" vertical="center"/>
    </xf>
    <xf numFmtId="0" fontId="83" fillId="0" borderId="7">
      <alignment horizontal="left" vertical="center"/>
    </xf>
    <xf numFmtId="0" fontId="83" fillId="0" borderId="7">
      <alignment horizontal="left" vertical="center"/>
    </xf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90" fontId="79" fillId="0" borderId="0">
      <protection locked="0"/>
    </xf>
    <xf numFmtId="190" fontId="79" fillId="0" borderId="0"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35" fillId="7" borderId="1" applyNumberFormat="0" applyAlignment="0" applyProtection="0"/>
    <xf numFmtId="10" fontId="43" fillId="25" borderId="3" applyNumberFormat="0" applyBorder="0" applyAlignment="0" applyProtection="0"/>
    <xf numFmtId="10" fontId="43" fillId="25" borderId="3" applyNumberFormat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191" fontId="38" fillId="0" borderId="0" applyFont="0" applyFill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37" fontId="84" fillId="0" borderId="0"/>
    <xf numFmtId="192" fontId="38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192" fontId="38" fillId="0" borderId="0"/>
    <xf numFmtId="192" fontId="24" fillId="0" borderId="0"/>
    <xf numFmtId="192" fontId="38" fillId="0" borderId="0"/>
    <xf numFmtId="192" fontId="24" fillId="0" borderId="0"/>
    <xf numFmtId="192" fontId="38" fillId="0" borderId="0"/>
    <xf numFmtId="192" fontId="24" fillId="0" borderId="0"/>
    <xf numFmtId="192" fontId="24" fillId="0" borderId="0"/>
    <xf numFmtId="192" fontId="38" fillId="0" borderId="0"/>
    <xf numFmtId="171" fontId="85" fillId="0" borderId="0"/>
    <xf numFmtId="171" fontId="86" fillId="0" borderId="0"/>
    <xf numFmtId="171" fontId="86" fillId="0" borderId="0"/>
    <xf numFmtId="0" fontId="68" fillId="0" borderId="0"/>
    <xf numFmtId="0" fontId="114" fillId="0" borderId="0"/>
    <xf numFmtId="0" fontId="38" fillId="0" borderId="0"/>
    <xf numFmtId="0" fontId="24" fillId="0" borderId="0"/>
    <xf numFmtId="0" fontId="71" fillId="0" borderId="0"/>
    <xf numFmtId="0" fontId="38" fillId="0" borderId="0"/>
    <xf numFmtId="12" fontId="38" fillId="0" borderId="0"/>
    <xf numFmtId="12" fontId="2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7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115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71" fillId="0" borderId="0"/>
    <xf numFmtId="0" fontId="38" fillId="0" borderId="0"/>
    <xf numFmtId="0" fontId="11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38" fillId="0" borderId="0"/>
    <xf numFmtId="0" fontId="38" fillId="0" borderId="0"/>
    <xf numFmtId="0" fontId="69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25" fillId="0" borderId="0"/>
    <xf numFmtId="0" fontId="25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66" fillId="0" borderId="0">
      <alignment vertical="top"/>
    </xf>
    <xf numFmtId="0" fontId="25" fillId="0" borderId="0"/>
    <xf numFmtId="193" fontId="45" fillId="0" borderId="0"/>
    <xf numFmtId="0" fontId="114" fillId="0" borderId="0"/>
    <xf numFmtId="0" fontId="11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0" fontId="38" fillId="0" borderId="0" applyNumberFormat="0" applyFont="0" applyFill="0" applyAlignment="0" applyProtection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 applyNumberFormat="0" applyFont="0" applyFill="0" applyAlignment="0" applyProtection="0"/>
    <xf numFmtId="0" fontId="86" fillId="0" borderId="0"/>
    <xf numFmtId="0" fontId="86" fillId="0" borderId="0"/>
    <xf numFmtId="0" fontId="24" fillId="0" borderId="0" applyNumberFormat="0" applyFont="0" applyFill="0" applyAlignment="0" applyProtection="0"/>
    <xf numFmtId="0" fontId="38" fillId="0" borderId="0"/>
    <xf numFmtId="0" fontId="114" fillId="0" borderId="0"/>
    <xf numFmtId="181" fontId="86" fillId="0" borderId="0"/>
    <xf numFmtId="0" fontId="86" fillId="0" borderId="0"/>
    <xf numFmtId="194" fontId="86" fillId="0" borderId="0"/>
    <xf numFmtId="195" fontId="86" fillId="0" borderId="0"/>
    <xf numFmtId="0" fontId="86" fillId="0" borderId="0"/>
    <xf numFmtId="196" fontId="86" fillId="0" borderId="0"/>
    <xf numFmtId="196" fontId="86" fillId="0" borderId="0"/>
    <xf numFmtId="196" fontId="86" fillId="0" borderId="0"/>
    <xf numFmtId="194" fontId="86" fillId="0" borderId="0"/>
    <xf numFmtId="0" fontId="86" fillId="0" borderId="0"/>
    <xf numFmtId="0" fontId="38" fillId="0" borderId="0"/>
    <xf numFmtId="0" fontId="24" fillId="0" borderId="0"/>
    <xf numFmtId="181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 applyNumberFormat="0" applyFont="0" applyFill="0" applyAlignment="0" applyProtection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197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196" fontId="86" fillId="0" borderId="0"/>
    <xf numFmtId="196" fontId="86" fillId="0" borderId="0"/>
    <xf numFmtId="196" fontId="86" fillId="0" borderId="0"/>
    <xf numFmtId="196" fontId="86" fillId="0" borderId="0"/>
    <xf numFmtId="198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25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8" fillId="0" borderId="0"/>
    <xf numFmtId="0" fontId="2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193" fontId="45" fillId="0" borderId="0"/>
    <xf numFmtId="0" fontId="24" fillId="0" borderId="0"/>
    <xf numFmtId="0" fontId="24" fillId="0" borderId="0" applyProtection="0"/>
    <xf numFmtId="0" fontId="114" fillId="0" borderId="0"/>
    <xf numFmtId="0" fontId="114" fillId="0" borderId="0"/>
    <xf numFmtId="0" fontId="114" fillId="0" borderId="0"/>
    <xf numFmtId="0" fontId="24" fillId="0" borderId="0"/>
    <xf numFmtId="0" fontId="24" fillId="0" borderId="0" applyProtection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4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38" fillId="0" borderId="0"/>
    <xf numFmtId="0" fontId="24" fillId="0" borderId="0"/>
    <xf numFmtId="0" fontId="11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116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25" fillId="0" borderId="0"/>
    <xf numFmtId="0" fontId="115" fillId="0" borderId="0"/>
    <xf numFmtId="0" fontId="6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24" fillId="0" borderId="0"/>
    <xf numFmtId="193" fontId="45" fillId="0" borderId="0"/>
    <xf numFmtId="193" fontId="45" fillId="0" borderId="0"/>
    <xf numFmtId="0" fontId="11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175" fontId="38" fillId="0" borderId="0" applyFont="0" applyFill="0" applyBorder="0" applyAlignment="0" applyProtection="0"/>
    <xf numFmtId="175" fontId="24" fillId="0" borderId="0" applyFont="0" applyFill="0" applyBorder="0" applyAlignment="0" applyProtection="0"/>
    <xf numFmtId="199" fontId="38" fillId="0" borderId="0" applyFont="0" applyFill="0" applyBorder="0" applyAlignment="0" applyProtection="0"/>
    <xf numFmtId="199" fontId="24" fillId="0" borderId="0" applyFont="0" applyFill="0" applyBorder="0" applyAlignment="0" applyProtection="0"/>
    <xf numFmtId="10" fontId="38" fillId="0" borderId="0" applyFont="0" applyFill="0" applyBorder="0" applyAlignment="0" applyProtection="0"/>
    <xf numFmtId="10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76" fillId="0" borderId="0"/>
    <xf numFmtId="200" fontId="89" fillId="0" borderId="0" applyNumberFormat="0" applyFill="0" applyBorder="0" applyAlignment="0" applyProtection="0">
      <alignment horizontal="left"/>
    </xf>
    <xf numFmtId="0" fontId="90" fillId="0" borderId="14"/>
    <xf numFmtId="0" fontId="90" fillId="0" borderId="14"/>
    <xf numFmtId="0" fontId="91" fillId="0" borderId="15"/>
    <xf numFmtId="0" fontId="91" fillId="0" borderId="15"/>
    <xf numFmtId="40" fontId="92" fillId="0" borderId="0" applyBorder="0">
      <alignment horizontal="right"/>
    </xf>
    <xf numFmtId="49" fontId="66" fillId="0" borderId="0" applyFill="0" applyBorder="0" applyAlignment="0"/>
    <xf numFmtId="201" fontId="38" fillId="0" borderId="0" applyFill="0" applyBorder="0" applyAlignment="0"/>
    <xf numFmtId="201" fontId="24" fillId="0" borderId="0" applyFill="0" applyBorder="0" applyAlignment="0"/>
    <xf numFmtId="202" fontId="38" fillId="0" borderId="0" applyFill="0" applyBorder="0" applyAlignment="0"/>
    <xf numFmtId="202" fontId="24" fillId="0" borderId="0" applyFill="0" applyBorder="0" applyAlignment="0"/>
    <xf numFmtId="203" fontId="93" fillId="0" borderId="16" applyFont="0" applyBorder="0" applyAlignment="0">
      <alignment horizontal="righ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8" fillId="0" borderId="0"/>
    <xf numFmtId="0" fontId="12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" fillId="0" borderId="0"/>
    <xf numFmtId="165" fontId="24" fillId="0" borderId="0" applyFont="0" applyFill="0" applyBorder="0" applyAlignment="0" applyProtection="0"/>
    <xf numFmtId="9" fontId="165" fillId="0" borderId="0" applyFont="0" applyFill="0" applyBorder="0" applyAlignment="0" applyProtection="0"/>
    <xf numFmtId="165" fontId="177" fillId="0" borderId="0" applyFont="0" applyFill="0" applyBorder="0" applyAlignment="0" applyProtection="0"/>
    <xf numFmtId="0" fontId="24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7" fillId="0" borderId="0"/>
    <xf numFmtId="165" fontId="24" fillId="0" borderId="0" applyFont="0" applyFill="0" applyBorder="0" applyAlignment="0" applyProtection="0"/>
    <xf numFmtId="0" fontId="7" fillId="0" borderId="0"/>
    <xf numFmtId="166" fontId="24" fillId="0" borderId="0" applyFont="0" applyFill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4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71" fillId="0" borderId="0" applyFont="0" applyFill="0" applyBorder="0" applyAlignment="0" applyProtection="0"/>
    <xf numFmtId="166" fontId="71" fillId="0" borderId="0" applyFont="0" applyFill="0" applyBorder="0" applyAlignment="0" applyProtection="0"/>
    <xf numFmtId="166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0" borderId="0"/>
    <xf numFmtId="0" fontId="18" fillId="0" borderId="0"/>
    <xf numFmtId="0" fontId="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4" fillId="0" borderId="0" applyFont="0" applyFill="0" applyBorder="0" applyAlignment="0" applyProtection="0"/>
    <xf numFmtId="0" fontId="90" fillId="0" borderId="100"/>
    <xf numFmtId="0" fontId="91" fillId="0" borderId="101"/>
    <xf numFmtId="166" fontId="24" fillId="0" borderId="0" applyFont="0" applyFill="0" applyBorder="0" applyAlignment="0" applyProtection="0"/>
  </cellStyleXfs>
  <cellXfs count="722">
    <xf numFmtId="0" fontId="0" fillId="0" borderId="0" xfId="0"/>
    <xf numFmtId="0" fontId="47" fillId="0" borderId="0" xfId="1448" applyFont="1" applyAlignment="1">
      <alignment horizontal="center" wrapText="1"/>
    </xf>
    <xf numFmtId="0" fontId="46" fillId="0" borderId="0" xfId="1448" applyFont="1" applyAlignment="1">
      <alignment horizontal="left" vertical="center" wrapText="1"/>
    </xf>
    <xf numFmtId="0" fontId="56" fillId="0" borderId="0" xfId="1448" applyFont="1" applyAlignment="1">
      <alignment horizontal="center" wrapText="1"/>
    </xf>
    <xf numFmtId="3" fontId="47" fillId="0" borderId="0" xfId="1448" applyNumberFormat="1" applyFont="1" applyAlignment="1">
      <alignment horizontal="center" vertical="center" wrapText="1"/>
    </xf>
    <xf numFmtId="0" fontId="56" fillId="0" borderId="0" xfId="1448" applyFont="1" applyAlignment="1">
      <alignment wrapText="1"/>
    </xf>
    <xf numFmtId="0" fontId="57" fillId="0" borderId="0" xfId="1448" applyFont="1" applyAlignment="1">
      <alignment wrapText="1"/>
    </xf>
    <xf numFmtId="0" fontId="46" fillId="0" borderId="0" xfId="1448" applyFont="1" applyAlignment="1">
      <alignment horizontal="center" wrapText="1"/>
    </xf>
    <xf numFmtId="0" fontId="46" fillId="0" borderId="0" xfId="1448" applyFont="1" applyAlignment="1">
      <alignment horizontal="center" vertical="center" wrapText="1"/>
    </xf>
    <xf numFmtId="3" fontId="46" fillId="0" borderId="0" xfId="1448" applyNumberFormat="1" applyFont="1" applyAlignment="1">
      <alignment horizontal="center" vertical="center" wrapText="1"/>
    </xf>
    <xf numFmtId="0" fontId="46" fillId="0" borderId="18" xfId="1448" applyFont="1" applyBorder="1" applyAlignment="1">
      <alignment horizontal="center" vertical="center" wrapText="1"/>
    </xf>
    <xf numFmtId="0" fontId="47" fillId="0" borderId="0" xfId="1448" applyFont="1" applyAlignment="1">
      <alignment horizontal="center" vertical="center" wrapText="1"/>
    </xf>
    <xf numFmtId="0" fontId="56" fillId="0" borderId="0" xfId="1448" applyFont="1" applyAlignment="1">
      <alignment horizontal="center" vertical="center" wrapText="1"/>
    </xf>
    <xf numFmtId="0" fontId="59" fillId="0" borderId="18" xfId="1448" applyFont="1" applyBorder="1" applyAlignment="1">
      <alignment horizontal="center" wrapText="1"/>
    </xf>
    <xf numFmtId="0" fontId="60" fillId="0" borderId="0" xfId="1448" applyFont="1" applyAlignment="1">
      <alignment wrapText="1"/>
    </xf>
    <xf numFmtId="0" fontId="47" fillId="0" borderId="18" xfId="1448" applyFont="1" applyBorder="1" applyAlignment="1">
      <alignment horizontal="center" vertical="center" wrapText="1"/>
    </xf>
    <xf numFmtId="41" fontId="47" fillId="0" borderId="0" xfId="527" applyNumberFormat="1" applyFont="1" applyFill="1" applyBorder="1" applyAlignment="1">
      <alignment horizontal="center" wrapText="1"/>
    </xf>
    <xf numFmtId="0" fontId="47" fillId="0" borderId="18" xfId="1448" quotePrefix="1" applyFont="1" applyBorder="1" applyAlignment="1">
      <alignment horizontal="center" vertical="center" wrapText="1"/>
    </xf>
    <xf numFmtId="18" fontId="47" fillId="0" borderId="18" xfId="1448" quotePrefix="1" applyNumberFormat="1" applyFont="1" applyBorder="1" applyAlignment="1">
      <alignment horizontal="center" vertical="center" wrapText="1"/>
    </xf>
    <xf numFmtId="0" fontId="56" fillId="0" borderId="0" xfId="1448" applyFont="1" applyAlignment="1">
      <alignment vertical="top" wrapText="1"/>
    </xf>
    <xf numFmtId="41" fontId="47" fillId="0" borderId="18" xfId="1448" applyNumberFormat="1" applyFont="1" applyBorder="1" applyAlignment="1">
      <alignment horizontal="center" vertical="center" wrapText="1"/>
    </xf>
    <xf numFmtId="17" fontId="47" fillId="0" borderId="18" xfId="1448" quotePrefix="1" applyNumberFormat="1" applyFont="1" applyBorder="1" applyAlignment="1">
      <alignment horizontal="center" vertical="center" wrapText="1"/>
    </xf>
    <xf numFmtId="41" fontId="47" fillId="0" borderId="0" xfId="1448" applyNumberFormat="1" applyFont="1" applyAlignment="1">
      <alignment horizontal="center" wrapText="1"/>
    </xf>
    <xf numFmtId="0" fontId="114" fillId="0" borderId="0" xfId="1614" applyAlignment="1">
      <alignment horizontal="center"/>
    </xf>
    <xf numFmtId="0" fontId="51" fillId="0" borderId="0" xfId="1614" applyFont="1" applyAlignment="1">
      <alignment horizontal="center" vertical="center"/>
    </xf>
    <xf numFmtId="0" fontId="46" fillId="0" borderId="0" xfId="1614" applyFont="1" applyAlignment="1">
      <alignment vertical="center"/>
    </xf>
    <xf numFmtId="0" fontId="114" fillId="0" borderId="0" xfId="1614" applyAlignment="1">
      <alignment horizontal="center" vertical="center"/>
    </xf>
    <xf numFmtId="3" fontId="48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0" fontId="63" fillId="0" borderId="0" xfId="1614" applyFont="1" applyAlignment="1">
      <alignment horizontal="center"/>
    </xf>
    <xf numFmtId="43" fontId="55" fillId="0" borderId="0" xfId="1652" applyNumberFormat="1" applyFont="1"/>
    <xf numFmtId="0" fontId="114" fillId="0" borderId="19" xfId="1614" applyBorder="1" applyAlignment="1">
      <alignment horizontal="center"/>
    </xf>
    <xf numFmtId="0" fontId="55" fillId="0" borderId="0" xfId="1614" applyFont="1" applyAlignment="1">
      <alignment horizontal="center"/>
    </xf>
    <xf numFmtId="0" fontId="55" fillId="0" borderId="0" xfId="1614" applyFont="1" applyAlignment="1">
      <alignment horizontal="center" vertical="center" wrapText="1"/>
    </xf>
    <xf numFmtId="3" fontId="47" fillId="0" borderId="0" xfId="1614" applyNumberFormat="1" applyFont="1" applyAlignment="1">
      <alignment vertical="center"/>
    </xf>
    <xf numFmtId="0" fontId="23" fillId="0" borderId="0" xfId="1614" applyFont="1" applyAlignment="1">
      <alignment horizontal="center"/>
    </xf>
    <xf numFmtId="0" fontId="47" fillId="0" borderId="20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left" vertical="center" wrapText="1"/>
    </xf>
    <xf numFmtId="0" fontId="47" fillId="0" borderId="21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/>
    </xf>
    <xf numFmtId="3" fontId="49" fillId="0" borderId="21" xfId="1614" applyNumberFormat="1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7" fillId="0" borderId="22" xfId="1614" applyNumberFormat="1" applyFont="1" applyBorder="1" applyAlignment="1">
      <alignment horizontal="center" vertical="center"/>
    </xf>
    <xf numFmtId="0" fontId="64" fillId="0" borderId="0" xfId="1614" applyFont="1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3" fontId="64" fillId="0" borderId="0" xfId="1614" applyNumberFormat="1" applyFont="1" applyAlignment="1">
      <alignment horizontal="center" vertical="center"/>
    </xf>
    <xf numFmtId="0" fontId="64" fillId="0" borderId="0" xfId="1614" applyFont="1" applyAlignment="1">
      <alignment horizontal="center"/>
    </xf>
    <xf numFmtId="0" fontId="52" fillId="0" borderId="23" xfId="1614" applyFont="1" applyBorder="1" applyAlignment="1">
      <alignment horizontal="center" vertical="center"/>
    </xf>
    <xf numFmtId="0" fontId="52" fillId="0" borderId="24" xfId="1614" applyFont="1" applyBorder="1" applyAlignment="1">
      <alignment horizontal="left" vertical="center"/>
    </xf>
    <xf numFmtId="0" fontId="52" fillId="0" borderId="24" xfId="1614" applyFont="1" applyBorder="1" applyAlignment="1">
      <alignment vertical="center"/>
    </xf>
    <xf numFmtId="0" fontId="23" fillId="0" borderId="24" xfId="1614" applyFont="1" applyBorder="1" applyAlignment="1">
      <alignment horizontal="center" vertical="center"/>
    </xf>
    <xf numFmtId="3" fontId="47" fillId="0" borderId="24" xfId="1614" applyNumberFormat="1" applyFont="1" applyBorder="1" applyAlignment="1">
      <alignment horizontal="center" vertical="center"/>
    </xf>
    <xf numFmtId="3" fontId="47" fillId="0" borderId="25" xfId="1614" applyNumberFormat="1" applyFont="1" applyBorder="1" applyAlignment="1">
      <alignment horizontal="center" vertical="center"/>
    </xf>
    <xf numFmtId="0" fontId="114" fillId="0" borderId="26" xfId="1614" applyBorder="1" applyAlignment="1">
      <alignment horizontal="center" vertical="center"/>
    </xf>
    <xf numFmtId="37" fontId="114" fillId="0" borderId="27" xfId="1614" applyNumberFormat="1" applyBorder="1" applyAlignment="1">
      <alignment horizontal="center"/>
    </xf>
    <xf numFmtId="0" fontId="114" fillId="0" borderId="28" xfId="1614" applyBorder="1" applyAlignment="1">
      <alignment horizontal="center" vertical="center"/>
    </xf>
    <xf numFmtId="37" fontId="23" fillId="0" borderId="0" xfId="1614" applyNumberFormat="1" applyFont="1" applyAlignment="1">
      <alignment horizontal="center"/>
    </xf>
    <xf numFmtId="37" fontId="65" fillId="0" borderId="0" xfId="1614" applyNumberFormat="1" applyFont="1" applyAlignment="1">
      <alignment horizontal="center"/>
    </xf>
    <xf numFmtId="37" fontId="55" fillId="0" borderId="29" xfId="1614" applyNumberFormat="1" applyFont="1" applyBorder="1" applyAlignment="1">
      <alignment horizontal="center"/>
    </xf>
    <xf numFmtId="37" fontId="114" fillId="0" borderId="29" xfId="1614" applyNumberFormat="1" applyBorder="1" applyAlignment="1">
      <alignment horizontal="center"/>
    </xf>
    <xf numFmtId="37" fontId="65" fillId="0" borderId="30" xfId="1614" applyNumberFormat="1" applyFont="1" applyBorder="1" applyAlignment="1">
      <alignment horizontal="center"/>
    </xf>
    <xf numFmtId="0" fontId="54" fillId="0" borderId="0" xfId="1614" applyFont="1" applyAlignment="1">
      <alignment horizontal="center" vertical="center"/>
    </xf>
    <xf numFmtId="0" fontId="114" fillId="0" borderId="19" xfId="1614" applyBorder="1"/>
    <xf numFmtId="0" fontId="114" fillId="0" borderId="19" xfId="1614" applyBorder="1" applyAlignment="1">
      <alignment horizontal="right"/>
    </xf>
    <xf numFmtId="0" fontId="114" fillId="0" borderId="31" xfId="1614" applyBorder="1" applyAlignment="1">
      <alignment horizontal="right"/>
    </xf>
    <xf numFmtId="0" fontId="52" fillId="0" borderId="0" xfId="1614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0" fontId="52" fillId="0" borderId="0" xfId="1614" applyFont="1" applyAlignment="1">
      <alignment vertical="center"/>
    </xf>
    <xf numFmtId="0" fontId="23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114" fillId="0" borderId="0" xfId="1652" applyAlignment="1">
      <alignment horizontal="right"/>
    </xf>
    <xf numFmtId="0" fontId="51" fillId="0" borderId="0" xfId="1614" applyFont="1" applyAlignment="1">
      <alignment vertical="center"/>
    </xf>
    <xf numFmtId="0" fontId="51" fillId="0" borderId="0" xfId="1614" applyFont="1" applyAlignment="1">
      <alignment horizontal="center"/>
    </xf>
    <xf numFmtId="0" fontId="94" fillId="0" borderId="0" xfId="1614" applyFont="1" applyAlignment="1">
      <alignment horizontal="center" vertical="center" wrapText="1"/>
    </xf>
    <xf numFmtId="0" fontId="55" fillId="0" borderId="20" xfId="1652" applyFont="1" applyBorder="1" applyAlignment="1">
      <alignment horizontal="center" vertical="center"/>
    </xf>
    <xf numFmtId="0" fontId="55" fillId="0" borderId="21" xfId="1652" applyFont="1" applyBorder="1" applyAlignment="1">
      <alignment vertical="center" wrapText="1"/>
    </xf>
    <xf numFmtId="37" fontId="55" fillId="0" borderId="27" xfId="1614" applyNumberFormat="1" applyFont="1" applyBorder="1" applyAlignment="1">
      <alignment horizontal="center"/>
    </xf>
    <xf numFmtId="37" fontId="65" fillId="0" borderId="32" xfId="1614" applyNumberFormat="1" applyFont="1" applyBorder="1" applyAlignment="1">
      <alignment horizontal="center"/>
    </xf>
    <xf numFmtId="0" fontId="23" fillId="0" borderId="21" xfId="1652" applyFont="1" applyBorder="1" applyAlignment="1">
      <alignment horizontal="center" vertical="center"/>
    </xf>
    <xf numFmtId="0" fontId="46" fillId="0" borderId="0" xfId="1448" applyFont="1" applyAlignment="1">
      <alignment horizontal="left" vertical="center"/>
    </xf>
    <xf numFmtId="0" fontId="56" fillId="0" borderId="0" xfId="1448" applyFont="1" applyAlignment="1">
      <alignment horizontal="left" wrapText="1"/>
    </xf>
    <xf numFmtId="3" fontId="63" fillId="0" borderId="0" xfId="1614" applyNumberFormat="1" applyFont="1" applyAlignment="1">
      <alignment horizontal="center"/>
    </xf>
    <xf numFmtId="0" fontId="55" fillId="0" borderId="0" xfId="1614" applyFont="1"/>
    <xf numFmtId="0" fontId="47" fillId="0" borderId="21" xfId="1448" applyFont="1" applyBorder="1" applyAlignment="1">
      <alignment horizontal="center" vertical="center"/>
    </xf>
    <xf numFmtId="0" fontId="47" fillId="0" borderId="21" xfId="1448" applyFont="1" applyBorder="1" applyAlignment="1">
      <alignment horizontal="left" wrapText="1"/>
    </xf>
    <xf numFmtId="0" fontId="56" fillId="0" borderId="21" xfId="1448" applyFont="1" applyBorder="1" applyAlignment="1">
      <alignment horizontal="center" wrapText="1"/>
    </xf>
    <xf numFmtId="0" fontId="47" fillId="0" borderId="21" xfId="1448" applyFont="1" applyBorder="1" applyAlignment="1">
      <alignment horizontal="center" vertical="center" wrapText="1"/>
    </xf>
    <xf numFmtId="3" fontId="47" fillId="0" borderId="21" xfId="1448" applyNumberFormat="1" applyFont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65" fillId="0" borderId="34" xfId="1614" applyFont="1" applyBorder="1" applyAlignment="1">
      <alignment vertical="center"/>
    </xf>
    <xf numFmtId="168" fontId="47" fillId="0" borderId="0" xfId="714" applyFont="1" applyFill="1" applyAlignment="1">
      <alignment horizontal="center" wrapText="1"/>
    </xf>
    <xf numFmtId="168" fontId="46" fillId="0" borderId="0" xfId="714" applyFont="1" applyFill="1" applyAlignment="1">
      <alignment horizontal="center" wrapText="1"/>
    </xf>
    <xf numFmtId="4" fontId="96" fillId="0" borderId="3" xfId="1448" applyNumberFormat="1" applyFont="1" applyBorder="1" applyAlignment="1">
      <alignment horizontal="center" vertical="center" wrapText="1"/>
    </xf>
    <xf numFmtId="0" fontId="47" fillId="0" borderId="0" xfId="1448" applyFont="1" applyAlignment="1">
      <alignment vertical="center" wrapText="1"/>
    </xf>
    <xf numFmtId="168" fontId="47" fillId="0" borderId="21" xfId="715" applyNumberFormat="1" applyFont="1" applyFill="1" applyBorder="1" applyAlignment="1">
      <alignment horizontal="center" vertical="center" wrapText="1"/>
    </xf>
    <xf numFmtId="168" fontId="47" fillId="0" borderId="21" xfId="714" applyFont="1" applyFill="1" applyBorder="1" applyAlignment="1">
      <alignment horizontal="center" vertical="center" wrapText="1"/>
    </xf>
    <xf numFmtId="168" fontId="47" fillId="0" borderId="33" xfId="714" applyFont="1" applyFill="1" applyBorder="1" applyAlignment="1">
      <alignment horizontal="center" vertical="center" wrapText="1"/>
    </xf>
    <xf numFmtId="43" fontId="46" fillId="0" borderId="0" xfId="1614" applyNumberFormat="1" applyFont="1" applyAlignment="1">
      <alignment horizontal="left" vertical="center"/>
    </xf>
    <xf numFmtId="37" fontId="114" fillId="0" borderId="0" xfId="1614" applyNumberFormat="1" applyAlignment="1">
      <alignment horizontal="center"/>
    </xf>
    <xf numFmtId="0" fontId="21" fillId="0" borderId="20" xfId="1652" applyFont="1" applyBorder="1" applyAlignment="1">
      <alignment horizontal="center" vertical="center"/>
    </xf>
    <xf numFmtId="0" fontId="21" fillId="0" borderId="21" xfId="1652" applyFont="1" applyBorder="1" applyAlignment="1">
      <alignment horizontal="center" vertical="center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0" fontId="97" fillId="0" borderId="21" xfId="1614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5" fillId="0" borderId="0" xfId="1614" applyFont="1" applyAlignment="1">
      <alignment horizontal="left" vertical="center"/>
    </xf>
    <xf numFmtId="3" fontId="46" fillId="0" borderId="0" xfId="1614" applyNumberFormat="1" applyFont="1" applyAlignment="1">
      <alignment horizontal="left" vertical="center"/>
    </xf>
    <xf numFmtId="3" fontId="46" fillId="0" borderId="3" xfId="1448" applyNumberFormat="1" applyFont="1" applyBorder="1" applyAlignment="1">
      <alignment horizontal="center" vertical="center" wrapText="1"/>
    </xf>
    <xf numFmtId="0" fontId="47" fillId="0" borderId="21" xfId="1451" applyFont="1" applyBorder="1" applyAlignment="1">
      <alignment horizontal="left" vertical="center" wrapText="1"/>
    </xf>
    <xf numFmtId="0" fontId="59" fillId="0" borderId="18" xfId="1448" quotePrefix="1" applyFont="1" applyBorder="1" applyAlignment="1">
      <alignment horizontal="center" vertical="center" wrapText="1"/>
    </xf>
    <xf numFmtId="0" fontId="51" fillId="0" borderId="0" xfId="1505" applyFont="1"/>
    <xf numFmtId="0" fontId="63" fillId="0" borderId="0" xfId="1615" applyFont="1" applyAlignment="1">
      <alignment horizontal="center"/>
    </xf>
    <xf numFmtId="0" fontId="51" fillId="0" borderId="0" xfId="1615" applyFont="1" applyAlignment="1">
      <alignment horizontal="center" vertical="center"/>
    </xf>
    <xf numFmtId="0" fontId="46" fillId="0" borderId="0" xfId="1615" applyFont="1" applyAlignment="1">
      <alignment horizontal="left" vertical="center"/>
    </xf>
    <xf numFmtId="0" fontId="46" fillId="0" borderId="0" xfId="1615" applyFont="1" applyAlignment="1">
      <alignment vertical="center"/>
    </xf>
    <xf numFmtId="0" fontId="114" fillId="0" borderId="0" xfId="1615" applyAlignment="1">
      <alignment horizontal="center" vertical="center"/>
    </xf>
    <xf numFmtId="3" fontId="48" fillId="0" borderId="0" xfId="1615" applyNumberFormat="1" applyFont="1" applyAlignment="1">
      <alignment horizontal="center" vertical="center"/>
    </xf>
    <xf numFmtId="0" fontId="114" fillId="0" borderId="0" xfId="1615" applyAlignment="1">
      <alignment horizontal="center"/>
    </xf>
    <xf numFmtId="43" fontId="46" fillId="0" borderId="0" xfId="1615" applyNumberFormat="1" applyFont="1" applyAlignment="1">
      <alignment horizontal="left" vertical="center"/>
    </xf>
    <xf numFmtId="43" fontId="55" fillId="0" borderId="0" xfId="1653" applyNumberFormat="1" applyFont="1" applyAlignment="1">
      <alignment horizontal="left" vertical="center"/>
    </xf>
    <xf numFmtId="0" fontId="99" fillId="0" borderId="0" xfId="1653" applyFont="1" applyAlignment="1">
      <alignment horizontal="center" vertical="center"/>
    </xf>
    <xf numFmtId="0" fontId="47" fillId="0" borderId="35" xfId="1615" applyFont="1" applyBorder="1" applyAlignment="1">
      <alignment horizontal="center" vertical="center"/>
    </xf>
    <xf numFmtId="0" fontId="47" fillId="0" borderId="35" xfId="1615" applyFont="1" applyBorder="1" applyAlignment="1">
      <alignment horizontal="left" vertical="center" wrapText="1"/>
    </xf>
    <xf numFmtId="0" fontId="47" fillId="0" borderId="35" xfId="1615" applyFont="1" applyBorder="1" applyAlignment="1">
      <alignment horizontal="center" vertical="center" wrapText="1"/>
    </xf>
    <xf numFmtId="0" fontId="49" fillId="0" borderId="35" xfId="1615" applyFont="1" applyBorder="1" applyAlignment="1">
      <alignment horizontal="center" vertical="center"/>
    </xf>
    <xf numFmtId="0" fontId="16" fillId="0" borderId="35" xfId="1653" applyFont="1" applyBorder="1" applyAlignment="1">
      <alignment horizontal="center" vertical="center"/>
    </xf>
    <xf numFmtId="3" fontId="49" fillId="0" borderId="35" xfId="1615" applyNumberFormat="1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0" fontId="16" fillId="0" borderId="0" xfId="1615" applyFont="1" applyAlignment="1">
      <alignment horizontal="center"/>
    </xf>
    <xf numFmtId="0" fontId="55" fillId="0" borderId="21" xfId="1653" applyFont="1" applyBorder="1" applyAlignment="1">
      <alignment horizontal="center" vertical="center"/>
    </xf>
    <xf numFmtId="0" fontId="55" fillId="0" borderId="21" xfId="1653" applyFont="1" applyBorder="1" applyAlignment="1">
      <alignment vertical="center" wrapText="1"/>
    </xf>
    <xf numFmtId="0" fontId="47" fillId="0" borderId="21" xfId="1615" applyFont="1" applyBorder="1" applyAlignment="1">
      <alignment horizontal="center" vertical="center" wrapText="1"/>
    </xf>
    <xf numFmtId="0" fontId="49" fillId="0" borderId="21" xfId="1615" applyFont="1" applyBorder="1" applyAlignment="1">
      <alignment horizontal="center" vertical="center"/>
    </xf>
    <xf numFmtId="0" fontId="16" fillId="0" borderId="21" xfId="1653" applyFont="1" applyBorder="1" applyAlignment="1">
      <alignment horizontal="center" vertical="center"/>
    </xf>
    <xf numFmtId="3" fontId="49" fillId="0" borderId="21" xfId="1615" applyNumberFormat="1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0" fontId="64" fillId="0" borderId="0" xfId="1615" applyFont="1" applyAlignment="1">
      <alignment horizontal="center"/>
    </xf>
    <xf numFmtId="3" fontId="16" fillId="0" borderId="21" xfId="1653" applyNumberFormat="1" applyFont="1" applyBorder="1" applyAlignment="1">
      <alignment horizontal="center" vertical="center"/>
    </xf>
    <xf numFmtId="0" fontId="51" fillId="0" borderId="0" xfId="1615" applyFont="1" applyAlignment="1">
      <alignment vertical="center"/>
    </xf>
    <xf numFmtId="0" fontId="51" fillId="0" borderId="33" xfId="1615" applyFont="1" applyBorder="1" applyAlignment="1">
      <alignment horizontal="center" vertical="center"/>
    </xf>
    <xf numFmtId="0" fontId="51" fillId="0" borderId="33" xfId="1615" applyFont="1" applyBorder="1" applyAlignment="1">
      <alignment vertical="center"/>
    </xf>
    <xf numFmtId="0" fontId="114" fillId="0" borderId="33" xfId="1615" applyBorder="1" applyAlignment="1">
      <alignment horizontal="center" vertical="center"/>
    </xf>
    <xf numFmtId="3" fontId="48" fillId="0" borderId="33" xfId="1615" applyNumberFormat="1" applyFont="1" applyBorder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98" fillId="0" borderId="0" xfId="1448" applyFont="1" applyAlignment="1">
      <alignment horizontal="center" wrapText="1"/>
    </xf>
    <xf numFmtId="0" fontId="53" fillId="0" borderId="0" xfId="1614" applyFont="1" applyAlignment="1">
      <alignment vertical="center"/>
    </xf>
    <xf numFmtId="0" fontId="63" fillId="0" borderId="0" xfId="1614" applyFont="1" applyAlignment="1">
      <alignment horizontal="center" vertical="center"/>
    </xf>
    <xf numFmtId="0" fontId="63" fillId="0" borderId="0" xfId="1614" applyFont="1" applyAlignment="1">
      <alignment vertical="center"/>
    </xf>
    <xf numFmtId="3" fontId="103" fillId="0" borderId="0" xfId="1614" applyNumberFormat="1" applyFont="1" applyAlignment="1">
      <alignment horizontal="center" vertical="center"/>
    </xf>
    <xf numFmtId="0" fontId="103" fillId="0" borderId="0" xfId="1614" applyFont="1" applyAlignment="1">
      <alignment horizontal="center" vertical="center"/>
    </xf>
    <xf numFmtId="0" fontId="22" fillId="0" borderId="0" xfId="1614" applyFont="1" applyAlignment="1">
      <alignment horizontal="center"/>
    </xf>
    <xf numFmtId="0" fontId="94" fillId="0" borderId="0" xfId="1614" applyFont="1" applyAlignment="1">
      <alignment horizontal="center" vertical="center"/>
    </xf>
    <xf numFmtId="0" fontId="94" fillId="0" borderId="0" xfId="1614" applyFont="1" applyAlignment="1">
      <alignment vertical="center"/>
    </xf>
    <xf numFmtId="206" fontId="47" fillId="0" borderId="21" xfId="2549" applyNumberFormat="1" applyFont="1" applyFill="1" applyBorder="1" applyAlignment="1">
      <alignment horizontal="center" vertical="center" wrapText="1"/>
    </xf>
    <xf numFmtId="0" fontId="97" fillId="0" borderId="0" xfId="1448" applyFont="1" applyAlignment="1">
      <alignment horizontal="center" wrapText="1"/>
    </xf>
    <xf numFmtId="0" fontId="98" fillId="0" borderId="0" xfId="1448" applyFont="1" applyAlignment="1">
      <alignment wrapText="1"/>
    </xf>
    <xf numFmtId="0" fontId="105" fillId="0" borderId="0" xfId="1448" applyFont="1" applyAlignment="1">
      <alignment horizontal="center" wrapText="1"/>
    </xf>
    <xf numFmtId="0" fontId="104" fillId="0" borderId="0" xfId="1448" applyFont="1" applyAlignment="1">
      <alignment horizontal="center" wrapText="1"/>
    </xf>
    <xf numFmtId="0" fontId="104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/>
    </xf>
    <xf numFmtId="0" fontId="97" fillId="0" borderId="0" xfId="1448" applyFont="1" applyAlignment="1">
      <alignment horizontal="center" vertical="center"/>
    </xf>
    <xf numFmtId="0" fontId="97" fillId="0" borderId="0" xfId="1448" applyFont="1" applyAlignment="1">
      <alignment vertical="center" wrapText="1"/>
    </xf>
    <xf numFmtId="0" fontId="97" fillId="0" borderId="0" xfId="527" applyNumberFormat="1" applyFont="1" applyFill="1" applyBorder="1" applyAlignment="1">
      <alignment horizontal="center" wrapText="1"/>
    </xf>
    <xf numFmtId="41" fontId="98" fillId="0" borderId="0" xfId="1448" applyNumberFormat="1" applyFont="1" applyAlignment="1">
      <alignment wrapText="1"/>
    </xf>
    <xf numFmtId="41" fontId="98" fillId="0" borderId="0" xfId="527" applyNumberFormat="1" applyFont="1" applyFill="1" applyAlignment="1">
      <alignment wrapText="1"/>
    </xf>
    <xf numFmtId="0" fontId="98" fillId="0" borderId="0" xfId="1448" applyFont="1" applyAlignment="1">
      <alignment vertical="top" wrapText="1"/>
    </xf>
    <xf numFmtId="0" fontId="97" fillId="0" borderId="0" xfId="527" applyNumberFormat="1" applyFont="1" applyFill="1" applyAlignment="1">
      <alignment horizontal="center" wrapText="1"/>
    </xf>
    <xf numFmtId="0" fontId="98" fillId="0" borderId="0" xfId="527" applyNumberFormat="1" applyFont="1" applyFill="1" applyAlignment="1">
      <alignment horizontal="center" wrapText="1"/>
    </xf>
    <xf numFmtId="168" fontId="47" fillId="0" borderId="21" xfId="717" applyNumberFormat="1" applyFont="1" applyFill="1" applyBorder="1" applyAlignment="1" applyProtection="1">
      <alignment horizontal="center" vertical="center" wrapText="1"/>
    </xf>
    <xf numFmtId="41" fontId="47" fillId="0" borderId="21" xfId="1451" applyNumberFormat="1" applyFont="1" applyBorder="1" applyAlignment="1">
      <alignment horizontal="center" vertical="center" wrapText="1"/>
    </xf>
    <xf numFmtId="168" fontId="59" fillId="0" borderId="21" xfId="717" applyNumberFormat="1" applyFont="1" applyFill="1" applyBorder="1" applyAlignment="1" applyProtection="1">
      <alignment horizontal="center" vertical="center" wrapText="1"/>
    </xf>
    <xf numFmtId="0" fontId="47" fillId="0" borderId="21" xfId="1451" applyFont="1" applyBorder="1" applyAlignment="1">
      <alignment horizontal="center" vertical="center" wrapText="1"/>
    </xf>
    <xf numFmtId="168" fontId="47" fillId="0" borderId="21" xfId="728" applyFont="1" applyFill="1" applyBorder="1" applyAlignment="1" applyProtection="1">
      <alignment horizontal="center" vertical="center" wrapText="1"/>
    </xf>
    <xf numFmtId="3" fontId="47" fillId="0" borderId="21" xfId="1450" applyNumberFormat="1" applyFont="1" applyBorder="1" applyAlignment="1">
      <alignment horizontal="center" vertical="center" wrapText="1"/>
    </xf>
    <xf numFmtId="168" fontId="47" fillId="0" borderId="21" xfId="728" applyFont="1" applyFill="1" applyBorder="1" applyAlignment="1">
      <alignment horizontal="center" vertical="center" wrapText="1"/>
    </xf>
    <xf numFmtId="0" fontId="124" fillId="0" borderId="26" xfId="1451" applyFont="1" applyBorder="1"/>
    <xf numFmtId="0" fontId="124" fillId="0" borderId="36" xfId="1451" applyFont="1" applyBorder="1"/>
    <xf numFmtId="0" fontId="124" fillId="0" borderId="48" xfId="1451" applyFont="1" applyBorder="1"/>
    <xf numFmtId="0" fontId="124" fillId="0" borderId="28" xfId="1451" applyFont="1" applyBorder="1"/>
    <xf numFmtId="0" fontId="124" fillId="0" borderId="37" xfId="1451" applyFont="1" applyBorder="1"/>
    <xf numFmtId="0" fontId="119" fillId="0" borderId="37" xfId="1451" applyFont="1" applyBorder="1" applyAlignment="1">
      <alignment vertical="center"/>
    </xf>
    <xf numFmtId="0" fontId="124" fillId="0" borderId="34" xfId="1451" applyFont="1" applyBorder="1"/>
    <xf numFmtId="0" fontId="124" fillId="0" borderId="19" xfId="1451" applyFont="1" applyBorder="1"/>
    <xf numFmtId="0" fontId="119" fillId="0" borderId="19" xfId="1451" applyFont="1" applyBorder="1" applyAlignment="1">
      <alignment vertical="center"/>
    </xf>
    <xf numFmtId="0" fontId="119" fillId="0" borderId="19" xfId="1451" applyFont="1" applyBorder="1" applyAlignment="1">
      <alignment horizontal="center" vertical="center"/>
    </xf>
    <xf numFmtId="0" fontId="119" fillId="0" borderId="31" xfId="1451" applyFont="1" applyBorder="1" applyAlignment="1">
      <alignment vertical="center"/>
    </xf>
    <xf numFmtId="0" fontId="46" fillId="0" borderId="3" xfId="1448" applyFont="1" applyBorder="1" applyAlignment="1">
      <alignment horizontal="center" vertical="center"/>
    </xf>
    <xf numFmtId="0" fontId="46" fillId="0" borderId="3" xfId="1448" applyFont="1" applyBorder="1" applyAlignment="1">
      <alignment horizontal="left" vertical="center" wrapText="1"/>
    </xf>
    <xf numFmtId="0" fontId="46" fillId="0" borderId="3" xfId="1448" applyFont="1" applyBorder="1" applyAlignment="1">
      <alignment horizontal="center" vertical="center" wrapText="1"/>
    </xf>
    <xf numFmtId="168" fontId="46" fillId="0" borderId="3" xfId="715" applyNumberFormat="1" applyFont="1" applyFill="1" applyBorder="1" applyAlignment="1">
      <alignment horizontal="center" vertical="center" wrapText="1"/>
    </xf>
    <xf numFmtId="3" fontId="133" fillId="32" borderId="3" xfId="1448" applyNumberFormat="1" applyFont="1" applyFill="1" applyBorder="1" applyAlignment="1">
      <alignment horizontal="center" vertical="center" wrapText="1"/>
    </xf>
    <xf numFmtId="0" fontId="47" fillId="0" borderId="21" xfId="1451" applyFont="1" applyBorder="1" applyAlignment="1">
      <alignment horizontal="center" vertical="center"/>
    </xf>
    <xf numFmtId="0" fontId="139" fillId="0" borderId="21" xfId="1451" applyFont="1" applyBorder="1" applyAlignment="1">
      <alignment horizontal="left" vertical="center" wrapText="1"/>
    </xf>
    <xf numFmtId="0" fontId="47" fillId="33" borderId="21" xfId="1451" applyFont="1" applyFill="1" applyBorder="1" applyAlignment="1">
      <alignment horizontal="left" vertical="center" wrapText="1"/>
    </xf>
    <xf numFmtId="0" fontId="47" fillId="0" borderId="21" xfId="1451" applyFont="1" applyBorder="1" applyAlignment="1">
      <alignment horizontal="left" wrapText="1"/>
    </xf>
    <xf numFmtId="0" fontId="47" fillId="0" borderId="21" xfId="1450" applyFont="1" applyBorder="1" applyAlignment="1">
      <alignment horizontal="center" vertical="center"/>
    </xf>
    <xf numFmtId="0" fontId="47" fillId="0" borderId="21" xfId="1450" applyFont="1" applyBorder="1" applyAlignment="1">
      <alignment horizontal="left" wrapText="1"/>
    </xf>
    <xf numFmtId="0" fontId="117" fillId="0" borderId="21" xfId="1615" applyFont="1" applyBorder="1" applyAlignment="1">
      <alignment vertical="top" wrapText="1"/>
    </xf>
    <xf numFmtId="43" fontId="132" fillId="0" borderId="0" xfId="523" applyFont="1" applyFill="1" applyAlignment="1">
      <alignment horizontal="left" wrapText="1"/>
    </xf>
    <xf numFmtId="0" fontId="11" fillId="0" borderId="0" xfId="2673" applyAlignment="1">
      <alignment vertical="center" wrapText="1"/>
    </xf>
    <xf numFmtId="0" fontId="11" fillId="0" borderId="0" xfId="2673" applyAlignment="1">
      <alignment horizontal="center" vertical="center" wrapText="1"/>
    </xf>
    <xf numFmtId="0" fontId="11" fillId="0" borderId="28" xfId="2673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0" fontId="100" fillId="0" borderId="0" xfId="2673" applyFont="1" applyAlignment="1">
      <alignment vertical="center" wrapText="1"/>
    </xf>
    <xf numFmtId="2" fontId="108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37" fillId="0" borderId="28" xfId="2673" applyFont="1" applyBorder="1" applyAlignment="1">
      <alignment vertical="center" wrapText="1"/>
    </xf>
    <xf numFmtId="0" fontId="13" fillId="0" borderId="21" xfId="1615" applyFont="1" applyBorder="1" applyAlignment="1">
      <alignment horizontal="center" vertical="center"/>
    </xf>
    <xf numFmtId="0" fontId="124" fillId="33" borderId="0" xfId="1451" applyFont="1" applyFill="1"/>
    <xf numFmtId="0" fontId="124" fillId="33" borderId="26" xfId="1451" applyFont="1" applyFill="1" applyBorder="1"/>
    <xf numFmtId="0" fontId="124" fillId="33" borderId="36" xfId="1451" applyFont="1" applyFill="1" applyBorder="1"/>
    <xf numFmtId="0" fontId="124" fillId="33" borderId="48" xfId="1451" applyFont="1" applyFill="1" applyBorder="1"/>
    <xf numFmtId="0" fontId="124" fillId="33" borderId="28" xfId="1451" applyFont="1" applyFill="1" applyBorder="1"/>
    <xf numFmtId="0" fontId="124" fillId="33" borderId="37" xfId="1451" applyFont="1" applyFill="1" applyBorder="1"/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vertical="center"/>
    </xf>
    <xf numFmtId="0" fontId="127" fillId="33" borderId="0" xfId="1451" applyFont="1" applyFill="1" applyAlignment="1">
      <alignment horizontal="center" vertical="center"/>
    </xf>
    <xf numFmtId="0" fontId="128" fillId="33" borderId="0" xfId="1451" applyFont="1" applyFill="1"/>
    <xf numFmtId="0" fontId="129" fillId="33" borderId="0" xfId="1451" applyFont="1" applyFill="1"/>
    <xf numFmtId="0" fontId="119" fillId="33" borderId="0" xfId="1451" applyFont="1" applyFill="1" applyAlignment="1">
      <alignment vertical="center"/>
    </xf>
    <xf numFmtId="0" fontId="119" fillId="33" borderId="37" xfId="1451" applyFont="1" applyFill="1" applyBorder="1" applyAlignment="1">
      <alignment vertical="center"/>
    </xf>
    <xf numFmtId="0" fontId="129" fillId="33" borderId="0" xfId="1451" applyFont="1" applyFill="1" applyAlignment="1">
      <alignment horizontal="center"/>
    </xf>
    <xf numFmtId="0" fontId="119" fillId="33" borderId="0" xfId="1451" applyFont="1" applyFill="1" applyAlignment="1">
      <alignment horizontal="center" vertical="center"/>
    </xf>
    <xf numFmtId="0" fontId="119" fillId="33" borderId="37" xfId="1451" applyFont="1" applyFill="1" applyBorder="1" applyAlignment="1">
      <alignment horizontal="center" vertical="center"/>
    </xf>
    <xf numFmtId="0" fontId="130" fillId="33" borderId="0" xfId="1451" applyFont="1" applyFill="1" applyAlignment="1">
      <alignment vertical="center"/>
    </xf>
    <xf numFmtId="0" fontId="130" fillId="33" borderId="37" xfId="1451" applyFont="1" applyFill="1" applyBorder="1" applyAlignment="1">
      <alignment vertical="center"/>
    </xf>
    <xf numFmtId="0" fontId="124" fillId="33" borderId="34" xfId="1451" applyFont="1" applyFill="1" applyBorder="1"/>
    <xf numFmtId="0" fontId="124" fillId="33" borderId="19" xfId="1451" applyFont="1" applyFill="1" applyBorder="1"/>
    <xf numFmtId="0" fontId="119" fillId="33" borderId="19" xfId="1451" applyFont="1" applyFill="1" applyBorder="1" applyAlignment="1">
      <alignment vertical="center"/>
    </xf>
    <xf numFmtId="0" fontId="119" fillId="33" borderId="19" xfId="1451" applyFont="1" applyFill="1" applyBorder="1" applyAlignment="1">
      <alignment horizontal="center" vertical="center"/>
    </xf>
    <xf numFmtId="0" fontId="119" fillId="33" borderId="31" xfId="1451" applyFont="1" applyFill="1" applyBorder="1" applyAlignment="1">
      <alignment vertical="center"/>
    </xf>
    <xf numFmtId="0" fontId="124" fillId="33" borderId="31" xfId="1451" applyFont="1" applyFill="1" applyBorder="1"/>
    <xf numFmtId="0" fontId="118" fillId="33" borderId="0" xfId="0" applyFont="1" applyFill="1" applyAlignment="1">
      <alignment horizontal="center"/>
    </xf>
    <xf numFmtId="0" fontId="118" fillId="33" borderId="26" xfId="0" applyFont="1" applyFill="1" applyBorder="1" applyAlignment="1">
      <alignment horizontal="center"/>
    </xf>
    <xf numFmtId="0" fontId="118" fillId="33" borderId="36" xfId="0" applyFont="1" applyFill="1" applyBorder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9" fillId="33" borderId="18" xfId="0" applyFont="1" applyFill="1" applyBorder="1" applyAlignment="1">
      <alignment horizontal="left"/>
    </xf>
    <xf numFmtId="0" fontId="118" fillId="33" borderId="37" xfId="0" applyFont="1" applyFill="1" applyBorder="1" applyAlignment="1">
      <alignment horizontal="center"/>
    </xf>
    <xf numFmtId="0" fontId="118" fillId="33" borderId="3" xfId="0" applyFont="1" applyFill="1" applyBorder="1" applyAlignment="1">
      <alignment horizontal="center"/>
    </xf>
    <xf numFmtId="0" fontId="140" fillId="33" borderId="0" xfId="0" applyFont="1" applyFill="1" applyAlignment="1">
      <alignment horizontal="center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8" fillId="33" borderId="38" xfId="0" applyFont="1" applyFill="1" applyBorder="1" applyAlignment="1">
      <alignment horizontal="center"/>
    </xf>
    <xf numFmtId="0" fontId="95" fillId="33" borderId="40" xfId="0" applyFont="1" applyFill="1" applyBorder="1" applyAlignment="1">
      <alignment horizontal="center" vertical="center"/>
    </xf>
    <xf numFmtId="0" fontId="95" fillId="33" borderId="47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horizontal="center" vertical="center"/>
    </xf>
    <xf numFmtId="0" fontId="118" fillId="33" borderId="39" xfId="0" applyFont="1" applyFill="1" applyBorder="1" applyAlignment="1">
      <alignment horizontal="center" vertical="center"/>
    </xf>
    <xf numFmtId="0" fontId="121" fillId="33" borderId="0" xfId="0" applyFont="1" applyFill="1" applyAlignment="1">
      <alignment horizontal="center"/>
    </xf>
    <xf numFmtId="0" fontId="95" fillId="33" borderId="68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vertical="top" wrapText="1"/>
    </xf>
    <xf numFmtId="0" fontId="118" fillId="33" borderId="39" xfId="0" applyFont="1" applyFill="1" applyBorder="1" applyAlignment="1">
      <alignment vertical="top" wrapText="1"/>
    </xf>
    <xf numFmtId="0" fontId="122" fillId="33" borderId="69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top" wrapText="1"/>
    </xf>
    <xf numFmtId="49" fontId="118" fillId="33" borderId="41" xfId="0" applyNumberFormat="1" applyFont="1" applyFill="1" applyBorder="1" applyAlignment="1">
      <alignment horizontal="center" vertical="top" wrapText="1"/>
    </xf>
    <xf numFmtId="0" fontId="122" fillId="33" borderId="7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0" fontId="123" fillId="33" borderId="71" xfId="0" applyFont="1" applyFill="1" applyBorder="1" applyAlignment="1">
      <alignment horizontal="center" vertical="top" wrapText="1"/>
    </xf>
    <xf numFmtId="0" fontId="123" fillId="33" borderId="72" xfId="0" applyFont="1" applyFill="1" applyBorder="1" applyAlignment="1">
      <alignment horizontal="center" vertical="top" wrapText="1"/>
    </xf>
    <xf numFmtId="0" fontId="118" fillId="33" borderId="0" xfId="0" applyFont="1" applyFill="1" applyAlignment="1">
      <alignment vertical="top" wrapText="1"/>
    </xf>
    <xf numFmtId="0" fontId="118" fillId="33" borderId="37" xfId="0" applyFont="1" applyFill="1" applyBorder="1" applyAlignment="1">
      <alignment vertical="top" wrapText="1"/>
    </xf>
    <xf numFmtId="0" fontId="118" fillId="33" borderId="42" xfId="0" applyFont="1" applyFill="1" applyBorder="1" applyAlignment="1">
      <alignment horizontal="center"/>
    </xf>
    <xf numFmtId="0" fontId="118" fillId="33" borderId="43" xfId="0" applyFont="1" applyFill="1" applyBorder="1" applyAlignment="1">
      <alignment vertical="top" wrapText="1"/>
    </xf>
    <xf numFmtId="0" fontId="118" fillId="33" borderId="44" xfId="0" applyFont="1" applyFill="1" applyBorder="1" applyAlignment="1">
      <alignment vertical="top" wrapText="1"/>
    </xf>
    <xf numFmtId="0" fontId="118" fillId="33" borderId="45" xfId="0" applyFont="1" applyFill="1" applyBorder="1" applyAlignment="1">
      <alignment vertical="top" wrapText="1"/>
    </xf>
    <xf numFmtId="0" fontId="123" fillId="33" borderId="28" xfId="0" applyFont="1" applyFill="1" applyBorder="1" applyAlignment="1">
      <alignment horizontal="center"/>
    </xf>
    <xf numFmtId="0" fontId="123" fillId="33" borderId="0" xfId="0" applyFont="1" applyFill="1" applyAlignment="1">
      <alignment horizontal="center"/>
    </xf>
    <xf numFmtId="0" fontId="118" fillId="33" borderId="39" xfId="0" applyFont="1" applyFill="1" applyBorder="1" applyAlignment="1">
      <alignment horizontal="center"/>
    </xf>
    <xf numFmtId="20" fontId="118" fillId="33" borderId="39" xfId="0" applyNumberFormat="1" applyFont="1" applyFill="1" applyBorder="1" applyAlignment="1">
      <alignment horizontal="center"/>
    </xf>
    <xf numFmtId="0" fontId="118" fillId="33" borderId="42" xfId="0" applyFont="1" applyFill="1" applyBorder="1" applyAlignment="1">
      <alignment horizontal="center" vertical="center" wrapText="1"/>
    </xf>
    <xf numFmtId="0" fontId="123" fillId="33" borderId="34" xfId="0" applyFont="1" applyFill="1" applyBorder="1" applyAlignment="1">
      <alignment horizontal="center"/>
    </xf>
    <xf numFmtId="0" fontId="123" fillId="33" borderId="19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8" fillId="33" borderId="46" xfId="0" applyFont="1" applyFill="1" applyBorder="1" applyAlignment="1">
      <alignment horizontal="center"/>
    </xf>
    <xf numFmtId="0" fontId="150" fillId="0" borderId="7" xfId="2673" applyFont="1" applyBorder="1" applyAlignment="1">
      <alignment horizontal="center" vertical="center" wrapText="1"/>
    </xf>
    <xf numFmtId="0" fontId="100" fillId="0" borderId="0" xfId="2673" applyFont="1" applyAlignment="1">
      <alignment horizontal="left" vertical="center" wrapText="1"/>
    </xf>
    <xf numFmtId="0" fontId="56" fillId="0" borderId="21" xfId="1450" applyFont="1" applyBorder="1" applyAlignment="1">
      <alignment horizontal="center" wrapText="1"/>
    </xf>
    <xf numFmtId="0" fontId="47" fillId="0" borderId="21" xfId="1450" applyFont="1" applyBorder="1" applyAlignment="1">
      <alignment horizontal="center" vertical="center" wrapText="1"/>
    </xf>
    <xf numFmtId="3" fontId="47" fillId="0" borderId="21" xfId="1451" applyNumberFormat="1" applyFont="1" applyBorder="1" applyAlignment="1">
      <alignment horizontal="center" vertical="center" wrapText="1"/>
    </xf>
    <xf numFmtId="41" fontId="47" fillId="0" borderId="21" xfId="1450" applyNumberFormat="1" applyFont="1" applyBorder="1" applyAlignment="1">
      <alignment horizontal="center" vertical="center" wrapText="1"/>
    </xf>
    <xf numFmtId="3" fontId="47" fillId="0" borderId="0" xfId="1451" applyNumberFormat="1" applyFont="1" applyAlignment="1">
      <alignment horizontal="center" vertical="center" wrapText="1"/>
    </xf>
    <xf numFmtId="0" fontId="24" fillId="0" borderId="0" xfId="1649"/>
    <xf numFmtId="3" fontId="139" fillId="0" borderId="21" xfId="1451" applyNumberFormat="1" applyFont="1" applyBorder="1" applyAlignment="1">
      <alignment horizontal="center" vertical="center" wrapText="1"/>
    </xf>
    <xf numFmtId="3" fontId="13" fillId="0" borderId="21" xfId="1615" applyNumberFormat="1" applyFont="1" applyBorder="1" applyAlignment="1">
      <alignment horizontal="center" vertical="center"/>
    </xf>
    <xf numFmtId="0" fontId="12" fillId="0" borderId="0" xfId="2670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left" vertical="center"/>
    </xf>
    <xf numFmtId="0" fontId="148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right" vertical="center"/>
    </xf>
    <xf numFmtId="9" fontId="149" fillId="36" borderId="0" xfId="2671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43" fontId="149" fillId="36" borderId="0" xfId="2672" applyFont="1" applyFill="1" applyBorder="1" applyAlignment="1" applyProtection="1">
      <alignment horizontal="right" vertical="center"/>
    </xf>
    <xf numFmtId="10" fontId="149" fillId="36" borderId="0" xfId="2671" applyNumberFormat="1" applyFont="1" applyFill="1" applyBorder="1" applyAlignment="1" applyProtection="1">
      <alignment horizontal="right" vertical="center"/>
    </xf>
    <xf numFmtId="168" fontId="148" fillId="36" borderId="0" xfId="2672" applyNumberFormat="1" applyFont="1" applyFill="1" applyBorder="1" applyAlignment="1" applyProtection="1">
      <alignment horizontal="right" vertical="center"/>
    </xf>
    <xf numFmtId="0" fontId="142" fillId="0" borderId="0" xfId="2670" applyFont="1" applyAlignment="1">
      <alignment horizontal="left" vertical="center"/>
    </xf>
    <xf numFmtId="0" fontId="145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5" fillId="0" borderId="0" xfId="1538"/>
    <xf numFmtId="43" fontId="115" fillId="0" borderId="0" xfId="1538" applyNumberFormat="1"/>
    <xf numFmtId="0" fontId="64" fillId="0" borderId="0" xfId="1538" applyFont="1"/>
    <xf numFmtId="0" fontId="131" fillId="0" borderId="0" xfId="1538" applyFont="1"/>
    <xf numFmtId="0" fontId="55" fillId="0" borderId="44" xfId="1538" applyFont="1" applyBorder="1" applyAlignment="1">
      <alignment horizontal="left"/>
    </xf>
    <xf numFmtId="0" fontId="115" fillId="38" borderId="3" xfId="1538" applyFill="1" applyBorder="1" applyAlignment="1">
      <alignment vertical="center"/>
    </xf>
    <xf numFmtId="0" fontId="115" fillId="38" borderId="0" xfId="1538" applyFill="1"/>
    <xf numFmtId="0" fontId="64" fillId="38" borderId="0" xfId="1538" applyFont="1" applyFill="1"/>
    <xf numFmtId="0" fontId="106" fillId="0" borderId="0" xfId="1538" applyFont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/>
    </xf>
    <xf numFmtId="0" fontId="115" fillId="0" borderId="0" xfId="1538" applyAlignment="1">
      <alignment horizontal="center" vertical="center"/>
    </xf>
    <xf numFmtId="1" fontId="115" fillId="0" borderId="0" xfId="1538" applyNumberFormat="1"/>
    <xf numFmtId="0" fontId="115" fillId="0" borderId="3" xfId="1538" applyBorder="1"/>
    <xf numFmtId="43" fontId="0" fillId="0" borderId="3" xfId="1026" applyFont="1" applyFill="1" applyBorder="1" applyProtection="1"/>
    <xf numFmtId="43" fontId="115" fillId="0" borderId="3" xfId="1538" applyNumberFormat="1" applyBorder="1"/>
    <xf numFmtId="43" fontId="143" fillId="0" borderId="3" xfId="1026" applyFont="1" applyBorder="1" applyProtection="1"/>
    <xf numFmtId="43" fontId="0" fillId="0" borderId="3" xfId="1026" applyFont="1" applyBorder="1" applyProtection="1"/>
    <xf numFmtId="43" fontId="131" fillId="0" borderId="3" xfId="1538" applyNumberFormat="1" applyFont="1" applyBorder="1"/>
    <xf numFmtId="0" fontId="64" fillId="0" borderId="3" xfId="1538" applyFont="1" applyBorder="1"/>
    <xf numFmtId="41" fontId="115" fillId="0" borderId="3" xfId="1538" applyNumberFormat="1" applyBorder="1"/>
    <xf numFmtId="43" fontId="107" fillId="0" borderId="3" xfId="1026" applyFont="1" applyFill="1" applyBorder="1" applyProtection="1"/>
    <xf numFmtId="0" fontId="52" fillId="0" borderId="0" xfId="1538" applyFont="1"/>
    <xf numFmtId="0" fontId="52" fillId="0" borderId="3" xfId="1538" applyFont="1" applyBorder="1" applyAlignment="1">
      <alignment horizontal="center"/>
    </xf>
    <xf numFmtId="43" fontId="52" fillId="0" borderId="3" xfId="1538" applyNumberFormat="1" applyFont="1" applyBorder="1"/>
    <xf numFmtId="0" fontId="115" fillId="29" borderId="0" xfId="1538" applyFill="1"/>
    <xf numFmtId="0" fontId="52" fillId="0" borderId="0" xfId="1538" applyFont="1" applyAlignment="1">
      <alignment horizontal="center"/>
    </xf>
    <xf numFmtId="43" fontId="52" fillId="0" borderId="0" xfId="1538" applyNumberFormat="1" applyFont="1"/>
    <xf numFmtId="0" fontId="115" fillId="29" borderId="3" xfId="1538" applyFill="1" applyBorder="1"/>
    <xf numFmtId="168" fontId="115" fillId="29" borderId="3" xfId="1538" applyNumberFormat="1" applyFill="1" applyBorder="1" applyAlignment="1">
      <alignment horizontal="right"/>
    </xf>
    <xf numFmtId="166" fontId="115" fillId="0" borderId="0" xfId="1538" applyNumberFormat="1"/>
    <xf numFmtId="43" fontId="115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5" fillId="29" borderId="3" xfId="1538" applyNumberFormat="1" applyFill="1" applyBorder="1"/>
    <xf numFmtId="10" fontId="115" fillId="29" borderId="3" xfId="1538" applyNumberFormat="1" applyFill="1" applyBorder="1"/>
    <xf numFmtId="0" fontId="152" fillId="0" borderId="0" xfId="1614" applyFont="1" applyAlignment="1">
      <alignment horizontal="center"/>
    </xf>
    <xf numFmtId="0" fontId="153" fillId="0" borderId="0" xfId="1614" applyFont="1" applyAlignment="1">
      <alignment horizontal="center" vertical="center"/>
    </xf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3" fontId="152" fillId="0" borderId="0" xfId="1614" applyNumberFormat="1" applyFont="1" applyAlignment="1">
      <alignment horizontal="center"/>
    </xf>
    <xf numFmtId="0" fontId="157" fillId="0" borderId="0" xfId="1614" applyFont="1"/>
    <xf numFmtId="43" fontId="157" fillId="0" borderId="0" xfId="1652" applyNumberFormat="1" applyFont="1"/>
    <xf numFmtId="0" fontId="157" fillId="0" borderId="0" xfId="1614" applyFont="1" applyAlignment="1">
      <alignment horizontal="left" vertical="center"/>
    </xf>
    <xf numFmtId="0" fontId="157" fillId="0" borderId="0" xfId="1614" applyFont="1" applyAlignment="1">
      <alignment horizontal="center" vertical="center"/>
    </xf>
    <xf numFmtId="3" fontId="154" fillId="0" borderId="0" xfId="1614" applyNumberFormat="1" applyFont="1" applyAlignment="1">
      <alignment horizontal="left" vertical="center"/>
    </xf>
    <xf numFmtId="0" fontId="157" fillId="0" borderId="0" xfId="1614" applyFont="1" applyAlignment="1">
      <alignment horizontal="center"/>
    </xf>
    <xf numFmtId="0" fontId="154" fillId="0" borderId="0" xfId="1614" applyFont="1" applyAlignment="1">
      <alignment horizontal="center"/>
    </xf>
    <xf numFmtId="0" fontId="157" fillId="0" borderId="0" xfId="1614" applyFont="1" applyAlignment="1">
      <alignment horizontal="center" vertical="center" wrapText="1"/>
    </xf>
    <xf numFmtId="0" fontId="154" fillId="0" borderId="0" xfId="1614" applyFont="1" applyAlignment="1">
      <alignment horizontal="center" vertical="center" wrapText="1"/>
    </xf>
    <xf numFmtId="3" fontId="153" fillId="0" borderId="0" xfId="1614" applyNumberFormat="1" applyFont="1" applyAlignment="1">
      <alignment vertical="center"/>
    </xf>
    <xf numFmtId="0" fontId="154" fillId="0" borderId="20" xfId="1615" applyFont="1" applyBorder="1" applyAlignment="1">
      <alignment horizontal="center" vertical="center"/>
    </xf>
    <xf numFmtId="0" fontId="154" fillId="0" borderId="21" xfId="1615" applyFont="1" applyBorder="1" applyAlignment="1">
      <alignment horizontal="left" vertical="center" wrapText="1"/>
    </xf>
    <xf numFmtId="0" fontId="153" fillId="0" borderId="21" xfId="1614" applyFont="1" applyBorder="1" applyAlignment="1">
      <alignment horizontal="center" vertical="center" wrapText="1"/>
    </xf>
    <xf numFmtId="0" fontId="160" fillId="0" borderId="21" xfId="1614" applyFont="1" applyBorder="1" applyAlignment="1">
      <alignment horizontal="center" vertical="center"/>
    </xf>
    <xf numFmtId="3" fontId="160" fillId="0" borderId="21" xfId="1614" applyNumberFormat="1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53" fillId="0" borderId="22" xfId="1614" applyNumberFormat="1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/>
    </xf>
    <xf numFmtId="3" fontId="152" fillId="0" borderId="0" xfId="1614" applyNumberFormat="1" applyFont="1" applyAlignment="1">
      <alignment horizontal="center" vertical="center"/>
    </xf>
    <xf numFmtId="0" fontId="160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451" applyFont="1" applyBorder="1" applyAlignment="1">
      <alignment horizontal="left" vertical="center" wrapText="1"/>
    </xf>
    <xf numFmtId="0" fontId="155" fillId="0" borderId="21" xfId="1653" applyFont="1" applyBorder="1" applyAlignment="1">
      <alignment horizontal="center" vertical="center"/>
    </xf>
    <xf numFmtId="3" fontId="156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5" fillId="0" borderId="20" xfId="1653" applyFont="1" applyBorder="1" applyAlignment="1">
      <alignment horizontal="center" vertical="center"/>
    </xf>
    <xf numFmtId="0" fontId="155" fillId="0" borderId="21" xfId="1653" applyFont="1" applyBorder="1" applyAlignment="1">
      <alignment vertical="center" wrapText="1"/>
    </xf>
    <xf numFmtId="0" fontId="155" fillId="0" borderId="21" xfId="1652" applyFont="1" applyBorder="1" applyAlignment="1">
      <alignment vertical="center" wrapText="1"/>
    </xf>
    <xf numFmtId="0" fontId="153" fillId="0" borderId="20" xfId="1652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60" fillId="0" borderId="21" xfId="1652" applyFont="1" applyBorder="1" applyAlignment="1">
      <alignment horizontal="center" vertical="center"/>
    </xf>
    <xf numFmtId="0" fontId="160" fillId="0" borderId="49" xfId="1652" applyFont="1" applyBorder="1" applyAlignment="1">
      <alignment horizontal="center" vertical="center"/>
    </xf>
    <xf numFmtId="0" fontId="160" fillId="0" borderId="3" xfId="1652" applyFont="1" applyBorder="1" applyAlignment="1">
      <alignment vertical="center" wrapText="1"/>
    </xf>
    <xf numFmtId="0" fontId="153" fillId="0" borderId="3" xfId="1614" applyFont="1" applyBorder="1" applyAlignment="1">
      <alignment horizontal="center" vertical="center" wrapText="1"/>
    </xf>
    <xf numFmtId="0" fontId="160" fillId="0" borderId="3" xfId="1614" applyFont="1" applyBorder="1" applyAlignment="1">
      <alignment horizontal="center" vertical="center"/>
    </xf>
    <xf numFmtId="0" fontId="160" fillId="0" borderId="3" xfId="1652" applyFont="1" applyBorder="1" applyAlignment="1">
      <alignment horizontal="center" vertical="center"/>
    </xf>
    <xf numFmtId="206" fontId="160" fillId="0" borderId="3" xfId="1614" applyNumberFormat="1" applyFont="1" applyBorder="1" applyAlignment="1">
      <alignment horizontal="center" vertical="center"/>
    </xf>
    <xf numFmtId="3" fontId="153" fillId="0" borderId="3" xfId="1614" applyNumberFormat="1" applyFont="1" applyBorder="1" applyAlignment="1">
      <alignment horizontal="center" vertical="center"/>
    </xf>
    <xf numFmtId="3" fontId="153" fillId="0" borderId="39" xfId="1614" applyNumberFormat="1" applyFont="1" applyBorder="1" applyAlignment="1">
      <alignment horizontal="center" vertical="center"/>
    </xf>
    <xf numFmtId="0" fontId="160" fillId="0" borderId="20" xfId="1652" applyFont="1" applyBorder="1" applyAlignment="1">
      <alignment horizontal="center" vertical="center"/>
    </xf>
    <xf numFmtId="0" fontId="160" fillId="0" borderId="21" xfId="1652" applyFont="1" applyBorder="1" applyAlignment="1">
      <alignment vertical="center" wrapText="1"/>
    </xf>
    <xf numFmtId="0" fontId="153" fillId="0" borderId="23" xfId="1614" applyFont="1" applyBorder="1" applyAlignment="1">
      <alignment horizontal="center" vertical="center"/>
    </xf>
    <xf numFmtId="0" fontId="153" fillId="0" borderId="24" xfId="1614" applyFont="1" applyBorder="1" applyAlignment="1">
      <alignment horizontal="left" vertical="center"/>
    </xf>
    <xf numFmtId="0" fontId="153" fillId="0" borderId="24" xfId="1614" applyFont="1" applyBorder="1" applyAlignment="1">
      <alignment vertical="center"/>
    </xf>
    <xf numFmtId="0" fontId="160" fillId="0" borderId="24" xfId="1614" applyFont="1" applyBorder="1" applyAlignment="1">
      <alignment horizontal="center" vertical="center"/>
    </xf>
    <xf numFmtId="3" fontId="153" fillId="0" borderId="24" xfId="1614" applyNumberFormat="1" applyFont="1" applyBorder="1" applyAlignment="1">
      <alignment horizontal="center" vertical="center"/>
    </xf>
    <xf numFmtId="3" fontId="153" fillId="0" borderId="25" xfId="1614" applyNumberFormat="1" applyFont="1" applyBorder="1" applyAlignment="1">
      <alignment horizontal="center" vertical="center"/>
    </xf>
    <xf numFmtId="0" fontId="155" fillId="0" borderId="26" xfId="1614" applyFont="1" applyBorder="1" applyAlignment="1">
      <alignment horizontal="center" vertical="center"/>
    </xf>
    <xf numFmtId="37" fontId="157" fillId="0" borderId="27" xfId="1614" applyNumberFormat="1" applyFont="1" applyBorder="1" applyAlignment="1">
      <alignment horizontal="center"/>
    </xf>
    <xf numFmtId="37" fontId="155" fillId="0" borderId="27" xfId="1614" applyNumberFormat="1" applyFont="1" applyBorder="1" applyAlignment="1">
      <alignment horizontal="center"/>
    </xf>
    <xf numFmtId="37" fontId="153" fillId="0" borderId="0" xfId="1614" applyNumberFormat="1" applyFont="1" applyAlignment="1">
      <alignment horizontal="center"/>
    </xf>
    <xf numFmtId="0" fontId="155" fillId="0" borderId="28" xfId="1614" applyFont="1" applyBorder="1" applyAlignment="1">
      <alignment horizontal="center" vertical="center"/>
    </xf>
    <xf numFmtId="37" fontId="157" fillId="0" borderId="29" xfId="1614" applyNumberFormat="1" applyFont="1" applyBorder="1" applyAlignment="1">
      <alignment horizontal="center"/>
    </xf>
    <xf numFmtId="37" fontId="155" fillId="0" borderId="29" xfId="1614" applyNumberFormat="1" applyFont="1" applyBorder="1" applyAlignment="1">
      <alignment horizontal="center"/>
    </xf>
    <xf numFmtId="37" fontId="161" fillId="0" borderId="30" xfId="1614" applyNumberFormat="1" applyFont="1" applyBorder="1" applyAlignment="1">
      <alignment horizontal="center"/>
    </xf>
    <xf numFmtId="37" fontId="161" fillId="0" borderId="32" xfId="1614" applyNumberFormat="1" applyFont="1" applyBorder="1" applyAlignment="1">
      <alignment horizontal="center"/>
    </xf>
    <xf numFmtId="0" fontId="161" fillId="0" borderId="34" xfId="1614" applyFont="1" applyBorder="1" applyAlignment="1">
      <alignment vertical="center"/>
    </xf>
    <xf numFmtId="0" fontId="155" fillId="0" borderId="19" xfId="1614" applyFont="1" applyBorder="1"/>
    <xf numFmtId="0" fontId="155" fillId="0" borderId="19" xfId="1614" applyFont="1" applyBorder="1" applyAlignment="1">
      <alignment horizontal="center"/>
    </xf>
    <xf numFmtId="0" fontId="155" fillId="0" borderId="19" xfId="1614" applyFont="1" applyBorder="1" applyAlignment="1">
      <alignment horizontal="right"/>
    </xf>
    <xf numFmtId="0" fontId="155" fillId="0" borderId="31" xfId="1614" applyFont="1" applyBorder="1" applyAlignment="1">
      <alignment horizontal="right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60" fillId="0" borderId="0" xfId="1614" applyFont="1" applyAlignment="1">
      <alignment horizontal="center" vertical="center"/>
    </xf>
    <xf numFmtId="41" fontId="160" fillId="0" borderId="0" xfId="1652" applyNumberFormat="1" applyFont="1" applyAlignment="1">
      <alignment vertical="center"/>
    </xf>
    <xf numFmtId="0" fontId="155" fillId="0" borderId="0" xfId="1652" applyFont="1" applyAlignment="1">
      <alignment horizontal="right"/>
    </xf>
    <xf numFmtId="0" fontId="162" fillId="0" borderId="0" xfId="1644" applyFont="1" applyAlignment="1">
      <alignment horizontal="center" vertical="center"/>
    </xf>
    <xf numFmtId="0" fontId="160" fillId="0" borderId="0" xfId="1652" applyFont="1" applyAlignment="1">
      <alignment vertical="center"/>
    </xf>
    <xf numFmtId="0" fontId="163" fillId="39" borderId="83" xfId="2670" applyFont="1" applyFill="1" applyBorder="1" applyAlignment="1">
      <alignment horizontal="left" vertical="center"/>
    </xf>
    <xf numFmtId="0" fontId="163" fillId="39" borderId="84" xfId="2670" applyFont="1" applyFill="1" applyBorder="1" applyAlignment="1">
      <alignment horizontal="center" vertical="center"/>
    </xf>
    <xf numFmtId="0" fontId="163" fillId="39" borderId="86" xfId="2670" applyFont="1" applyFill="1" applyBorder="1" applyAlignment="1">
      <alignment horizontal="left" vertical="center"/>
    </xf>
    <xf numFmtId="0" fontId="163" fillId="39" borderId="82" xfId="2670" applyFont="1" applyFill="1" applyBorder="1" applyAlignment="1">
      <alignment horizontal="center" vertical="center"/>
    </xf>
    <xf numFmtId="0" fontId="163" fillId="39" borderId="88" xfId="2670" applyFont="1" applyFill="1" applyBorder="1" applyAlignment="1">
      <alignment horizontal="left" vertical="center"/>
    </xf>
    <xf numFmtId="0" fontId="163" fillId="39" borderId="89" xfId="2670" applyFont="1" applyFill="1" applyBorder="1" applyAlignment="1">
      <alignment horizontal="center" vertical="center"/>
    </xf>
    <xf numFmtId="43" fontId="144" fillId="40" borderId="85" xfId="2672" applyFont="1" applyFill="1" applyBorder="1" applyAlignment="1" applyProtection="1">
      <alignment horizontal="right" vertical="center" wrapText="1"/>
      <protection locked="0"/>
    </xf>
    <xf numFmtId="43" fontId="144" fillId="40" borderId="87" xfId="2672" applyFont="1" applyFill="1" applyBorder="1" applyAlignment="1" applyProtection="1">
      <alignment horizontal="right" vertical="center"/>
      <protection locked="0"/>
    </xf>
    <xf numFmtId="168" fontId="144" fillId="40" borderId="87" xfId="2672" applyNumberFormat="1" applyFont="1" applyFill="1" applyBorder="1" applyAlignment="1" applyProtection="1">
      <alignment horizontal="right" vertical="center"/>
      <protection locked="0"/>
    </xf>
    <xf numFmtId="168" fontId="144" fillId="40" borderId="90" xfId="2672" applyNumberFormat="1" applyFont="1" applyFill="1" applyBorder="1" applyAlignment="1" applyProtection="1">
      <alignment horizontal="right" vertical="center"/>
      <protection locked="0"/>
    </xf>
    <xf numFmtId="0" fontId="124" fillId="0" borderId="0" xfId="1451" applyFont="1"/>
    <xf numFmtId="0" fontId="125" fillId="0" borderId="0" xfId="1451" applyFont="1" applyAlignment="1">
      <alignment vertical="center"/>
    </xf>
    <xf numFmtId="0" fontId="151" fillId="0" borderId="0" xfId="1451" applyFont="1"/>
    <xf numFmtId="0" fontId="126" fillId="0" borderId="0" xfId="1451" applyFont="1" applyAlignment="1">
      <alignment vertical="center"/>
    </xf>
    <xf numFmtId="0" fontId="127" fillId="0" borderId="0" xfId="1451" applyFont="1" applyAlignment="1">
      <alignment horizontal="center" vertical="center"/>
    </xf>
    <xf numFmtId="0" fontId="128" fillId="0" borderId="0" xfId="1451" applyFont="1"/>
    <xf numFmtId="0" fontId="129" fillId="0" borderId="0" xfId="1451" applyFont="1"/>
    <xf numFmtId="0" fontId="119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4" fillId="0" borderId="0" xfId="1451" applyFont="1" applyAlignment="1">
      <alignment horizontal="center" vertical="center"/>
    </xf>
    <xf numFmtId="0" fontId="124" fillId="0" borderId="0" xfId="1451" applyFont="1" applyAlignment="1">
      <alignment horizontal="center"/>
    </xf>
    <xf numFmtId="0" fontId="126" fillId="35" borderId="0" xfId="1451" applyFont="1" applyFill="1" applyAlignment="1">
      <alignment vertical="center"/>
    </xf>
    <xf numFmtId="0" fontId="129" fillId="0" borderId="19" xfId="1451" applyFont="1" applyBorder="1" applyAlignment="1">
      <alignment horizontal="center"/>
    </xf>
    <xf numFmtId="0" fontId="129" fillId="0" borderId="19" xfId="1451" applyFont="1" applyBorder="1"/>
    <xf numFmtId="1" fontId="110" fillId="0" borderId="0" xfId="2673" applyNumberFormat="1" applyFont="1" applyAlignment="1">
      <alignment horizontal="center" vertical="center" wrapText="1"/>
    </xf>
    <xf numFmtId="1" fontId="108" fillId="0" borderId="0" xfId="2673" applyNumberFormat="1" applyFont="1" applyAlignment="1">
      <alignment horizontal="center" vertical="center" wrapText="1"/>
    </xf>
    <xf numFmtId="0" fontId="109" fillId="0" borderId="62" xfId="2673" applyFont="1" applyBorder="1" applyAlignment="1">
      <alignment horizontal="center" vertical="center" wrapText="1"/>
    </xf>
    <xf numFmtId="0" fontId="167" fillId="0" borderId="0" xfId="2673" applyFont="1" applyAlignment="1">
      <alignment horizontal="center" vertical="center" wrapText="1"/>
    </xf>
    <xf numFmtId="0" fontId="168" fillId="0" borderId="0" xfId="2673" applyFont="1" applyAlignment="1">
      <alignment vertical="center" wrapText="1"/>
    </xf>
    <xf numFmtId="0" fontId="169" fillId="0" borderId="0" xfId="2673" applyFont="1" applyAlignment="1">
      <alignment vertical="center" wrapText="1"/>
    </xf>
    <xf numFmtId="0" fontId="150" fillId="35" borderId="94" xfId="2673" applyFont="1" applyFill="1" applyBorder="1" applyAlignment="1">
      <alignment vertical="center" wrapText="1"/>
    </xf>
    <xf numFmtId="0" fontId="150" fillId="43" borderId="94" xfId="2673" applyFont="1" applyFill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8" fillId="35" borderId="32" xfId="2673" applyFont="1" applyFill="1" applyBorder="1" applyAlignment="1">
      <alignment vertical="center" wrapText="1"/>
    </xf>
    <xf numFmtId="0" fontId="138" fillId="43" borderId="32" xfId="2673" applyFont="1" applyFill="1" applyBorder="1" applyAlignment="1">
      <alignment vertical="center" wrapText="1"/>
    </xf>
    <xf numFmtId="0" fontId="138" fillId="0" borderId="0" xfId="2673" applyFont="1" applyAlignment="1">
      <alignment vertical="center" wrapText="1"/>
    </xf>
    <xf numFmtId="2" fontId="138" fillId="0" borderId="0" xfId="2673" applyNumberFormat="1" applyFont="1" applyAlignment="1">
      <alignment horizontal="center" vertical="center" wrapText="1"/>
    </xf>
    <xf numFmtId="0" fontId="109" fillId="0" borderId="3" xfId="2673" applyFont="1" applyBorder="1" applyAlignment="1">
      <alignment horizontal="center" vertical="center" wrapText="1"/>
    </xf>
    <xf numFmtId="0" fontId="150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1" fillId="0" borderId="0" xfId="2673" applyNumberFormat="1" applyAlignment="1">
      <alignment vertical="center" wrapText="1"/>
    </xf>
    <xf numFmtId="1" fontId="11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8" fillId="0" borderId="0" xfId="2675" applyFont="1" applyFill="1" applyBorder="1" applyAlignment="1">
      <alignment horizontal="center" vertical="center" wrapText="1"/>
    </xf>
    <xf numFmtId="1" fontId="138" fillId="0" borderId="50" xfId="2673" applyNumberFormat="1" applyFont="1" applyBorder="1" applyAlignment="1">
      <alignment vertical="center" wrapText="1"/>
    </xf>
    <xf numFmtId="0" fontId="174" fillId="0" borderId="0" xfId="2673" applyFont="1" applyAlignment="1">
      <alignment vertical="center" wrapText="1"/>
    </xf>
    <xf numFmtId="0" fontId="174" fillId="0" borderId="0" xfId="2673" applyFont="1" applyAlignment="1">
      <alignment horizontal="center" vertical="center" wrapText="1"/>
    </xf>
    <xf numFmtId="2" fontId="174" fillId="0" borderId="0" xfId="2673" applyNumberFormat="1" applyFont="1" applyAlignment="1">
      <alignment horizontal="center" vertical="center" wrapText="1"/>
    </xf>
    <xf numFmtId="1" fontId="174" fillId="0" borderId="0" xfId="2673" applyNumberFormat="1" applyFont="1" applyAlignment="1">
      <alignment horizontal="center" vertical="center" wrapText="1"/>
    </xf>
    <xf numFmtId="0" fontId="175" fillId="0" borderId="0" xfId="2673" applyFont="1" applyAlignment="1">
      <alignment vertical="center" wrapText="1"/>
    </xf>
    <xf numFmtId="0" fontId="150" fillId="35" borderId="51" xfId="2673" applyFont="1" applyFill="1" applyBorder="1" applyAlignment="1">
      <alignment vertical="center" wrapText="1"/>
    </xf>
    <xf numFmtId="0" fontId="150" fillId="0" borderId="53" xfId="2673" applyFont="1" applyBorder="1" applyAlignment="1">
      <alignment horizontal="center" vertical="center" wrapText="1"/>
    </xf>
    <xf numFmtId="0" fontId="150" fillId="35" borderId="49" xfId="2673" applyFont="1" applyFill="1" applyBorder="1" applyAlignment="1">
      <alignment vertical="center" wrapText="1"/>
    </xf>
    <xf numFmtId="1" fontId="138" fillId="0" borderId="58" xfId="2673" applyNumberFormat="1" applyFont="1" applyBorder="1" applyAlignment="1">
      <alignment vertical="center" wrapText="1"/>
    </xf>
    <xf numFmtId="0" fontId="138" fillId="35" borderId="49" xfId="2673" applyFont="1" applyFill="1" applyBorder="1" applyAlignment="1">
      <alignment vertical="center" wrapText="1"/>
    </xf>
    <xf numFmtId="0" fontId="138" fillId="35" borderId="98" xfId="2673" applyFont="1" applyFill="1" applyBorder="1" applyAlignment="1">
      <alignment vertical="center" wrapText="1"/>
    </xf>
    <xf numFmtId="0" fontId="109" fillId="0" borderId="64" xfId="2673" applyFont="1" applyBorder="1" applyAlignment="1">
      <alignment horizontal="center" vertical="center" wrapText="1"/>
    </xf>
    <xf numFmtId="0" fontId="150" fillId="0" borderId="51" xfId="2673" applyFont="1" applyBorder="1" applyAlignment="1">
      <alignment vertical="center" wrapText="1"/>
    </xf>
    <xf numFmtId="0" fontId="150" fillId="0" borderId="49" xfId="2673" applyFont="1" applyBorder="1" applyAlignment="1">
      <alignment vertical="center" wrapText="1"/>
    </xf>
    <xf numFmtId="0" fontId="138" fillId="0" borderId="49" xfId="2673" applyFont="1" applyBorder="1" applyAlignment="1">
      <alignment vertical="center" wrapText="1"/>
    </xf>
    <xf numFmtId="0" fontId="138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5" fillId="33" borderId="60" xfId="0" applyFont="1" applyFill="1" applyBorder="1" applyAlignment="1">
      <alignment horizontal="left" vertical="center"/>
    </xf>
    <xf numFmtId="0" fontId="95" fillId="33" borderId="61" xfId="0" applyFont="1" applyFill="1" applyBorder="1" applyAlignment="1">
      <alignment horizontal="left" vertical="center"/>
    </xf>
    <xf numFmtId="49" fontId="95" fillId="33" borderId="60" xfId="0" applyNumberFormat="1" applyFont="1" applyFill="1" applyBorder="1" applyAlignment="1">
      <alignment horizontal="left" vertical="center" wrapText="1"/>
    </xf>
    <xf numFmtId="49" fontId="95" fillId="33" borderId="61" xfId="0" applyNumberFormat="1" applyFont="1" applyFill="1" applyBorder="1" applyAlignment="1">
      <alignment horizontal="left" vertical="center"/>
    </xf>
    <xf numFmtId="165" fontId="156" fillId="0" borderId="0" xfId="2676" applyFont="1" applyAlignment="1">
      <alignment horizontal="center" vertical="center"/>
    </xf>
    <xf numFmtId="0" fontId="10" fillId="0" borderId="0" xfId="2670" applyFont="1" applyAlignment="1">
      <alignment horizontal="center" vertical="center"/>
    </xf>
    <xf numFmtId="0" fontId="131" fillId="0" borderId="0" xfId="2670" applyFont="1" applyAlignment="1">
      <alignment horizontal="left" vertical="center"/>
    </xf>
    <xf numFmtId="0" fontId="10" fillId="0" borderId="21" xfId="1653" applyFont="1" applyBorder="1" applyAlignment="1">
      <alignment horizontal="left" vertical="center" wrapText="1"/>
    </xf>
    <xf numFmtId="206" fontId="47" fillId="0" borderId="21" xfId="2549" applyNumberFormat="1" applyFont="1" applyBorder="1" applyAlignment="1">
      <alignment horizontal="center" vertical="center" wrapText="1"/>
    </xf>
    <xf numFmtId="0" fontId="47" fillId="0" borderId="21" xfId="2677" applyFont="1" applyBorder="1" applyAlignment="1">
      <alignment horizontal="left" vertical="center" wrapText="1"/>
    </xf>
    <xf numFmtId="0" fontId="119" fillId="33" borderId="0" xfId="0" applyFont="1" applyFill="1" applyAlignment="1">
      <alignment horizontal="left"/>
    </xf>
    <xf numFmtId="168" fontId="148" fillId="47" borderId="0" xfId="2672" applyNumberFormat="1" applyFont="1" applyFill="1" applyBorder="1" applyAlignment="1" applyProtection="1">
      <alignment horizontal="right" vertical="center"/>
    </xf>
    <xf numFmtId="0" fontId="178" fillId="0" borderId="69" xfId="1450" applyFont="1" applyBorder="1" applyAlignment="1">
      <alignment horizontal="center" vertical="center"/>
    </xf>
    <xf numFmtId="0" fontId="178" fillId="0" borderId="99" xfId="1450" applyFont="1" applyBorder="1" applyAlignment="1">
      <alignment horizontal="center" vertical="center"/>
    </xf>
    <xf numFmtId="0" fontId="9" fillId="0" borderId="20" xfId="1652" applyFont="1" applyBorder="1" applyAlignment="1">
      <alignment horizontal="center" vertical="center"/>
    </xf>
    <xf numFmtId="0" fontId="131" fillId="0" borderId="20" xfId="1652" applyFont="1" applyBorder="1" applyAlignment="1">
      <alignment horizontal="center" vertical="center"/>
    </xf>
    <xf numFmtId="0" fontId="131" fillId="0" borderId="21" xfId="1652" applyFont="1" applyBorder="1" applyAlignment="1">
      <alignment horizontal="left" vertical="center" wrapText="1"/>
    </xf>
    <xf numFmtId="0" fontId="9" fillId="0" borderId="21" xfId="1652" applyFont="1" applyBorder="1" applyAlignment="1">
      <alignment horizontal="left" vertical="center" wrapText="1"/>
    </xf>
    <xf numFmtId="0" fontId="8" fillId="0" borderId="20" xfId="1652" applyFont="1" applyBorder="1" applyAlignment="1">
      <alignment horizontal="center" vertical="center"/>
    </xf>
    <xf numFmtId="0" fontId="8" fillId="0" borderId="21" xfId="1652" applyFont="1" applyBorder="1" applyAlignment="1">
      <alignment vertical="center" wrapText="1"/>
    </xf>
    <xf numFmtId="0" fontId="131" fillId="0" borderId="21" xfId="1652" applyFont="1" applyBorder="1" applyAlignment="1">
      <alignment vertical="center" wrapText="1"/>
    </xf>
    <xf numFmtId="0" fontId="13" fillId="0" borderId="21" xfId="1614" applyFont="1" applyBorder="1" applyAlignment="1">
      <alignment horizontal="center" vertical="center"/>
    </xf>
    <xf numFmtId="0" fontId="117" fillId="0" borderId="20" xfId="1652" applyFont="1" applyBorder="1" applyAlignment="1">
      <alignment horizontal="center" vertical="center"/>
    </xf>
    <xf numFmtId="0" fontId="117" fillId="0" borderId="21" xfId="1652" applyFont="1" applyBorder="1" applyAlignment="1">
      <alignment vertical="center"/>
    </xf>
    <xf numFmtId="0" fontId="47" fillId="0" borderId="21" xfId="1450" applyFont="1" applyBorder="1" applyAlignment="1">
      <alignment vertical="center" wrapText="1"/>
    </xf>
    <xf numFmtId="0" fontId="6" fillId="0" borderId="21" xfId="1652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24" fillId="0" borderId="21" xfId="1451" applyBorder="1" applyAlignment="1">
      <alignment horizontal="center" wrapText="1"/>
    </xf>
    <xf numFmtId="0" fontId="24" fillId="0" borderId="21" xfId="1451" applyBorder="1" applyAlignment="1">
      <alignment horizontal="center" vertical="center" wrapText="1"/>
    </xf>
    <xf numFmtId="3" fontId="117" fillId="0" borderId="21" xfId="1451" applyNumberFormat="1" applyFont="1" applyBorder="1" applyAlignment="1">
      <alignment horizontal="center" vertical="center" wrapText="1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/>
    </xf>
    <xf numFmtId="0" fontId="5" fillId="0" borderId="21" xfId="1652" applyFont="1" applyBorder="1" applyAlignment="1">
      <alignment horizontal="center" vertical="center"/>
    </xf>
    <xf numFmtId="0" fontId="131" fillId="48" borderId="21" xfId="1652" applyFont="1" applyFill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3" fontId="46" fillId="31" borderId="38" xfId="1615" applyNumberFormat="1" applyFont="1" applyFill="1" applyBorder="1" applyAlignment="1">
      <alignment horizontal="center" vertical="center"/>
    </xf>
    <xf numFmtId="3" fontId="46" fillId="31" borderId="66" xfId="1615" applyNumberFormat="1" applyFont="1" applyFill="1" applyBorder="1" applyAlignment="1">
      <alignment horizontal="center" vertical="center"/>
    </xf>
    <xf numFmtId="3" fontId="46" fillId="31" borderId="18" xfId="1615" applyNumberFormat="1" applyFont="1" applyFill="1" applyBorder="1" applyAlignment="1">
      <alignment horizontal="center" vertical="center"/>
    </xf>
    <xf numFmtId="3" fontId="46" fillId="31" borderId="42" xfId="1615" applyNumberFormat="1" applyFont="1" applyFill="1" applyBorder="1" applyAlignment="1">
      <alignment horizontal="center" vertical="center"/>
    </xf>
    <xf numFmtId="3" fontId="46" fillId="31" borderId="43" xfId="1615" applyNumberFormat="1" applyFont="1" applyFill="1" applyBorder="1" applyAlignment="1">
      <alignment horizontal="center" vertical="center"/>
    </xf>
    <xf numFmtId="3" fontId="46" fillId="31" borderId="67" xfId="1615" applyNumberFormat="1" applyFont="1" applyFill="1" applyBorder="1" applyAlignment="1">
      <alignment horizontal="center" vertical="center"/>
    </xf>
    <xf numFmtId="3" fontId="46" fillId="31" borderId="3" xfId="1615" applyNumberFormat="1" applyFont="1" applyFill="1" applyBorder="1" applyAlignment="1">
      <alignment horizontal="center" vertical="center"/>
    </xf>
    <xf numFmtId="0" fontId="99" fillId="0" borderId="0" xfId="1653" applyFont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5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3" fillId="0" borderId="51" xfId="1614" applyFont="1" applyBorder="1" applyAlignment="1">
      <alignment horizontal="center" vertical="center"/>
    </xf>
    <xf numFmtId="0" fontId="53" fillId="0" borderId="49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/>
    </xf>
    <xf numFmtId="0" fontId="53" fillId="0" borderId="21" xfId="1614" applyFont="1" applyBorder="1" applyAlignment="1">
      <alignment horizontal="center" vertical="center"/>
    </xf>
    <xf numFmtId="0" fontId="53" fillId="0" borderId="33" xfId="1614" applyFont="1" applyBorder="1" applyAlignment="1">
      <alignment horizontal="center" vertical="center"/>
    </xf>
    <xf numFmtId="0" fontId="55" fillId="0" borderId="53" xfId="1614" applyFont="1" applyBorder="1" applyAlignment="1">
      <alignment horizontal="center" vertical="center"/>
    </xf>
    <xf numFmtId="0" fontId="55" fillId="0" borderId="3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 wrapText="1"/>
    </xf>
    <xf numFmtId="0" fontId="53" fillId="0" borderId="21" xfId="1614" applyFont="1" applyBorder="1" applyAlignment="1">
      <alignment horizontal="center" vertical="center" wrapText="1"/>
    </xf>
    <xf numFmtId="0" fontId="53" fillId="0" borderId="33" xfId="1614" applyFont="1" applyBorder="1" applyAlignment="1">
      <alignment horizontal="center" vertical="center" wrapText="1"/>
    </xf>
    <xf numFmtId="0" fontId="55" fillId="0" borderId="54" xfId="1614" applyFont="1" applyBorder="1" applyAlignment="1">
      <alignment horizontal="center" vertical="center"/>
    </xf>
    <xf numFmtId="0" fontId="50" fillId="0" borderId="0" xfId="1652" applyFont="1" applyAlignment="1">
      <alignment horizontal="center" vertical="center"/>
    </xf>
    <xf numFmtId="0" fontId="114" fillId="0" borderId="0" xfId="1652" applyAlignment="1">
      <alignment horizontal="center" vertical="center"/>
    </xf>
    <xf numFmtId="0" fontId="55" fillId="0" borderId="39" xfId="1614" applyFont="1" applyBorder="1" applyAlignment="1">
      <alignment horizontal="center" vertical="center"/>
    </xf>
    <xf numFmtId="0" fontId="55" fillId="0" borderId="35" xfId="1652" applyFont="1" applyBorder="1" applyAlignment="1">
      <alignment horizontal="center" vertical="center" wrapText="1"/>
    </xf>
    <xf numFmtId="0" fontId="55" fillId="0" borderId="33" xfId="1652" applyFont="1" applyBorder="1" applyAlignment="1">
      <alignment horizontal="center" vertical="center" wrapText="1"/>
    </xf>
    <xf numFmtId="37" fontId="65" fillId="0" borderId="19" xfId="1614" applyNumberFormat="1" applyFont="1" applyBorder="1" applyAlignment="1">
      <alignment horizontal="center"/>
    </xf>
    <xf numFmtId="0" fontId="65" fillId="0" borderId="26" xfId="1614" applyFont="1" applyBorder="1" applyAlignment="1">
      <alignment horizontal="left" vertical="center"/>
    </xf>
    <xf numFmtId="0" fontId="65" fillId="0" borderId="36" xfId="1614" applyFont="1" applyBorder="1" applyAlignment="1">
      <alignment horizontal="left" vertical="center"/>
    </xf>
    <xf numFmtId="0" fontId="65" fillId="0" borderId="48" xfId="1614" applyFont="1" applyBorder="1" applyAlignment="1">
      <alignment horizontal="left" vertical="center"/>
    </xf>
    <xf numFmtId="0" fontId="65" fillId="0" borderId="28" xfId="1614" applyFont="1" applyBorder="1" applyAlignment="1">
      <alignment horizontal="left" vertical="center"/>
    </xf>
    <xf numFmtId="0" fontId="65" fillId="0" borderId="0" xfId="1614" applyFont="1" applyAlignment="1">
      <alignment horizontal="left" vertical="center"/>
    </xf>
    <xf numFmtId="0" fontId="65" fillId="0" borderId="37" xfId="1614" applyFont="1" applyBorder="1" applyAlignment="1">
      <alignment horizontal="left" vertical="center"/>
    </xf>
    <xf numFmtId="0" fontId="55" fillId="0" borderId="0" xfId="1614" applyFont="1" applyAlignment="1">
      <alignment horizontal="left" vertical="top" wrapText="1"/>
    </xf>
    <xf numFmtId="37" fontId="114" fillId="0" borderId="36" xfId="1614" applyNumberFormat="1" applyBorder="1" applyAlignment="1">
      <alignment horizontal="center"/>
    </xf>
    <xf numFmtId="37" fontId="114" fillId="0" borderId="0" xfId="1614" applyNumberFormat="1" applyAlignment="1">
      <alignment horizontal="center"/>
    </xf>
    <xf numFmtId="168" fontId="46" fillId="0" borderId="3" xfId="714" applyFont="1" applyFill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46" fillId="0" borderId="3" xfId="1448" applyFont="1" applyBorder="1" applyAlignment="1">
      <alignment horizontal="center" vertical="center" wrapText="1"/>
    </xf>
    <xf numFmtId="0" fontId="58" fillId="0" borderId="3" xfId="1448" applyFont="1" applyBorder="1" applyAlignment="1">
      <alignment horizontal="center" vertical="center" wrapText="1"/>
    </xf>
    <xf numFmtId="0" fontId="167" fillId="42" borderId="91" xfId="2673" applyFont="1" applyFill="1" applyBorder="1" applyAlignment="1">
      <alignment horizontal="center" vertical="center" wrapText="1"/>
    </xf>
    <xf numFmtId="0" fontId="167" fillId="42" borderId="92" xfId="2673" applyFont="1" applyFill="1" applyBorder="1" applyAlignment="1">
      <alignment horizontal="center" vertical="center" wrapText="1"/>
    </xf>
    <xf numFmtId="0" fontId="167" fillId="42" borderId="93" xfId="2673" applyFont="1" applyFill="1" applyBorder="1" applyAlignment="1">
      <alignment horizontal="center" vertical="center" wrapText="1"/>
    </xf>
    <xf numFmtId="166" fontId="150" fillId="43" borderId="7" xfId="2673" applyNumberFormat="1" applyFont="1" applyFill="1" applyBorder="1" applyAlignment="1">
      <alignment horizontal="center" vertical="center" wrapText="1"/>
    </xf>
    <xf numFmtId="0" fontId="150" fillId="43" borderId="58" xfId="2673" applyFont="1" applyFill="1" applyBorder="1" applyAlignment="1">
      <alignment horizontal="center" vertical="center" wrapText="1"/>
    </xf>
    <xf numFmtId="1" fontId="138" fillId="43" borderId="7" xfId="2673" applyNumberFormat="1" applyFont="1" applyFill="1" applyBorder="1" applyAlignment="1">
      <alignment horizontal="center" vertical="center" wrapText="1"/>
    </xf>
    <xf numFmtId="1" fontId="138" fillId="43" borderId="58" xfId="2673" applyNumberFormat="1" applyFont="1" applyFill="1" applyBorder="1" applyAlignment="1">
      <alignment horizontal="center" vertical="center" wrapText="1"/>
    </xf>
    <xf numFmtId="0" fontId="138" fillId="43" borderId="7" xfId="2673" applyFont="1" applyFill="1" applyBorder="1" applyAlignment="1">
      <alignment horizontal="center" vertical="center" wrapText="1"/>
    </xf>
    <xf numFmtId="0" fontId="138" fillId="43" borderId="58" xfId="2673" applyFont="1" applyFill="1" applyBorder="1" applyAlignment="1">
      <alignment horizontal="center" vertical="center" wrapText="1"/>
    </xf>
    <xf numFmtId="1" fontId="150" fillId="0" borderId="3" xfId="2673" applyNumberFormat="1" applyFont="1" applyBorder="1" applyAlignment="1">
      <alignment horizontal="center" vertical="center" wrapText="1"/>
    </xf>
    <xf numFmtId="1" fontId="150" fillId="0" borderId="39" xfId="2673" applyNumberFormat="1" applyFont="1" applyBorder="1" applyAlignment="1">
      <alignment horizontal="center" vertical="center" wrapText="1"/>
    </xf>
    <xf numFmtId="2" fontId="138" fillId="43" borderId="62" xfId="2673" applyNumberFormat="1" applyFont="1" applyFill="1" applyBorder="1" applyAlignment="1">
      <alignment horizontal="center" vertical="center" wrapText="1"/>
    </xf>
    <xf numFmtId="2" fontId="138" fillId="43" borderId="95" xfId="2673" applyNumberFormat="1" applyFont="1" applyFill="1" applyBorder="1" applyAlignment="1">
      <alignment horizontal="center" vertical="center" wrapText="1"/>
    </xf>
    <xf numFmtId="0" fontId="170" fillId="0" borderId="50" xfId="2673" applyFont="1" applyBorder="1" applyAlignment="1">
      <alignment horizontal="center" vertical="center" wrapText="1"/>
    </xf>
    <xf numFmtId="0" fontId="170" fillId="0" borderId="58" xfId="2673" applyFont="1" applyBorder="1" applyAlignment="1">
      <alignment horizontal="center" vertical="center" wrapText="1"/>
    </xf>
    <xf numFmtId="0" fontId="170" fillId="44" borderId="3" xfId="2673" applyFont="1" applyFill="1" applyBorder="1" applyAlignment="1">
      <alignment horizontal="center" vertical="center" wrapText="1"/>
    </xf>
    <xf numFmtId="0" fontId="170" fillId="44" borderId="39" xfId="2673" applyFont="1" applyFill="1" applyBorder="1" applyAlignment="1">
      <alignment horizontal="center" vertical="center" wrapText="1"/>
    </xf>
    <xf numFmtId="1" fontId="138" fillId="0" borderId="3" xfId="2673" applyNumberFormat="1" applyFont="1" applyBorder="1" applyAlignment="1">
      <alignment horizontal="center" vertical="center" wrapText="1"/>
    </xf>
    <xf numFmtId="1" fontId="138" fillId="0" borderId="39" xfId="2673" applyNumberFormat="1" applyFont="1" applyBorder="1" applyAlignment="1">
      <alignment horizontal="center" vertical="center" wrapText="1"/>
    </xf>
    <xf numFmtId="2" fontId="138" fillId="0" borderId="3" xfId="2673" applyNumberFormat="1" applyFont="1" applyBorder="1" applyAlignment="1">
      <alignment horizontal="center" vertical="center" wrapText="1"/>
    </xf>
    <xf numFmtId="2" fontId="138" fillId="0" borderId="39" xfId="2673" applyNumberFormat="1" applyFont="1" applyBorder="1" applyAlignment="1">
      <alignment horizontal="center" vertical="center" wrapText="1"/>
    </xf>
    <xf numFmtId="2" fontId="138" fillId="45" borderId="3" xfId="2673" applyNumberFormat="1" applyFont="1" applyFill="1" applyBorder="1" applyAlignment="1">
      <alignment horizontal="center" vertical="center" wrapText="1"/>
    </xf>
    <xf numFmtId="2" fontId="138" fillId="45" borderId="39" xfId="2673" applyNumberFormat="1" applyFont="1" applyFill="1" applyBorder="1" applyAlignment="1">
      <alignment horizontal="center" vertical="center" wrapText="1"/>
    </xf>
    <xf numFmtId="9" fontId="138" fillId="35" borderId="64" xfId="2675" applyFont="1" applyFill="1" applyBorder="1" applyAlignment="1">
      <alignment horizontal="center" vertical="center" wrapText="1"/>
    </xf>
    <xf numFmtId="9" fontId="138" fillId="35" borderId="65" xfId="2675" applyFont="1" applyFill="1" applyBorder="1" applyAlignment="1">
      <alignment horizontal="center" vertical="center" wrapText="1"/>
    </xf>
    <xf numFmtId="2" fontId="138" fillId="35" borderId="3" xfId="2673" applyNumberFormat="1" applyFont="1" applyFill="1" applyBorder="1" applyAlignment="1">
      <alignment horizontal="center" vertical="center" wrapText="1"/>
    </xf>
    <xf numFmtId="2" fontId="138" fillId="35" borderId="39" xfId="2673" applyNumberFormat="1" applyFont="1" applyFill="1" applyBorder="1" applyAlignment="1">
      <alignment horizontal="center" vertical="center" wrapText="1"/>
    </xf>
    <xf numFmtId="0" fontId="11" fillId="0" borderId="96" xfId="2673" applyBorder="1" applyAlignment="1">
      <alignment horizontal="center" vertical="center" wrapText="1"/>
    </xf>
    <xf numFmtId="0" fontId="11" fillId="0" borderId="6" xfId="2673" applyBorder="1" applyAlignment="1">
      <alignment horizontal="center" vertical="center" wrapText="1"/>
    </xf>
    <xf numFmtId="0" fontId="11" fillId="0" borderId="97" xfId="2673" applyBorder="1" applyAlignment="1">
      <alignment horizontal="center" vertical="center" wrapText="1"/>
    </xf>
    <xf numFmtId="9" fontId="174" fillId="0" borderId="0" xfId="2675" applyFont="1" applyFill="1" applyBorder="1" applyAlignment="1">
      <alignment horizontal="center" vertical="center" wrapText="1"/>
    </xf>
    <xf numFmtId="0" fontId="171" fillId="37" borderId="0" xfId="2673" applyFont="1" applyFill="1" applyAlignment="1">
      <alignment horizontal="left" vertical="center" wrapText="1"/>
    </xf>
    <xf numFmtId="166" fontId="150" fillId="35" borderId="7" xfId="2673" applyNumberFormat="1" applyFont="1" applyFill="1" applyBorder="1" applyAlignment="1">
      <alignment horizontal="center" vertical="center" wrapText="1"/>
    </xf>
    <xf numFmtId="0" fontId="150" fillId="35" borderId="58" xfId="2673" applyFont="1" applyFill="1" applyBorder="1" applyAlignment="1">
      <alignment horizontal="center" vertical="center" wrapText="1"/>
    </xf>
    <xf numFmtId="2" fontId="138" fillId="35" borderId="62" xfId="2673" applyNumberFormat="1" applyFont="1" applyFill="1" applyBorder="1" applyAlignment="1">
      <alignment horizontal="center" vertical="center" wrapText="1"/>
    </xf>
    <xf numFmtId="2" fontId="138" fillId="35" borderId="95" xfId="2673" applyNumberFormat="1" applyFont="1" applyFill="1" applyBorder="1" applyAlignment="1">
      <alignment horizontal="center" vertical="center" wrapText="1"/>
    </xf>
    <xf numFmtId="0" fontId="167" fillId="41" borderId="91" xfId="2673" applyFont="1" applyFill="1" applyBorder="1" applyAlignment="1">
      <alignment horizontal="center" vertical="center" wrapText="1"/>
    </xf>
    <xf numFmtId="0" fontId="167" fillId="41" borderId="92" xfId="2673" applyFont="1" applyFill="1" applyBorder="1" applyAlignment="1">
      <alignment horizontal="center" vertical="center" wrapText="1"/>
    </xf>
    <xf numFmtId="0" fontId="167" fillId="41" borderId="93" xfId="2673" applyFont="1" applyFill="1" applyBorder="1" applyAlignment="1">
      <alignment horizontal="center" vertical="center" wrapText="1"/>
    </xf>
    <xf numFmtId="0" fontId="138" fillId="35" borderId="7" xfId="2673" applyFont="1" applyFill="1" applyBorder="1" applyAlignment="1">
      <alignment horizontal="center" vertical="center" wrapText="1"/>
    </xf>
    <xf numFmtId="0" fontId="138" fillId="35" borderId="58" xfId="2673" applyFont="1" applyFill="1" applyBorder="1" applyAlignment="1">
      <alignment horizontal="center" vertical="center" wrapText="1"/>
    </xf>
    <xf numFmtId="1" fontId="150" fillId="35" borderId="7" xfId="2673" applyNumberFormat="1" applyFont="1" applyFill="1" applyBorder="1" applyAlignment="1">
      <alignment horizontal="center" vertical="center" wrapText="1"/>
    </xf>
    <xf numFmtId="1" fontId="150" fillId="35" borderId="58" xfId="2673" applyNumberFormat="1" applyFont="1" applyFill="1" applyBorder="1" applyAlignment="1">
      <alignment horizontal="center" vertical="center" wrapText="1"/>
    </xf>
    <xf numFmtId="166" fontId="150" fillId="0" borderId="53" xfId="2673" applyNumberFormat="1" applyFont="1" applyBorder="1" applyAlignment="1">
      <alignment horizontal="center" vertical="center" wrapText="1"/>
    </xf>
    <xf numFmtId="0" fontId="150" fillId="0" borderId="54" xfId="2673" applyFont="1" applyBorder="1" applyAlignment="1">
      <alignment horizontal="center" vertical="center" wrapText="1"/>
    </xf>
    <xf numFmtId="9" fontId="138" fillId="0" borderId="64" xfId="2675" applyFont="1" applyFill="1" applyBorder="1" applyAlignment="1">
      <alignment horizontal="center" vertical="center" wrapText="1"/>
    </xf>
    <xf numFmtId="9" fontId="138" fillId="0" borderId="65" xfId="2675" applyFont="1" applyFill="1" applyBorder="1" applyAlignment="1">
      <alignment horizontal="center" vertical="center" wrapText="1"/>
    </xf>
    <xf numFmtId="0" fontId="12" fillId="34" borderId="77" xfId="2670" applyFill="1" applyBorder="1" applyAlignment="1">
      <alignment horizontal="center" vertical="center"/>
    </xf>
    <xf numFmtId="0" fontId="142" fillId="0" borderId="78" xfId="2670" applyFont="1" applyBorder="1" applyAlignment="1">
      <alignment horizontal="left" vertical="center"/>
    </xf>
    <xf numFmtId="0" fontId="115" fillId="38" borderId="3" xfId="1538" applyFill="1" applyBorder="1" applyAlignment="1">
      <alignment horizontal="center" vertical="center"/>
    </xf>
    <xf numFmtId="0" fontId="106" fillId="38" borderId="3" xfId="1538" applyFont="1" applyFill="1" applyBorder="1" applyAlignment="1">
      <alignment horizontal="center" vertical="center" wrapText="1"/>
    </xf>
    <xf numFmtId="0" fontId="52" fillId="0" borderId="3" xfId="1538" applyFont="1" applyBorder="1" applyAlignment="1">
      <alignment horizontal="center"/>
    </xf>
    <xf numFmtId="0" fontId="115" fillId="38" borderId="35" xfId="1538" applyFill="1" applyBorder="1" applyAlignment="1">
      <alignment horizontal="center" vertical="center" wrapText="1"/>
    </xf>
    <xf numFmtId="0" fontId="115" fillId="38" borderId="33" xfId="1538" applyFill="1" applyBorder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 wrapText="1"/>
    </xf>
    <xf numFmtId="0" fontId="55" fillId="0" borderId="44" xfId="1538" applyFont="1" applyBorder="1" applyAlignment="1">
      <alignment horizontal="left"/>
    </xf>
    <xf numFmtId="0" fontId="154" fillId="0" borderId="0" xfId="1644" applyFont="1" applyAlignment="1">
      <alignment horizontal="center" vertical="center"/>
    </xf>
    <xf numFmtId="37" fontId="161" fillId="0" borderId="19" xfId="1614" applyNumberFormat="1" applyFont="1" applyBorder="1" applyAlignment="1">
      <alignment horizontal="center"/>
    </xf>
    <xf numFmtId="0" fontId="157" fillId="0" borderId="0" xfId="1614" applyFont="1" applyAlignment="1">
      <alignment horizontal="left" vertical="top" wrapText="1"/>
    </xf>
    <xf numFmtId="37" fontId="155" fillId="0" borderId="0" xfId="1614" applyNumberFormat="1" applyFont="1" applyAlignment="1">
      <alignment horizontal="center"/>
    </xf>
    <xf numFmtId="0" fontId="176" fillId="0" borderId="26" xfId="1614" applyFont="1" applyBorder="1" applyAlignment="1">
      <alignment horizontal="left" vertical="center" wrapText="1"/>
    </xf>
    <xf numFmtId="0" fontId="176" fillId="0" borderId="36" xfId="1614" applyFont="1" applyBorder="1" applyAlignment="1">
      <alignment horizontal="left" vertical="center" wrapText="1"/>
    </xf>
    <xf numFmtId="0" fontId="176" fillId="0" borderId="48" xfId="1614" applyFont="1" applyBorder="1" applyAlignment="1">
      <alignment horizontal="left" vertical="center" wrapText="1"/>
    </xf>
    <xf numFmtId="0" fontId="176" fillId="0" borderId="28" xfId="1614" applyFont="1" applyBorder="1" applyAlignment="1">
      <alignment horizontal="left" vertical="center" wrapText="1"/>
    </xf>
    <xf numFmtId="0" fontId="176" fillId="0" borderId="0" xfId="1614" applyFont="1" applyAlignment="1">
      <alignment horizontal="left" vertical="center" wrapText="1"/>
    </xf>
    <xf numFmtId="0" fontId="176" fillId="0" borderId="37" xfId="1614" applyFont="1" applyBorder="1" applyAlignment="1">
      <alignment horizontal="left" vertical="center" wrapText="1"/>
    </xf>
    <xf numFmtId="0" fontId="160" fillId="0" borderId="0" xfId="1652" applyFont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0" fontId="159" fillId="35" borderId="53" xfId="1614" applyFont="1" applyFill="1" applyBorder="1" applyAlignment="1">
      <alignment horizontal="center" vertical="center"/>
    </xf>
    <xf numFmtId="0" fontId="159" fillId="35" borderId="54" xfId="1614" applyFont="1" applyFill="1" applyBorder="1" applyAlignment="1">
      <alignment horizontal="center" vertical="center"/>
    </xf>
    <xf numFmtId="0" fontId="159" fillId="35" borderId="35" xfId="1652" applyFont="1" applyFill="1" applyBorder="1" applyAlignment="1">
      <alignment horizontal="center" vertical="center" wrapText="1"/>
    </xf>
    <xf numFmtId="0" fontId="159" fillId="35" borderId="33" xfId="1652" applyFont="1" applyFill="1" applyBorder="1" applyAlignment="1">
      <alignment horizontal="center" vertical="center" wrapText="1"/>
    </xf>
    <xf numFmtId="0" fontId="159" fillId="35" borderId="3" xfId="1614" applyFont="1" applyFill="1" applyBorder="1" applyAlignment="1">
      <alignment horizontal="center" vertical="center"/>
    </xf>
    <xf numFmtId="0" fontId="159" fillId="35" borderId="39" xfId="1614" applyFont="1" applyFill="1" applyBorder="1" applyAlignment="1">
      <alignment horizontal="center" vertical="center"/>
    </xf>
    <xf numFmtId="0" fontId="157" fillId="30" borderId="3" xfId="1614" applyFont="1" applyFill="1" applyBorder="1" applyAlignment="1">
      <alignment horizontal="center" vertical="center"/>
    </xf>
    <xf numFmtId="0" fontId="158" fillId="0" borderId="0" xfId="1652" applyFont="1" applyAlignment="1">
      <alignment horizontal="center" vertical="center"/>
    </xf>
    <xf numFmtId="37" fontId="155" fillId="0" borderId="36" xfId="1614" applyNumberFormat="1" applyFont="1" applyBorder="1" applyAlignment="1">
      <alignment horizontal="center"/>
    </xf>
    <xf numFmtId="0" fontId="159" fillId="35" borderId="51" xfId="1614" applyFont="1" applyFill="1" applyBorder="1" applyAlignment="1">
      <alignment horizontal="center" vertical="center"/>
    </xf>
    <xf numFmtId="0" fontId="159" fillId="35" borderId="49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/>
    </xf>
    <xf numFmtId="0" fontId="159" fillId="35" borderId="21" xfId="1614" applyFont="1" applyFill="1" applyBorder="1" applyAlignment="1">
      <alignment horizontal="center" vertical="center"/>
    </xf>
    <xf numFmtId="0" fontId="159" fillId="35" borderId="33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 wrapText="1"/>
    </xf>
    <xf numFmtId="0" fontId="159" fillId="35" borderId="21" xfId="1614" applyFont="1" applyFill="1" applyBorder="1" applyAlignment="1">
      <alignment horizontal="center" vertical="center" wrapText="1"/>
    </xf>
    <xf numFmtId="0" fontId="159" fillId="35" borderId="33" xfId="1614" applyFont="1" applyFill="1" applyBorder="1" applyAlignment="1">
      <alignment horizontal="center" vertical="center" wrapText="1"/>
    </xf>
    <xf numFmtId="0" fontId="118" fillId="33" borderId="7" xfId="0" applyFont="1" applyFill="1" applyBorder="1" applyAlignment="1">
      <alignment horizontal="center"/>
    </xf>
    <xf numFmtId="0" fontId="118" fillId="33" borderId="41" xfId="0" applyFont="1" applyFill="1" applyBorder="1" applyAlignment="1">
      <alignment horizontal="center"/>
    </xf>
    <xf numFmtId="0" fontId="118" fillId="33" borderId="64" xfId="0" applyFont="1" applyFill="1" applyBorder="1" applyAlignment="1">
      <alignment horizontal="center"/>
    </xf>
    <xf numFmtId="0" fontId="118" fillId="33" borderId="3" xfId="0" applyFont="1" applyFill="1" applyBorder="1" applyAlignment="1">
      <alignment horizontal="center"/>
    </xf>
    <xf numFmtId="0" fontId="118" fillId="33" borderId="39" xfId="0" applyFont="1" applyFill="1" applyBorder="1" applyAlignment="1">
      <alignment horizontal="center"/>
    </xf>
    <xf numFmtId="0" fontId="118" fillId="33" borderId="62" xfId="0" applyFont="1" applyFill="1" applyBorder="1" applyAlignment="1">
      <alignment horizontal="center"/>
    </xf>
    <xf numFmtId="0" fontId="118" fillId="33" borderId="63" xfId="0" applyFont="1" applyFill="1" applyBorder="1" applyAlignment="1">
      <alignment horizontal="center"/>
    </xf>
    <xf numFmtId="0" fontId="118" fillId="33" borderId="65" xfId="0" applyFont="1" applyFill="1" applyBorder="1" applyAlignment="1">
      <alignment horizontal="center"/>
    </xf>
    <xf numFmtId="0" fontId="118" fillId="33" borderId="56" xfId="0" applyFont="1" applyFill="1" applyBorder="1" applyAlignment="1">
      <alignment horizontal="center" vertical="center"/>
    </xf>
    <xf numFmtId="0" fontId="118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15" fontId="118" fillId="33" borderId="3" xfId="0" applyNumberFormat="1" applyFont="1" applyFill="1" applyBorder="1" applyAlignment="1">
      <alignment horizontal="center"/>
    </xf>
    <xf numFmtId="0" fontId="95" fillId="33" borderId="59" xfId="0" applyFont="1" applyFill="1" applyBorder="1" applyAlignment="1">
      <alignment horizontal="center" vertical="center"/>
    </xf>
    <xf numFmtId="0" fontId="95" fillId="33" borderId="40" xfId="0" applyFont="1" applyFill="1" applyBorder="1" applyAlignment="1">
      <alignment horizontal="center" vertical="center"/>
    </xf>
    <xf numFmtId="0" fontId="123" fillId="33" borderId="75" xfId="0" applyFont="1" applyFill="1" applyBorder="1" applyAlignment="1">
      <alignment horizontal="center" vertical="center" wrapText="1"/>
    </xf>
    <xf numFmtId="0" fontId="123" fillId="33" borderId="76" xfId="0" applyFont="1" applyFill="1" applyBorder="1" applyAlignment="1">
      <alignment horizontal="center" vertical="center" wrapText="1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0" fontId="119" fillId="33" borderId="18" xfId="0" applyFont="1" applyFill="1" applyBorder="1" applyAlignment="1">
      <alignment horizontal="left" vertical="top" wrapText="1"/>
    </xf>
    <xf numFmtId="0" fontId="119" fillId="33" borderId="0" xfId="0" applyFont="1" applyFill="1" applyAlignment="1">
      <alignment horizontal="left" vertical="top" wrapText="1"/>
    </xf>
    <xf numFmtId="0" fontId="95" fillId="33" borderId="80" xfId="0" applyFont="1" applyFill="1" applyBorder="1" applyAlignment="1">
      <alignment horizontal="center" vertical="center"/>
    </xf>
    <xf numFmtId="0" fontId="95" fillId="33" borderId="81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center"/>
    </xf>
    <xf numFmtId="49" fontId="118" fillId="33" borderId="41" xfId="0" applyNumberFormat="1" applyFont="1" applyFill="1" applyBorder="1" applyAlignment="1">
      <alignment horizontal="center" vertical="center"/>
    </xf>
    <xf numFmtId="0" fontId="122" fillId="33" borderId="73" xfId="0" applyFont="1" applyFill="1" applyBorder="1" applyAlignment="1">
      <alignment horizontal="center" vertical="center"/>
    </xf>
    <xf numFmtId="0" fontId="122" fillId="33" borderId="74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top" wrapText="1"/>
    </xf>
    <xf numFmtId="49" fontId="118" fillId="33" borderId="41" xfId="0" applyNumberFormat="1" applyFont="1" applyFill="1" applyBorder="1" applyAlignment="1">
      <alignment horizontal="center" vertical="top" wrapText="1"/>
    </xf>
    <xf numFmtId="49" fontId="118" fillId="33" borderId="50" xfId="0" applyNumberFormat="1" applyFont="1" applyFill="1" applyBorder="1" applyAlignment="1">
      <alignment horizontal="center" vertical="center"/>
    </xf>
    <xf numFmtId="0" fontId="95" fillId="33" borderId="60" xfId="0" applyFont="1" applyFill="1" applyBorder="1" applyAlignment="1">
      <alignment horizontal="left" vertical="center"/>
    </xf>
    <xf numFmtId="0" fontId="95" fillId="33" borderId="61" xfId="0" applyFont="1" applyFill="1" applyBorder="1" applyAlignment="1">
      <alignment horizontal="left" vertical="center"/>
    </xf>
    <xf numFmtId="0" fontId="95" fillId="33" borderId="79" xfId="0" applyFont="1" applyFill="1" applyBorder="1" applyAlignment="1">
      <alignment horizontal="left" vertical="center"/>
    </xf>
    <xf numFmtId="0" fontId="136" fillId="33" borderId="60" xfId="0" applyFont="1" applyFill="1" applyBorder="1" applyAlignment="1">
      <alignment horizontal="left" vertical="center"/>
    </xf>
    <xf numFmtId="0" fontId="136" fillId="33" borderId="61" xfId="0" applyFont="1" applyFill="1" applyBorder="1" applyAlignment="1">
      <alignment horizontal="left" vertical="center"/>
    </xf>
    <xf numFmtId="49" fontId="118" fillId="33" borderId="50" xfId="0" applyNumberFormat="1" applyFont="1" applyFill="1" applyBorder="1" applyAlignment="1">
      <alignment horizontal="left" vertical="center"/>
    </xf>
    <xf numFmtId="49" fontId="118" fillId="33" borderId="41" xfId="0" applyNumberFormat="1" applyFont="1" applyFill="1" applyBorder="1" applyAlignment="1">
      <alignment horizontal="left" vertical="center"/>
    </xf>
    <xf numFmtId="0" fontId="119" fillId="33" borderId="18" xfId="0" applyFont="1" applyFill="1" applyBorder="1" applyAlignment="1">
      <alignment horizontal="left"/>
    </xf>
    <xf numFmtId="0" fontId="119" fillId="33" borderId="0" xfId="0" applyFont="1" applyFill="1" applyAlignment="1">
      <alignment horizontal="left"/>
    </xf>
    <xf numFmtId="0" fontId="119" fillId="33" borderId="37" xfId="0" applyFont="1" applyFill="1" applyBorder="1" applyAlignment="1">
      <alignment horizontal="left"/>
    </xf>
    <xf numFmtId="0" fontId="135" fillId="33" borderId="50" xfId="0" applyFont="1" applyFill="1" applyBorder="1" applyAlignment="1">
      <alignment horizontal="center" vertical="center"/>
    </xf>
    <xf numFmtId="0" fontId="135" fillId="33" borderId="7" xfId="0" applyFont="1" applyFill="1" applyBorder="1" applyAlignment="1">
      <alignment horizontal="center" vertical="center"/>
    </xf>
    <xf numFmtId="0" fontId="135" fillId="33" borderId="41" xfId="0" applyFont="1" applyFill="1" applyBorder="1" applyAlignment="1">
      <alignment horizontal="center" vertical="center"/>
    </xf>
    <xf numFmtId="0" fontId="119" fillId="33" borderId="50" xfId="0" applyFont="1" applyFill="1" applyBorder="1" applyAlignment="1">
      <alignment horizontal="center" vertical="center"/>
    </xf>
    <xf numFmtId="0" fontId="119" fillId="33" borderId="7" xfId="0" applyFont="1" applyFill="1" applyBorder="1" applyAlignment="1">
      <alignment horizontal="center" vertical="center"/>
    </xf>
    <xf numFmtId="0" fontId="119" fillId="33" borderId="58" xfId="0" applyFont="1" applyFill="1" applyBorder="1" applyAlignment="1">
      <alignment horizontal="center" vertical="center"/>
    </xf>
    <xf numFmtId="207" fontId="123" fillId="0" borderId="73" xfId="1450" applyNumberFormat="1" applyFont="1" applyBorder="1" applyAlignment="1">
      <alignment horizontal="left" vertical="center"/>
    </xf>
    <xf numFmtId="207" fontId="178" fillId="0" borderId="74" xfId="1450" applyNumberFormat="1" applyFont="1" applyBorder="1" applyAlignment="1">
      <alignment horizontal="left" vertical="center"/>
    </xf>
    <xf numFmtId="49" fontId="136" fillId="33" borderId="59" xfId="0" applyNumberFormat="1" applyFont="1" applyFill="1" applyBorder="1" applyAlignment="1">
      <alignment horizontal="left" vertical="center"/>
    </xf>
    <xf numFmtId="49" fontId="136" fillId="33" borderId="40" xfId="0" applyNumberFormat="1" applyFont="1" applyFill="1" applyBorder="1" applyAlignment="1">
      <alignment horizontal="left" vertical="center"/>
    </xf>
    <xf numFmtId="0" fontId="118" fillId="33" borderId="56" xfId="0" applyFont="1" applyFill="1" applyBorder="1" applyAlignment="1">
      <alignment horizontal="center"/>
    </xf>
    <xf numFmtId="0" fontId="118" fillId="33" borderId="57" xfId="0" applyFont="1" applyFill="1" applyBorder="1" applyAlignment="1">
      <alignment horizontal="center"/>
    </xf>
    <xf numFmtId="0" fontId="134" fillId="35" borderId="55" xfId="0" applyFont="1" applyFill="1" applyBorder="1" applyAlignment="1">
      <alignment horizontal="center" vertical="center"/>
    </xf>
    <xf numFmtId="0" fontId="134" fillId="35" borderId="36" xfId="0" applyFont="1" applyFill="1" applyBorder="1" applyAlignment="1">
      <alignment horizontal="center" vertical="center"/>
    </xf>
    <xf numFmtId="0" fontId="134" fillId="35" borderId="48" xfId="0" applyFont="1" applyFill="1" applyBorder="1" applyAlignment="1">
      <alignment horizontal="center" vertical="center"/>
    </xf>
    <xf numFmtId="0" fontId="134" fillId="35" borderId="43" xfId="0" applyFont="1" applyFill="1" applyBorder="1" applyAlignment="1">
      <alignment horizontal="center" vertical="center"/>
    </xf>
    <xf numFmtId="0" fontId="134" fillId="35" borderId="44" xfId="0" applyFont="1" applyFill="1" applyBorder="1" applyAlignment="1">
      <alignment horizontal="center" vertical="center"/>
    </xf>
    <xf numFmtId="0" fontId="134" fillId="35" borderId="45" xfId="0" applyFont="1" applyFill="1" applyBorder="1" applyAlignment="1">
      <alignment horizontal="center" vertical="center"/>
    </xf>
    <xf numFmtId="0" fontId="126" fillId="35" borderId="26" xfId="1451" applyFont="1" applyFill="1" applyBorder="1" applyAlignment="1">
      <alignment horizontal="center" vertical="center"/>
    </xf>
    <xf numFmtId="0" fontId="126" fillId="35" borderId="36" xfId="1451" applyFont="1" applyFill="1" applyBorder="1" applyAlignment="1">
      <alignment horizontal="center" vertical="center"/>
    </xf>
    <xf numFmtId="0" fontId="126" fillId="35" borderId="48" xfId="1451" applyFont="1" applyFill="1" applyBorder="1" applyAlignment="1">
      <alignment horizontal="center" vertical="center"/>
    </xf>
    <xf numFmtId="0" fontId="126" fillId="35" borderId="28" xfId="1451" applyFont="1" applyFill="1" applyBorder="1" applyAlignment="1">
      <alignment horizontal="center" vertical="center"/>
    </xf>
    <xf numFmtId="0" fontId="126" fillId="35" borderId="0" xfId="1451" applyFont="1" applyFill="1" applyAlignment="1">
      <alignment horizontal="center" vertical="center"/>
    </xf>
    <xf numFmtId="0" fontId="126" fillId="35" borderId="37" xfId="1451" applyFont="1" applyFill="1" applyBorder="1" applyAlignment="1">
      <alignment horizontal="center" vertical="center"/>
    </xf>
    <xf numFmtId="0" fontId="126" fillId="35" borderId="34" xfId="1451" applyFont="1" applyFill="1" applyBorder="1" applyAlignment="1">
      <alignment horizontal="center" vertical="center"/>
    </xf>
    <xf numFmtId="0" fontId="126" fillId="35" borderId="19" xfId="1451" applyFont="1" applyFill="1" applyBorder="1" applyAlignment="1">
      <alignment horizontal="center" vertical="center"/>
    </xf>
    <xf numFmtId="0" fontId="126" fillId="35" borderId="31" xfId="1451" applyFont="1" applyFill="1" applyBorder="1" applyAlignment="1">
      <alignment horizontal="center" vertical="center"/>
    </xf>
    <xf numFmtId="0" fontId="164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1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1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105</xdr:row>
      <xdr:rowOff>81642</xdr:rowOff>
    </xdr:from>
    <xdr:to>
      <xdr:col>12</xdr:col>
      <xdr:colOff>41108</xdr:colOff>
      <xdr:row>108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321429</xdr:colOff>
      <xdr:row>14</xdr:row>
      <xdr:rowOff>135708</xdr:rowOff>
    </xdr:from>
    <xdr:to>
      <xdr:col>8</xdr:col>
      <xdr:colOff>372718</xdr:colOff>
      <xdr:row>35</xdr:row>
      <xdr:rowOff>102895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D5A4F90-3F07-466C-B69B-C7693B74A172}"/>
            </a:ext>
          </a:extLst>
        </xdr:cNvPr>
        <xdr:cNvCxnSpPr/>
      </xdr:nvCxnSpPr>
      <xdr:spPr>
        <a:xfrm>
          <a:off x="2922168" y="2272621"/>
          <a:ext cx="51289" cy="3089731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24121" y="816637"/>
          <a:ext cx="1488201" cy="1760571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7</xdr:col>
      <xdr:colOff>173935</xdr:colOff>
      <xdr:row>23</xdr:row>
      <xdr:rowOff>94203</xdr:rowOff>
    </xdr:from>
    <xdr:to>
      <xdr:col>19</xdr:col>
      <xdr:colOff>157006</xdr:colOff>
      <xdr:row>23</xdr:row>
      <xdr:rowOff>99391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E40ECCFE-BE37-162B-22FC-56E5686B009B}"/>
            </a:ext>
          </a:extLst>
        </xdr:cNvPr>
        <xdr:cNvCxnSpPr/>
      </xdr:nvCxnSpPr>
      <xdr:spPr>
        <a:xfrm flipV="1">
          <a:off x="2393674" y="3572899"/>
          <a:ext cx="4555071" cy="5188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375220</xdr:colOff>
      <xdr:row>30</xdr:row>
      <xdr:rowOff>42732</xdr:rowOff>
    </xdr:from>
    <xdr:to>
      <xdr:col>8</xdr:col>
      <xdr:colOff>119448</xdr:colOff>
      <xdr:row>31</xdr:row>
      <xdr:rowOff>47046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1E3C34C9-7BF9-464B-8010-00DF46E76788}"/>
            </a:ext>
          </a:extLst>
        </xdr:cNvPr>
        <xdr:cNvGrpSpPr/>
      </xdr:nvGrpSpPr>
      <xdr:grpSpPr>
        <a:xfrm rot="21333083">
          <a:off x="2594959" y="4556754"/>
          <a:ext cx="125228" cy="15340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" name="Oval 31">
            <a:extLst>
              <a:ext uri="{FF2B5EF4-FFF2-40B4-BE49-F238E27FC236}">
                <a16:creationId xmlns:a16="http://schemas.microsoft.com/office/drawing/2014/main" id="{E4E0AD08-10F5-2648-956C-EB6C95FC60F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12D83122-F0CF-24E6-8BF2-B692018E124D}"/>
              </a:ext>
            </a:extLst>
          </xdr:cNvPr>
          <xdr:cNvCxnSpPr>
            <a:stCxn id="32" idx="1"/>
            <a:endCxn id="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EC1BF22F-2D67-AD8B-11A5-FB33715E515A}"/>
              </a:ext>
            </a:extLst>
          </xdr:cNvPr>
          <xdr:cNvCxnSpPr>
            <a:stCxn id="32" idx="3"/>
            <a:endCxn id="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360656</xdr:colOff>
      <xdr:row>21</xdr:row>
      <xdr:rowOff>143488</xdr:rowOff>
    </xdr:from>
    <xdr:to>
      <xdr:col>8</xdr:col>
      <xdr:colOff>104884</xdr:colOff>
      <xdr:row>22</xdr:row>
      <xdr:rowOff>143024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65C94FE8-1BD8-4CE3-9F11-B932ED3887CD}"/>
            </a:ext>
          </a:extLst>
        </xdr:cNvPr>
        <xdr:cNvGrpSpPr/>
      </xdr:nvGrpSpPr>
      <xdr:grpSpPr>
        <a:xfrm rot="21333083">
          <a:off x="2580395" y="3324010"/>
          <a:ext cx="125228" cy="14862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7" name="Oval 36">
            <a:extLst>
              <a:ext uri="{FF2B5EF4-FFF2-40B4-BE49-F238E27FC236}">
                <a16:creationId xmlns:a16="http://schemas.microsoft.com/office/drawing/2014/main" id="{C61A8B10-BBB3-87D9-175B-9262CAEBD0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2A5CDFC3-FDF8-46C0-9D5F-D40267C3B527}"/>
              </a:ext>
            </a:extLst>
          </xdr:cNvPr>
          <xdr:cNvCxnSpPr>
            <a:stCxn id="37" idx="1"/>
            <a:endCxn id="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38D5EF8A-CCCD-884C-F862-655A3A09529D}"/>
              </a:ext>
            </a:extLst>
          </xdr:cNvPr>
          <xdr:cNvCxnSpPr>
            <a:stCxn id="37" idx="3"/>
            <a:endCxn id="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171991</xdr:colOff>
      <xdr:row>21</xdr:row>
      <xdr:rowOff>127583</xdr:rowOff>
    </xdr:from>
    <xdr:to>
      <xdr:col>16</xdr:col>
      <xdr:colOff>297219</xdr:colOff>
      <xdr:row>22</xdr:row>
      <xdr:rowOff>131898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9EC5A1B-D65D-47ED-A525-39F33B9A1B06}"/>
            </a:ext>
          </a:extLst>
        </xdr:cNvPr>
        <xdr:cNvGrpSpPr/>
      </xdr:nvGrpSpPr>
      <xdr:grpSpPr>
        <a:xfrm rot="21333083">
          <a:off x="5820730" y="3308105"/>
          <a:ext cx="125228" cy="15340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5" name="Oval 44">
            <a:extLst>
              <a:ext uri="{FF2B5EF4-FFF2-40B4-BE49-F238E27FC236}">
                <a16:creationId xmlns:a16="http://schemas.microsoft.com/office/drawing/2014/main" id="{BA033DD3-F666-52DA-05D8-96C41FA0781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9F7B7B7E-B121-B129-6731-662ABF16A561}"/>
              </a:ext>
            </a:extLst>
          </xdr:cNvPr>
          <xdr:cNvCxnSpPr>
            <a:stCxn id="45" idx="1"/>
            <a:endCxn id="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3FFB27B-C086-974C-1010-D89757C293AB}"/>
              </a:ext>
            </a:extLst>
          </xdr:cNvPr>
          <xdr:cNvCxnSpPr>
            <a:stCxn id="45" idx="3"/>
            <a:endCxn id="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158934</xdr:colOff>
      <xdr:row>22</xdr:row>
      <xdr:rowOff>64037</xdr:rowOff>
    </xdr:from>
    <xdr:to>
      <xdr:col>13</xdr:col>
      <xdr:colOff>58806</xdr:colOff>
      <xdr:row>22</xdr:row>
      <xdr:rowOff>64486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823D67E3-A4A1-A906-61C0-FA6C08527792}"/>
            </a:ext>
          </a:extLst>
        </xdr:cNvPr>
        <xdr:cNvCxnSpPr>
          <a:stCxn id="52" idx="6"/>
          <a:endCxn id="34" idx="2"/>
        </xdr:cNvCxnSpPr>
      </xdr:nvCxnSpPr>
      <xdr:spPr>
        <a:xfrm flipV="1">
          <a:off x="3521673" y="3393646"/>
          <a:ext cx="1042872" cy="44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104695</xdr:colOff>
      <xdr:row>22</xdr:row>
      <xdr:rowOff>63856</xdr:rowOff>
    </xdr:from>
    <xdr:to>
      <xdr:col>10</xdr:col>
      <xdr:colOff>34084</xdr:colOff>
      <xdr:row>22</xdr:row>
      <xdr:rowOff>74200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9A963DC8-6C4E-4B1F-8DDE-89BB5E9149E2}"/>
            </a:ext>
          </a:extLst>
        </xdr:cNvPr>
        <xdr:cNvCxnSpPr>
          <a:stCxn id="37" idx="6"/>
          <a:endCxn id="52" idx="2"/>
        </xdr:cNvCxnSpPr>
      </xdr:nvCxnSpPr>
      <xdr:spPr>
        <a:xfrm>
          <a:off x="2705434" y="3393465"/>
          <a:ext cx="691389" cy="1034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216541</xdr:colOff>
      <xdr:row>21</xdr:row>
      <xdr:rowOff>102458</xdr:rowOff>
    </xdr:from>
    <xdr:to>
      <xdr:col>12</xdr:col>
      <xdr:colOff>212717</xdr:colOff>
      <xdr:row>23</xdr:row>
      <xdr:rowOff>16074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77BDC643-AE58-4FDA-A782-69DE21647029}"/>
            </a:ext>
          </a:extLst>
        </xdr:cNvPr>
        <xdr:cNvSpPr/>
      </xdr:nvSpPr>
      <xdr:spPr>
        <a:xfrm rot="21345222">
          <a:off x="3960280" y="3282980"/>
          <a:ext cx="377176" cy="21179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14</xdr:col>
      <xdr:colOff>148153</xdr:colOff>
      <xdr:row>21</xdr:row>
      <xdr:rowOff>119818</xdr:rowOff>
    </xdr:from>
    <xdr:to>
      <xdr:col>15</xdr:col>
      <xdr:colOff>158664</xdr:colOff>
      <xdr:row>23</xdr:row>
      <xdr:rowOff>23878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C29818D8-BF4E-4833-A16D-38568193945F}"/>
            </a:ext>
          </a:extLst>
        </xdr:cNvPr>
        <xdr:cNvSpPr/>
      </xdr:nvSpPr>
      <xdr:spPr>
        <a:xfrm>
          <a:off x="5034892" y="3300340"/>
          <a:ext cx="391511" cy="202234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10</xdr:col>
      <xdr:colOff>132839</xdr:colOff>
      <xdr:row>22</xdr:row>
      <xdr:rowOff>114045</xdr:rowOff>
    </xdr:from>
    <xdr:to>
      <xdr:col>13</xdr:col>
      <xdr:colOff>96205</xdr:colOff>
      <xdr:row>24</xdr:row>
      <xdr:rowOff>16246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B22FF862-4C1F-4F8C-90B5-7AE141124DBD}"/>
            </a:ext>
          </a:extLst>
        </xdr:cNvPr>
        <xdr:cNvSpPr/>
      </xdr:nvSpPr>
      <xdr:spPr>
        <a:xfrm>
          <a:off x="3495578" y="3443654"/>
          <a:ext cx="1106366" cy="200375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LVTC 2 </a:t>
          </a:r>
          <a:r>
            <a:rPr lang="en-ID" sz="800" b="1" baseline="0">
              <a:solidFill>
                <a:srgbClr val="FF0000"/>
              </a:solidFill>
            </a:rPr>
            <a:t>X 70 MM + N</a:t>
          </a:r>
          <a:endParaRPr lang="en-ID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191328</xdr:colOff>
      <xdr:row>24</xdr:row>
      <xdr:rowOff>103564</xdr:rowOff>
    </xdr:from>
    <xdr:to>
      <xdr:col>18</xdr:col>
      <xdr:colOff>173935</xdr:colOff>
      <xdr:row>31</xdr:row>
      <xdr:rowOff>24847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AD781846-888B-4AA8-A897-4983F4E0FA89}"/>
            </a:ext>
          </a:extLst>
        </xdr:cNvPr>
        <xdr:cNvSpPr/>
      </xdr:nvSpPr>
      <xdr:spPr>
        <a:xfrm>
          <a:off x="5840067" y="3731347"/>
          <a:ext cx="744607" cy="956609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KOS</a:t>
          </a:r>
          <a:br>
            <a:rPr lang="en-ID" sz="800" b="1">
              <a:solidFill>
                <a:srgbClr val="FF0000"/>
              </a:solidFill>
            </a:rPr>
          </a:br>
          <a:r>
            <a:rPr lang="en-ID" sz="800" b="1">
              <a:solidFill>
                <a:srgbClr val="FF0000"/>
              </a:solidFill>
            </a:rPr>
            <a:t>5 X 1.3</a:t>
          </a:r>
        </a:p>
      </xdr:txBody>
    </xdr:sp>
    <xdr:clientData/>
  </xdr:twoCellAnchor>
  <xdr:twoCellAnchor>
    <xdr:from>
      <xdr:col>6</xdr:col>
      <xdr:colOff>85769</xdr:colOff>
      <xdr:row>19</xdr:row>
      <xdr:rowOff>30588</xdr:rowOff>
    </xdr:from>
    <xdr:to>
      <xdr:col>7</xdr:col>
      <xdr:colOff>276269</xdr:colOff>
      <xdr:row>22</xdr:row>
      <xdr:rowOff>141575</xdr:rowOff>
    </xdr:to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EF1F28F8-39E7-46A8-AFA9-1479D5DCF333}"/>
            </a:ext>
          </a:extLst>
        </xdr:cNvPr>
        <xdr:cNvSpPr txBox="1"/>
      </xdr:nvSpPr>
      <xdr:spPr>
        <a:xfrm>
          <a:off x="1924508" y="2912936"/>
          <a:ext cx="571500" cy="5582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16</xdr:col>
      <xdr:colOff>297030</xdr:colOff>
      <xdr:row>22</xdr:row>
      <xdr:rowOff>49695</xdr:rowOff>
    </xdr:from>
    <xdr:to>
      <xdr:col>17</xdr:col>
      <xdr:colOff>99391</xdr:colOff>
      <xdr:row>22</xdr:row>
      <xdr:rowOff>50340</xdr:rowOff>
    </xdr:to>
    <xdr:cxnSp macro="">
      <xdr:nvCxnSpPr>
        <xdr:cNvPr id="171" name="Straight Arrow Connector 170">
          <a:extLst>
            <a:ext uri="{FF2B5EF4-FFF2-40B4-BE49-F238E27FC236}">
              <a16:creationId xmlns:a16="http://schemas.microsoft.com/office/drawing/2014/main" id="{EB402CCC-1789-4818-BB59-6868D8AF749C}"/>
            </a:ext>
          </a:extLst>
        </xdr:cNvPr>
        <xdr:cNvCxnSpPr>
          <a:stCxn id="45" idx="6"/>
        </xdr:cNvCxnSpPr>
      </xdr:nvCxnSpPr>
      <xdr:spPr>
        <a:xfrm flipV="1">
          <a:off x="5945769" y="3379304"/>
          <a:ext cx="183361" cy="6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58617</xdr:colOff>
      <xdr:row>21</xdr:row>
      <xdr:rowOff>131566</xdr:rowOff>
    </xdr:from>
    <xdr:to>
      <xdr:col>13</xdr:col>
      <xdr:colOff>183845</xdr:colOff>
      <xdr:row>22</xdr:row>
      <xdr:rowOff>135881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B3E6BB65-CB31-43C1-8880-2EFDE900A277}"/>
            </a:ext>
          </a:extLst>
        </xdr:cNvPr>
        <xdr:cNvGrpSpPr/>
      </xdr:nvGrpSpPr>
      <xdr:grpSpPr>
        <a:xfrm rot="21333083">
          <a:off x="4564356" y="3312088"/>
          <a:ext cx="125228" cy="15340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" name="Oval 33">
            <a:extLst>
              <a:ext uri="{FF2B5EF4-FFF2-40B4-BE49-F238E27FC236}">
                <a16:creationId xmlns:a16="http://schemas.microsoft.com/office/drawing/2014/main" id="{DE9E4DF0-4759-5E3A-84F1-7ECB20CC0B8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02DBF306-FE67-0AE8-A0AA-034BB237781B}"/>
              </a:ext>
            </a:extLst>
          </xdr:cNvPr>
          <xdr:cNvCxnSpPr>
            <a:stCxn id="34" idx="1"/>
            <a:endCxn id="3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DFE9D12C-B493-1B9C-F887-C470F7F500D2}"/>
              </a:ext>
            </a:extLst>
          </xdr:cNvPr>
          <xdr:cNvCxnSpPr>
            <a:stCxn id="34" idx="3"/>
            <a:endCxn id="3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33895</xdr:colOff>
      <xdr:row>21</xdr:row>
      <xdr:rowOff>144118</xdr:rowOff>
    </xdr:from>
    <xdr:to>
      <xdr:col>10</xdr:col>
      <xdr:colOff>159123</xdr:colOff>
      <xdr:row>22</xdr:row>
      <xdr:rowOff>143655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51CD5090-B9C1-4A61-8EF2-0E4A6882864E}"/>
            </a:ext>
          </a:extLst>
        </xdr:cNvPr>
        <xdr:cNvGrpSpPr/>
      </xdr:nvGrpSpPr>
      <xdr:grpSpPr>
        <a:xfrm rot="21333083">
          <a:off x="3396634" y="3324640"/>
          <a:ext cx="125228" cy="14862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2" name="Oval 51">
            <a:extLst>
              <a:ext uri="{FF2B5EF4-FFF2-40B4-BE49-F238E27FC236}">
                <a16:creationId xmlns:a16="http://schemas.microsoft.com/office/drawing/2014/main" id="{87A22E94-CEA4-0C03-B805-63FC83C6B17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0BB4DE4-7DA6-24F4-C263-B48388D664E6}"/>
              </a:ext>
            </a:extLst>
          </xdr:cNvPr>
          <xdr:cNvCxnSpPr>
            <a:stCxn id="52" idx="1"/>
            <a:endCxn id="5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AE62ACEA-41F3-158E-D970-AD6525B1B29C}"/>
              </a:ext>
            </a:extLst>
          </xdr:cNvPr>
          <xdr:cNvCxnSpPr>
            <a:stCxn id="52" idx="3"/>
            <a:endCxn id="5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183656</xdr:colOff>
      <xdr:row>22</xdr:row>
      <xdr:rowOff>54323</xdr:rowOff>
    </xdr:from>
    <xdr:to>
      <xdr:col>16</xdr:col>
      <xdr:colOff>172180</xdr:colOff>
      <xdr:row>22</xdr:row>
      <xdr:rowOff>60054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E97A6C0-502D-4049-B575-D2203729B532}"/>
            </a:ext>
          </a:extLst>
        </xdr:cNvPr>
        <xdr:cNvCxnSpPr>
          <a:stCxn id="34" idx="6"/>
          <a:endCxn id="45" idx="2"/>
        </xdr:cNvCxnSpPr>
      </xdr:nvCxnSpPr>
      <xdr:spPr>
        <a:xfrm>
          <a:off x="4689395" y="3383932"/>
          <a:ext cx="1131524" cy="573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33131</xdr:colOff>
      <xdr:row>18</xdr:row>
      <xdr:rowOff>49696</xdr:rowOff>
    </xdr:from>
    <xdr:to>
      <xdr:col>8</xdr:col>
      <xdr:colOff>36506</xdr:colOff>
      <xdr:row>21</xdr:row>
      <xdr:rowOff>143712</xdr:rowOff>
    </xdr:to>
    <xdr:cxnSp macro="">
      <xdr:nvCxnSpPr>
        <xdr:cNvPr id="175" name="Straight Connector 174">
          <a:extLst>
            <a:ext uri="{FF2B5EF4-FFF2-40B4-BE49-F238E27FC236}">
              <a16:creationId xmlns:a16="http://schemas.microsoft.com/office/drawing/2014/main" id="{884CA5EF-E72D-4788-94B9-2A84A598DEBF}"/>
            </a:ext>
          </a:extLst>
        </xdr:cNvPr>
        <xdr:cNvCxnSpPr>
          <a:stCxn id="37" idx="0"/>
        </xdr:cNvCxnSpPr>
      </xdr:nvCxnSpPr>
      <xdr:spPr>
        <a:xfrm flipH="1" flipV="1">
          <a:off x="2633870" y="2782957"/>
          <a:ext cx="3375" cy="541277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255105</xdr:colOff>
      <xdr:row>15</xdr:row>
      <xdr:rowOff>71167</xdr:rowOff>
    </xdr:from>
    <xdr:to>
      <xdr:col>17</xdr:col>
      <xdr:colOff>217005</xdr:colOff>
      <xdr:row>21</xdr:row>
      <xdr:rowOff>56895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C3F62C44-AB6D-401D-B0D9-099EFF766C7D}"/>
            </a:ext>
          </a:extLst>
        </xdr:cNvPr>
        <xdr:cNvSpPr txBox="1"/>
      </xdr:nvSpPr>
      <xdr:spPr>
        <a:xfrm>
          <a:off x="5522844" y="2357167"/>
          <a:ext cx="723900" cy="8802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ctr"/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374162</xdr:colOff>
      <xdr:row>18</xdr:row>
      <xdr:rowOff>148858</xdr:rowOff>
    </xdr:from>
    <xdr:to>
      <xdr:col>10</xdr:col>
      <xdr:colOff>265044</xdr:colOff>
      <xdr:row>21</xdr:row>
      <xdr:rowOff>73972</xdr:rowOff>
    </xdr:to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424B9DBB-E24B-4216-A55A-357C628B5A88}"/>
            </a:ext>
          </a:extLst>
        </xdr:cNvPr>
        <xdr:cNvSpPr txBox="1"/>
      </xdr:nvSpPr>
      <xdr:spPr>
        <a:xfrm>
          <a:off x="2974901" y="2882119"/>
          <a:ext cx="652882" cy="3723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</xdr:txBody>
    </xdr:sp>
    <xdr:clientData/>
  </xdr:twoCellAnchor>
  <xdr:twoCellAnchor>
    <xdr:from>
      <xdr:col>12</xdr:col>
      <xdr:colOff>296647</xdr:colOff>
      <xdr:row>18</xdr:row>
      <xdr:rowOff>83910</xdr:rowOff>
    </xdr:from>
    <xdr:to>
      <xdr:col>14</xdr:col>
      <xdr:colOff>106147</xdr:colOff>
      <xdr:row>21</xdr:row>
      <xdr:rowOff>9024</xdr:rowOff>
    </xdr:to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D70EA26D-7D67-43B7-8C42-DC50C653FDF8}"/>
            </a:ext>
          </a:extLst>
        </xdr:cNvPr>
        <xdr:cNvSpPr txBox="1"/>
      </xdr:nvSpPr>
      <xdr:spPr>
        <a:xfrm>
          <a:off x="4421386" y="2817171"/>
          <a:ext cx="571500" cy="3723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8</xdr:col>
      <xdr:colOff>48034</xdr:colOff>
      <xdr:row>22</xdr:row>
      <xdr:rowOff>142800</xdr:rowOff>
    </xdr:from>
    <xdr:to>
      <xdr:col>8</xdr:col>
      <xdr:colOff>50885</xdr:colOff>
      <xdr:row>30</xdr:row>
      <xdr:rowOff>42963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8F235489-8F64-4083-BE7D-C23071FBA48A}"/>
            </a:ext>
          </a:extLst>
        </xdr:cNvPr>
        <xdr:cNvCxnSpPr>
          <a:stCxn id="32" idx="0"/>
          <a:endCxn id="37" idx="4"/>
        </xdr:cNvCxnSpPr>
      </xdr:nvCxnSpPr>
      <xdr:spPr>
        <a:xfrm flipH="1" flipV="1">
          <a:off x="2648773" y="3472409"/>
          <a:ext cx="2851" cy="1084576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62783</xdr:colOff>
      <xdr:row>31</xdr:row>
      <xdr:rowOff>46815</xdr:rowOff>
    </xdr:from>
    <xdr:to>
      <xdr:col>8</xdr:col>
      <xdr:colOff>82826</xdr:colOff>
      <xdr:row>35</xdr:row>
      <xdr:rowOff>8282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F851FF60-E662-44EB-A84E-74F6F742FE29}"/>
            </a:ext>
          </a:extLst>
        </xdr:cNvPr>
        <xdr:cNvCxnSpPr>
          <a:endCxn id="32" idx="4"/>
        </xdr:cNvCxnSpPr>
      </xdr:nvCxnSpPr>
      <xdr:spPr>
        <a:xfrm flipH="1" flipV="1">
          <a:off x="2663522" y="4709924"/>
          <a:ext cx="20043" cy="55781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265044</xdr:colOff>
      <xdr:row>21</xdr:row>
      <xdr:rowOff>107674</xdr:rowOff>
    </xdr:from>
    <xdr:to>
      <xdr:col>9</xdr:col>
      <xdr:colOff>275555</xdr:colOff>
      <xdr:row>23</xdr:row>
      <xdr:rowOff>11734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5E50652C-2C98-4851-81EB-60EB81E722B6}"/>
            </a:ext>
          </a:extLst>
        </xdr:cNvPr>
        <xdr:cNvSpPr/>
      </xdr:nvSpPr>
      <xdr:spPr>
        <a:xfrm>
          <a:off x="2865783" y="3288196"/>
          <a:ext cx="391511" cy="202234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 editAs="oneCell">
    <xdr:from>
      <xdr:col>2</xdr:col>
      <xdr:colOff>157369</xdr:colOff>
      <xdr:row>42</xdr:row>
      <xdr:rowOff>133702</xdr:rowOff>
    </xdr:from>
    <xdr:to>
      <xdr:col>9</xdr:col>
      <xdr:colOff>281609</xdr:colOff>
      <xdr:row>54</xdr:row>
      <xdr:rowOff>11993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46B08B3-6B4D-4677-93A7-CE7E95D80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152" y="6469898"/>
          <a:ext cx="2907196" cy="179985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503465</xdr:colOff>
      <xdr:row>11</xdr:row>
      <xdr:rowOff>68037</xdr:rowOff>
    </xdr:from>
    <xdr:to>
      <xdr:col>20</xdr:col>
      <xdr:colOff>0</xdr:colOff>
      <xdr:row>48</xdr:row>
      <xdr:rowOff>159307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2C58A6-FFE1-E6D9-102F-5EF0BD725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0394" y="2013858"/>
          <a:ext cx="9905999" cy="613284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  <sheetName val="prod03"/>
      <sheetName val="C"/>
      <sheetName val="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  <sheetName val="DExp.Lmb"/>
      <sheetName val="Usulan"/>
      <sheetName val="JAN07"/>
      <sheetName val="graf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  <sheetName val="Harga BBM Indonesia"/>
      <sheetName val="MASTER"/>
      <sheetName val="FORM-B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  <sheetName val="item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Asumsi"/>
      <sheetName val="JAN07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>
        <row r="120">
          <cell r="H120">
            <v>9000</v>
          </cell>
        </row>
      </sheetData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>
        <row r="120">
          <cell r="H120">
            <v>9000</v>
          </cell>
        </row>
      </sheetData>
      <sheetData sheetId="245">
        <row r="120">
          <cell r="H120">
            <v>9000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  <sheetName val="Resume"/>
      <sheetName val="D2. ANALISA HS INSHAR"/>
      <sheetName val="DTU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Format"/>
      <sheetName val="Data Pelanggan TM"/>
      <sheetName val="Menu"/>
      <sheetName val="Parameter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RAB"/>
      <sheetName val="INP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  <sheetName val="E3. ANALISA HS HAR TEK SUTM"/>
      <sheetName val="E6. ANALISA HS HAR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RAB"/>
      <sheetName val="DTU"/>
      <sheetName val="Jasa"/>
      <sheetName val="Mat"/>
      <sheetName val="aruskas"/>
      <sheetName val="Hal-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Format"/>
      <sheetName val="W-NAD"/>
      <sheetName val="Cover"/>
      <sheetName val="Standar Konstruksi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E3. ANALISA HS HAR TEK SUTM"/>
      <sheetName val="E6. ANALISA HS HAR"/>
      <sheetName val="Asumsi"/>
      <sheetName val="aruskas"/>
      <sheetName val="Hal-1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  <sheetName val="Valuatio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  <sheetName val="ca"/>
      <sheetName val="JURNAL"/>
      <sheetName val="BB PUSAT"/>
      <sheetName val="DTstok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  <sheetName val="Resume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  <sheetName val="Dasar Pemadaman"/>
      <sheetName val="Supl.X"/>
      <sheetName val="Harga bahan &amp; upah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x"/>
      <sheetName val="HB BARU"/>
      <sheetName val="bantu"/>
      <sheetName val="JAN07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0" t="s">
        <v>1134</v>
      </c>
      <c r="C4" s="530"/>
      <c r="D4" s="530"/>
      <c r="E4" s="530"/>
      <c r="F4" s="530"/>
      <c r="G4" s="530"/>
      <c r="H4" s="53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1" t="s">
        <v>0</v>
      </c>
      <c r="C7" s="531" t="s">
        <v>1</v>
      </c>
      <c r="D7" s="532" t="s">
        <v>42</v>
      </c>
      <c r="E7" s="532" t="s">
        <v>43</v>
      </c>
      <c r="F7" s="532" t="s">
        <v>1135</v>
      </c>
      <c r="G7" s="533" t="s">
        <v>41</v>
      </c>
      <c r="H7" s="529" t="s">
        <v>1042</v>
      </c>
      <c r="I7" s="529" t="s">
        <v>1137</v>
      </c>
      <c r="J7" s="529" t="s">
        <v>1026</v>
      </c>
      <c r="K7" s="523" t="s">
        <v>1024</v>
      </c>
      <c r="L7" s="524"/>
    </row>
    <row r="8" spans="1:12" ht="15" customHeight="1">
      <c r="B8" s="531"/>
      <c r="C8" s="531"/>
      <c r="D8" s="532"/>
      <c r="E8" s="532"/>
      <c r="F8" s="532"/>
      <c r="G8" s="533"/>
      <c r="H8" s="529"/>
      <c r="I8" s="529"/>
      <c r="J8" s="529"/>
      <c r="K8" s="525"/>
      <c r="L8" s="526"/>
    </row>
    <row r="9" spans="1:12" ht="15" customHeight="1">
      <c r="B9" s="531"/>
      <c r="C9" s="531"/>
      <c r="D9" s="532"/>
      <c r="E9" s="532"/>
      <c r="F9" s="532"/>
      <c r="G9" s="533"/>
      <c r="H9" s="529"/>
      <c r="I9" s="529"/>
      <c r="J9" s="529"/>
      <c r="K9" s="527"/>
      <c r="L9" s="52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5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5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2 x 70 + N 70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150</v>
      </c>
      <c r="G14" s="41">
        <f ca="1">IF(ISERROR(OFFSET('HARGA SATUAN'!$I$6,MATCH(C14,'HARGA SATUAN'!$C$7:$C$1492,0),0)),"",OFFSET('HARGA SATUAN'!$I$6,MATCH(C14,'HARGA SATUAN'!$C$7:$C$1492,0),0))</f>
        <v>53300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100</v>
      </c>
      <c r="G15" s="41">
        <f ca="1">IF(ISERROR(OFFSET('HARGA SATUAN'!$I$6,MATCH(C15,'HARGA SATUAN'!$C$7:$C$1492,0),0)),"",OFFSET('HARGA SATUAN'!$I$6,MATCH(C15,'HARGA SATUAN'!$C$7:$C$1492,0),0))</f>
        <v>4300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SUMIFS(RAB!$F$14:$F$89,RAB!$C$14:$C$89,C714)</f>
        <v>5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SUMIFS(RAB!$F$14:$F$89,RAB!$C$14:$C$89,C715)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SUMIFS(RAB!$F$14:$F$89,RAB!$C$14:$C$89,C716)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SUMIFS(RAB!$F$14:$F$89,RAB!$C$14:$C$89,C717)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SUMIFS(RAB!$F$14:$F$89,RAB!$C$14:$C$89,C718)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SUMIFS(RAB!$F$14:$F$89,RAB!$C$14:$C$89,C719)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SUMIFS(RAB!$F$14:$F$89,RAB!$C$14:$C$89,C720)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SUMIFS(RAB!$F$14:$F$89,RAB!$C$14:$C$89,C721)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SUMIFS(RAB!$F$14:$F$89,RAB!$C$14:$C$89,C722)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SUMIFS(RAB!$F$14:$F$89,RAB!$C$14:$C$89,C723)</f>
        <v>5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SUMIFS(RAB!$F$14:$F$89,RAB!$C$14:$C$89,C724)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SUMIFS(RAB!$F$14:$F$89,RAB!$C$14:$C$89,C725)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SUMIFS(RAB!$F$14:$F$89,RAB!$C$14:$C$89,C726)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SUMIFS(RAB!$F$14:$F$89,RAB!$C$14:$C$89,C727)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SUMIFS(RAB!$F$14:$F$89,RAB!$C$14:$C$89,C728)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SUMIFS(RAB!$F$14:$F$89,RAB!$C$14:$C$89,C729)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SUMIFS(RAB!$F$14:$F$89,RAB!$C$14:$C$89,C730)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SUMIFS(RAB!$F$14:$F$89,RAB!$C$14:$C$89,C731)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SUMIFS(RAB!$F$14:$F$89,RAB!$C$14:$C$89,C732)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SUMIFS(RAB!$F$14:$F$89,RAB!$C$14:$C$89,C733)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SUMIFS(RAB!$F$14:$F$89,RAB!$C$14:$C$89,C734)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SUMIFS(RAB!$F$14:$F$89,RAB!$C$14:$C$89,C735)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SUMIFS(RAB!$F$14:$F$89,RAB!$C$14:$C$89,C736)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SUMIFS(RAB!$F$14:$F$89,RAB!$C$14:$C$89,C737)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SUMIFS(RAB!$F$14:$F$89,RAB!$C$14:$C$89,C738)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SUMIFS(RAB!$F$14:$F$89,RAB!$C$14:$C$89,C739)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SUMIFS(RAB!$F$14:$F$89,RAB!$C$14:$C$89,C740)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SUMIFS(RAB!$F$14:$F$89,RAB!$C$14:$C$89,C741)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SUMIFS(RAB!$F$14:$F$89,RAB!$C$14:$C$89,C742)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SUMIFS(RAB!$F$14:$F$89,RAB!$C$14:$C$89,C743)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SUMIFS(RAB!$F$14:$F$89,RAB!$C$14:$C$89,C744)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SUMIFS(RAB!$F$14:$F$89,RAB!$C$14:$C$89,C745)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SUMIFS(RAB!$F$14:$F$89,RAB!$C$14:$C$89,C746)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SUMIFS(RAB!$F$14:$F$89,RAB!$C$14:$C$89,C747)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SUMIFS(RAB!$F$14:$F$89,RAB!$C$14:$C$89,C748)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SUMIFS(RAB!$F$14:$F$89,RAB!$C$14:$C$89,C749)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SUMIFS(RAB!$F$14:$F$89,RAB!$C$14:$C$89,C750)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SUMIFS(RAB!$F$14:$F$89,RAB!$C$14:$C$89,C751)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SUMIFS(RAB!$F$14:$F$89,RAB!$C$14:$C$89,C752)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SUMIFS(RAB!$F$14:$F$89,RAB!$C$14:$C$89,C753)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SUMIFS(RAB!$F$14:$F$89,RAB!$C$14:$C$89,C754)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SUMIFS(RAB!$F$14:$F$89,RAB!$C$14:$C$89,C755)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SUMIFS(RAB!$F$14:$F$89,RAB!$C$14:$C$89,C756)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SUMIFS(RAB!$F$14:$F$89,RAB!$C$14:$C$89,C757)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SUMIFS(RAB!$F$14:$F$89,RAB!$C$14:$C$89,C758)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SUMIFS(RAB!$F$14:$F$89,RAB!$C$14:$C$89,C759)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SUMIFS(RAB!$F$14:$F$89,RAB!$C$14:$C$89,C760)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SUMIFS(RAB!$F$14:$F$89,RAB!$C$14:$C$89,C761)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SUMIFS(RAB!$F$14:$F$89,RAB!$C$14:$C$89,C762)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SUMIFS(RAB!$F$14:$F$89,RAB!$C$14:$C$89,C763)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SUMIFS(RAB!$F$14:$F$89,RAB!$C$14:$C$89,C764)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SUMIFS(RAB!$F$14:$F$89,RAB!$C$14:$C$89,C765)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SUMIFS(RAB!$F$14:$F$89,RAB!$C$14:$C$89,C766)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SUMIFS(RAB!$F$14:$F$89,RAB!$C$14:$C$89,C767)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SUMIFS(RAB!$F$14:$F$89,RAB!$C$14:$C$89,C768)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SUMIFS(RAB!$F$14:$F$89,RAB!$C$14:$C$89,C769)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SUMIFS(RAB!$F$14:$F$89,RAB!$C$14:$C$89,C770)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SUMIFS(RAB!$F$14:$F$89,RAB!$C$14:$C$89,C771)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SUMIFS(RAB!$F$14:$F$89,RAB!$C$14:$C$89,C772)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SUMIFS(RAB!$F$14:$F$89,RAB!$C$14:$C$89,C773)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SUMIFS(RAB!$F$14:$F$89,RAB!$C$14:$C$89,C774)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SUMIFS(RAB!$F$14:$F$89,RAB!$C$14:$C$89,C775)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SUMIFS(RAB!$F$14:$F$89,RAB!$C$14:$C$89,C776)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SUMIFS(RAB!$F$14:$F$89,RAB!$C$14:$C$89,C777)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SUMIFS(RAB!$F$14:$F$89,RAB!$C$14:$C$89,C778)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SUMIFS(RAB!$F$14:$F$89,RAB!$C$14:$C$89,C779)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SUMIFS(RAB!$F$14:$F$89,RAB!$C$14:$C$89,C780)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SUMIFS(RAB!$F$14:$F$89,RAB!$C$14:$C$89,C781)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SUMIFS(RAB!$F$14:$F$89,RAB!$C$14:$C$89,C782)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SUMIFS(RAB!$F$14:$F$89,RAB!$C$14:$C$89,C783)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SUMIFS(RAB!$F$14:$F$89,RAB!$C$14:$C$89,C784)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SUMIFS(RAB!$F$14:$F$89,RAB!$C$14:$C$89,C785)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SUMIFS(RAB!$F$14:$F$89,RAB!$C$14:$C$89,C786)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SUMIFS(RAB!$F$14:$F$89,RAB!$C$14:$C$89,C787)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SUMIFS(RAB!$F$14:$F$89,RAB!$C$14:$C$89,C788)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SUMIFS(RAB!$F$14:$F$89,RAB!$C$14:$C$89,C789)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SUMIFS(RAB!$F$14:$F$89,RAB!$C$14:$C$89,C790)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SUMIFS(RAB!$F$14:$F$89,RAB!$C$14:$C$89,C791)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SUMIFS(RAB!$F$14:$F$89,RAB!$C$14:$C$89,C792)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SUMIFS(RAB!$F$14:$F$89,RAB!$C$14:$C$89,C793)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SUMIFS(RAB!$F$14:$F$89,RAB!$C$14:$C$89,C794)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SUMIFS(RAB!$F$14:$F$89,RAB!$C$14:$C$89,C795)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SUMIFS(RAB!$F$14:$F$89,RAB!$C$14:$C$89,C796)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SUMIFS(RAB!$F$14:$F$89,RAB!$C$14:$C$89,C797)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SUMIFS(RAB!$F$14:$F$89,RAB!$C$14:$C$89,C798)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SUMIFS(RAB!$F$14:$F$89,RAB!$C$14:$C$89,C799)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SUMIFS(RAB!$F$14:$F$89,RAB!$C$14:$C$89,C800)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SUMIFS(RAB!$F$14:$F$89,RAB!$C$14:$C$89,C801)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SUMIFS(RAB!$F$14:$F$89,RAB!$C$14:$C$89,C802)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SUMIFS(RAB!$F$14:$F$89,RAB!$C$14:$C$89,C803)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SUMIFS(RAB!$F$14:$F$89,RAB!$C$14:$C$89,C804)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SUMIFS(RAB!$F$14:$F$89,RAB!$C$14:$C$89,C805)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SUMIFS(RAB!$F$14:$F$89,RAB!$C$14:$C$89,C806)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SUMIFS(RAB!$F$14:$F$89,RAB!$C$14:$C$89,C807)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SUMIFS(RAB!$F$14:$F$89,RAB!$C$14:$C$89,C808)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SUMIFS(RAB!$F$14:$F$89,RAB!$C$14:$C$89,C809)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SUMIFS(RAB!$F$14:$F$89,RAB!$C$14:$C$89,C810)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SUMIFS(RAB!$F$14:$F$89,RAB!$C$14:$C$89,C811)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SUMIFS(RAB!$F$14:$F$89,RAB!$C$14:$C$89,C812)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SUMIFS(RAB!$F$14:$F$89,RAB!$C$14:$C$89,C813)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SUMIFS(RAB!$F$14:$F$89,RAB!$C$14:$C$89,C814)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SUMIFS(RAB!$F$14:$F$89,RAB!$C$14:$C$89,C815)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SUMIFS(RAB!$F$14:$F$89,RAB!$C$14:$C$89,C816)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SUMIFS(RAB!$F$14:$F$89,RAB!$C$14:$C$89,C817)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SUMIFS(RAB!$F$14:$F$89,RAB!$C$14:$C$89,C818)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SUMIFS(RAB!$F$14:$F$89,RAB!$C$14:$C$89,C819)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SUMIFS(RAB!$F$14:$F$89,RAB!$C$14:$C$89,C820)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SUMIFS(RAB!$F$14:$F$89,RAB!$C$14:$C$89,C821)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SUMIFS(RAB!$F$14:$F$89,RAB!$C$14:$C$89,C822)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SUMIFS(RAB!$F$14:$F$89,RAB!$C$14:$C$89,C823)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SUMIFS(RAB!$F$14:$F$89,RAB!$C$14:$C$89,C824)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SUMIFS(RAB!$F$14:$F$89,RAB!$C$14:$C$89,C825)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SUMIFS(RAB!$F$14:$F$89,RAB!$C$14:$C$89,C826)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SUMIFS(RAB!$F$14:$F$89,RAB!$C$14:$C$89,C827)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SUMIFS(RAB!$F$14:$F$89,RAB!$C$14:$C$89,C828)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SUMIFS(RAB!$F$14:$F$89,RAB!$C$14:$C$89,C829)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SUMIFS(RAB!$F$14:$F$89,RAB!$C$14:$C$89,C830)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SUMIFS(RAB!$F$14:$F$89,RAB!$C$14:$C$89,C831)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SUMIFS(RAB!$F$14:$F$89,RAB!$C$14:$C$89,C832)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SUMIFS(RAB!$F$14:$F$89,RAB!$C$14:$C$89,C833)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SUMIFS(RAB!$F$14:$F$89,RAB!$C$14:$C$89,C834)</f>
        <v>150</v>
      </c>
      <c r="E834" s="26">
        <f t="shared" ca="1" si="34"/>
        <v>1</v>
      </c>
      <c r="F834" s="26">
        <f ca="1">IF(D834=0,0,SUM($E$713:E834))</f>
        <v>3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SUMIFS(RAB!$F$14:$F$89,RAB!$C$14:$C$89,C835)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SUMIFS(RAB!$F$14:$F$89,RAB!$C$14:$C$89,C836)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SUMIFS(RAB!$F$14:$F$89,RAB!$C$14:$C$89,C837)</f>
        <v>100</v>
      </c>
      <c r="E837" s="26">
        <f t="shared" ca="1" si="34"/>
        <v>1</v>
      </c>
      <c r="F837" s="26">
        <f ca="1">IF(D837=0,0,SUM($E$713:E837))</f>
        <v>4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SUMIFS(RAB!$F$14:$F$89,RAB!$C$14:$C$89,C838)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SUMIFS(RAB!$F$14:$F$89,RAB!$C$14:$C$89,C839)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SUMIFS(RAB!$F$14:$F$89,RAB!$C$14:$C$89,C840)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SUMIFS(RAB!$F$14:$F$89,RAB!$C$14:$C$89,C841)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SUMIFS(RAB!$F$14:$F$89,RAB!$C$14:$C$89,C842)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SUMIFS(RAB!$F$14:$F$89,RAB!$C$14:$C$89,C843)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SUMIFS(RAB!$F$14:$F$89,RAB!$C$14:$C$89,C844)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SUMIFS(RAB!$F$14:$F$89,RAB!$C$14:$C$89,C845)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SUMIFS(RAB!$F$14:$F$89,RAB!$C$14:$C$89,C846)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SUMIFS(RAB!$F$14:$F$89,RAB!$C$14:$C$89,C847)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SUMIFS(RAB!$F$14:$F$89,RAB!$C$14:$C$89,C848)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SUMIFS(RAB!$F$14:$F$89,RAB!$C$14:$C$89,C849)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SUMIFS(RAB!$F$14:$F$89,RAB!$C$14:$C$89,C850)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SUMIFS(RAB!$F$14:$F$89,RAB!$C$14:$C$89,C851)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SUMIFS(RAB!$F$14:$F$89,RAB!$C$14:$C$89,C852)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SUMIFS(RAB!$F$14:$F$89,RAB!$C$14:$C$89,C853)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SUMIFS(RAB!$F$14:$F$89,RAB!$C$14:$C$89,C854)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SUMIFS(RAB!$F$14:$F$89,RAB!$C$14:$C$89,C855)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SUMIFS(RAB!$F$14:$F$89,RAB!$C$14:$C$89,C856)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SUMIFS(RAB!$F$14:$F$89,RAB!$C$14:$C$89,C857)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SUMIFS(RAB!$F$14:$F$89,RAB!$C$14:$C$89,C858)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SUMIFS(RAB!$F$14:$F$89,RAB!$C$14:$C$89,C859)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SUMIFS(RAB!$F$14:$F$89,RAB!$C$14:$C$89,C860)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SUMIFS(RAB!$F$14:$F$89,RAB!$C$14:$C$89,C861)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SUMIFS(RAB!$F$14:$F$89,RAB!$C$14:$C$89,C862)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SUMIFS(RAB!$F$14:$F$89,RAB!$C$14:$C$89,C863)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SUMIFS(RAB!$F$14:$F$89,RAB!$C$14:$C$89,C864)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SUMIFS(RAB!$F$14:$F$89,RAB!$C$14:$C$89,C865)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SUMIFS(RAB!$F$14:$F$89,RAB!$C$14:$C$89,C866)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SUMIFS(RAB!$F$14:$F$89,RAB!$C$14:$C$89,C867)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SUMIFS(RAB!$F$14:$F$89,RAB!$C$14:$C$89,C868)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SUMIFS(RAB!$F$14:$F$89,RAB!$C$14:$C$89,C869)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SUMIFS(RAB!$F$14:$F$89,RAB!$C$14:$C$89,C870)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SUMIFS(RAB!$F$14:$F$89,RAB!$C$14:$C$89,C871)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SUMIFS(RAB!$F$14:$F$89,RAB!$C$14:$C$89,C872)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SUMIFS(RAB!$F$14:$F$89,RAB!$C$14:$C$89,C873)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SUMIFS(RAB!$F$14:$F$89,RAB!$C$14:$C$89,C874)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SUMIFS(RAB!$F$14:$F$89,RAB!$C$14:$C$89,C875)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SUMIFS(RAB!$F$14:$F$89,RAB!$C$14:$C$89,C876)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SUMIFS(RAB!$F$14:$F$89,RAB!$C$14:$C$89,C877)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SUMIFS(RAB!$F$14:$F$89,RAB!$C$14:$C$89,C878)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SUMIFS(RAB!$F$14:$F$89,RAB!$C$14:$C$89,C879)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SUMIFS(RAB!$F$14:$F$89,RAB!$C$14:$C$89,C880)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SUMIFS(RAB!$F$14:$F$89,RAB!$C$14:$C$89,C881)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SUMIFS(RAB!$F$14:$F$89,RAB!$C$14:$C$89,C882)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SUMIFS(RAB!$F$14:$F$89,RAB!$C$14:$C$89,C883)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SUMIFS(RAB!$F$14:$F$89,RAB!$C$14:$C$89,C884)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SUMIFS(RAB!$F$14:$F$89,RAB!$C$14:$C$89,C885)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SUMIFS(RAB!$F$14:$F$89,RAB!$C$14:$C$89,C886)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SUMIFS(RAB!$F$14:$F$89,RAB!$C$14:$C$89,C887)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SUMIFS(RAB!$F$14:$F$89,RAB!$C$14:$C$89,C888)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SUMIFS(RAB!$F$14:$F$89,RAB!$C$14:$C$89,C889)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SUMIFS(RAB!$F$14:$F$89,RAB!$C$14:$C$89,C890)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SUMIFS(RAB!$F$14:$F$89,RAB!$C$14:$C$89,C891)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SUMIFS(RAB!$F$14:$F$89,RAB!$C$14:$C$89,C892)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SUMIFS(RAB!$F$14:$F$89,RAB!$C$14:$C$89,C893)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SUMIFS(RAB!$F$14:$F$89,RAB!$C$14:$C$89,C894)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SUMIFS(RAB!$F$14:$F$89,RAB!$C$14:$C$89,C895)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SUMIFS(RAB!$F$14:$F$89,RAB!$C$14:$C$89,C896)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SUMIFS(RAB!$F$14:$F$89,RAB!$C$14:$C$89,C897)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SUMIFS(RAB!$F$14:$F$89,RAB!$C$14:$C$89,C898)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SUMIFS(RAB!$F$14:$F$89,RAB!$C$14:$C$89,C899)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SUMIFS(RAB!$F$14:$F$89,RAB!$C$14:$C$89,C900)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SUMIFS(RAB!$F$14:$F$89,RAB!$C$14:$C$89,C901)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SUMIFS(RAB!$F$14:$F$89,RAB!$C$14:$C$89,C902)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SUMIFS(RAB!$F$14:$F$89,RAB!$C$14:$C$89,C903)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SUMIFS(RAB!$F$14:$F$89,RAB!$C$14:$C$89,C904)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SUMIFS(RAB!$F$14:$F$89,RAB!$C$14:$C$89,C905)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SUMIFS(RAB!$F$14:$F$89,RAB!$C$14:$C$89,C906)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SUMIFS(RAB!$F$14:$F$89,RAB!$C$14:$C$89,C907)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SUMIFS(RAB!$F$14:$F$89,RAB!$C$14:$C$89,C908)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SUMIFS(RAB!$F$14:$F$89,RAB!$C$14:$C$89,C909)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SUMIFS(RAB!$F$14:$F$89,RAB!$C$14:$C$89,C910)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SUMIFS(RAB!$F$14:$F$89,RAB!$C$14:$C$89,C911)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SUMIFS(RAB!$F$14:$F$89,RAB!$C$14:$C$89,C912)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SUMIFS(RAB!$F$14:$F$89,RAB!$C$14:$C$89,C913)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SUMIFS(RAB!$F$14:$F$89,RAB!$C$14:$C$89,C914)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SUMIFS(RAB!$F$14:$F$89,RAB!$C$14:$C$89,C915)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SUMIFS(RAB!$F$14:$F$89,RAB!$C$14:$C$89,C916)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SUMIFS(RAB!$F$14:$F$89,RAB!$C$14:$C$89,C917)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SUMIFS(RAB!$F$14:$F$89,RAB!$C$14:$C$89,C918)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SUMIFS(RAB!$F$14:$F$89,RAB!$C$14:$C$89,C919)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SUMIFS(RAB!$F$14:$F$89,RAB!$C$14:$C$89,C920)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SUMIFS(RAB!$F$14:$F$89,RAB!$C$14:$C$89,C921)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SUMIFS(RAB!$F$14:$F$89,RAB!$C$14:$C$89,C922)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SUMIFS(RAB!$F$14:$F$89,RAB!$C$14:$C$89,C923)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SUMIFS(RAB!$F$14:$F$89,RAB!$C$14:$C$89,C924)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SUMIFS(RAB!$F$14:$F$89,RAB!$C$14:$C$89,C925)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SUMIFS(RAB!$F$14:$F$89,RAB!$C$14:$C$89,C926)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SUMIFS(RAB!$F$14:$F$89,RAB!$C$14:$C$89,C927)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SUMIFS(RAB!$F$14:$F$89,RAB!$C$14:$C$89,C928)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SUMIFS(RAB!$F$14:$F$89,RAB!$C$14:$C$89,C929)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SUMIFS(RAB!$F$14:$F$89,RAB!$C$14:$C$89,C930)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SUMIFS(RAB!$F$14:$F$89,RAB!$C$14:$C$89,C931)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SUMIFS(RAB!$F$14:$F$89,RAB!$C$14:$C$89,C932)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SUMIFS(RAB!$F$14:$F$89,RAB!$C$14:$C$89,C933)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SUMIFS(RAB!$F$14:$F$89,RAB!$C$14:$C$89,C934)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SUMIFS(RAB!$F$14:$F$89,RAB!$C$14:$C$89,C935)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SUMIFS(RAB!$F$14:$F$89,RAB!$C$14:$C$89,C936)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SUMIFS(RAB!$F$14:$F$89,RAB!$C$14:$C$89,C937)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SUMIFS(RAB!$F$14:$F$89,RAB!$C$14:$C$89,C938)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SUMIFS(RAB!$F$14:$F$89,RAB!$C$14:$C$89,C939)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SUMIFS(RAB!$F$14:$F$89,RAB!$C$14:$C$89,C940)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SUMIFS(RAB!$F$14:$F$89,RAB!$C$14:$C$89,C941)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SUMIFS(RAB!$F$14:$F$89,RAB!$C$14:$C$89,C942)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SUMIFS(RAB!$F$14:$F$89,RAB!$C$14:$C$89,C943)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SUMIFS(RAB!$F$14:$F$89,RAB!$C$14:$C$89,C944)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SUMIFS(RAB!$F$14:$F$89,RAB!$C$14:$C$89,C945)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SUMIFS(RAB!$F$14:$F$89,RAB!$C$14:$C$89,C946)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SUMIFS(RAB!$F$14:$F$89,RAB!$C$14:$C$89,C947)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SUMIFS(RAB!$F$14:$F$89,RAB!$C$14:$C$89,C948)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SUMIFS(RAB!$F$14:$F$89,RAB!$C$14:$C$89,C949)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SUMIFS(RAB!$F$14:$F$89,RAB!$C$14:$C$89,C950)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SUMIFS(RAB!$F$14:$F$89,RAB!$C$14:$C$89,C951)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SUMIFS(RAB!$F$14:$F$89,RAB!$C$14:$C$89,C952)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SUMIFS(RAB!$F$14:$F$89,RAB!$C$14:$C$89,C953)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SUMIFS(RAB!$F$14:$F$89,RAB!$C$14:$C$89,C954)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SUMIFS(RAB!$F$14:$F$89,RAB!$C$14:$C$89,C955)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SUMIFS(RAB!$F$14:$F$89,RAB!$C$14:$C$89,C956)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SUMIFS(RAB!$F$14:$F$89,RAB!$C$14:$C$89,C957)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SUMIFS(RAB!$F$14:$F$89,RAB!$C$14:$C$89,C958)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SUMIFS(RAB!$F$14:$F$89,RAB!$C$14:$C$89,C959)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SUMIFS(RAB!$F$14:$F$89,RAB!$C$14:$C$89,C960)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SUMIFS(RAB!$F$14:$F$89,RAB!$C$14:$C$89,C961)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SUMIFS(RAB!$F$14:$F$89,RAB!$C$14:$C$89,C962)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SUMIFS(RAB!$F$14:$F$89,RAB!$C$14:$C$89,C963)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SUMIFS(RAB!$F$14:$F$89,RAB!$C$14:$C$89,C964)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SUMIFS(RAB!$F$14:$F$89,RAB!$C$14:$C$89,C965)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SUMIFS(RAB!$F$14:$F$89,RAB!$C$14:$C$89,C966)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SUMIFS(RAB!$F$14:$F$89,RAB!$C$14:$C$89,C967)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SUMIFS(RAB!$F$14:$F$89,RAB!$C$14:$C$89,C968)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SUMIFS(RAB!$F$14:$F$89,RAB!$C$14:$C$89,C969)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SUMIFS(RAB!$F$14:$F$89,RAB!$C$14:$C$89,C970)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SUMIFS(RAB!$F$14:$F$89,RAB!$C$14:$C$89,C971)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SUMIFS(RAB!$F$14:$F$89,RAB!$C$14:$C$89,C972)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SUMIFS(RAB!$F$14:$F$89,RAB!$C$14:$C$89,C973)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SUMIFS(RAB!$F$14:$F$89,RAB!$C$14:$C$89,C974)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SUMIFS(RAB!$F$14:$F$89,RAB!$C$14:$C$89,C975)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SUMIFS(RAB!$F$14:$F$89,RAB!$C$14:$C$89,C976)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SUMIFS(RAB!$F$14:$F$89,RAB!$C$14:$C$89,C977)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SUMIFS(RAB!$F$14:$F$89,RAB!$C$14:$C$89,C978)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SUMIFS(RAB!$F$14:$F$89,RAB!$C$14:$C$89,C979)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SUMIFS(RAB!$F$14:$F$89,RAB!$C$14:$C$89,C980)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SUMIFS(RAB!$F$14:$F$89,RAB!$C$14:$C$89,C981)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SUMIFS(RAB!$F$14:$F$89,RAB!$C$14:$C$89,C982)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SUMIFS(RAB!$F$14:$F$89,RAB!$C$14:$C$89,C983)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SUMIFS(RAB!$F$14:$F$89,RAB!$C$14:$C$89,C984)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SUMIFS(RAB!$F$14:$F$89,RAB!$C$14:$C$89,C985)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SUMIFS(RAB!$F$14:$F$89,RAB!$C$14:$C$89,C986)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SUMIFS(RAB!$F$14:$F$89,RAB!$C$14:$C$89,C987)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SUMIFS(RAB!$F$14:$F$89,RAB!$C$14:$C$89,C988)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SUMIFS(RAB!$F$14:$F$89,RAB!$C$14:$C$89,C989)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SUMIFS(RAB!$F$14:$F$89,RAB!$C$14:$C$89,C990)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SUMIFS(RAB!$F$14:$F$89,RAB!$C$14:$C$89,C991)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SUMIFS(RAB!$F$14:$F$89,RAB!$C$14:$C$89,C992)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SUMIFS(RAB!$F$14:$F$89,RAB!$C$14:$C$89,C993)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SUMIFS(RAB!$F$14:$F$89,RAB!$C$14:$C$89,C994)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SUMIFS(RAB!$F$14:$F$89,RAB!$C$14:$C$89,C995)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SUMIFS(RAB!$F$14:$F$89,RAB!$C$14:$C$89,C996)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SUMIFS(RAB!$F$14:$F$89,RAB!$C$14:$C$89,C997)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SUMIFS(RAB!$F$14:$F$89,RAB!$C$14:$C$89,C998)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SUMIFS(RAB!$F$14:$F$89,RAB!$C$14:$C$89,C999)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SUMIFS(RAB!$F$14:$F$89,RAB!$C$14:$C$89,C1000)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SUMIFS(RAB!$F$14:$F$89,RAB!$C$14:$C$89,C1001)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SUMIFS(RAB!$F$14:$F$89,RAB!$C$14:$C$89,C1002)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SUMIFS(RAB!$F$14:$F$89,RAB!$C$14:$C$89,C1003)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SUMIFS(RAB!$F$14:$F$89,RAB!$C$14:$C$89,C1004)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SUMIFS(RAB!$F$14:$F$89,RAB!$C$14:$C$89,C1005)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SUMIFS(RAB!$F$14:$F$89,RAB!$C$14:$C$89,C1006)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SUMIFS(RAB!$F$14:$F$89,RAB!$C$14:$C$89,C1007)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SUMIFS(RAB!$F$14:$F$89,RAB!$C$14:$C$89,C1008)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SUMIFS(RAB!$F$14:$F$89,RAB!$C$14:$C$89,C1009)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SUMIFS(RAB!$F$14:$F$89,RAB!$C$14:$C$89,C1010)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SUMIFS(RAB!$F$14:$F$89,RAB!$C$14:$C$89,C1011)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SUMIFS(RAB!$F$14:$F$89,RAB!$C$14:$C$89,C1012)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SUMIFS(RAB!$F$14:$F$89,RAB!$C$14:$C$89,C1013)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SUMIFS(RAB!$F$14:$F$89,RAB!$C$14:$C$89,C1014)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SUMIFS(RAB!$F$14:$F$89,RAB!$C$14:$C$89,C1015)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SUMIFS(RAB!$F$14:$F$89,RAB!$C$14:$C$89,C1016)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SUMIFS(RAB!$F$14:$F$89,RAB!$C$14:$C$89,C1017)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SUMIFS(RAB!$F$14:$F$89,RAB!$C$14:$C$89,C1018)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SUMIFS(RAB!$F$14:$F$89,RAB!$C$14:$C$89,C1019)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SUMIFS(RAB!$F$14:$F$89,RAB!$C$14:$C$89,C1020)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SUMIFS(RAB!$F$14:$F$89,RAB!$C$14:$C$89,C1021)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SUMIFS(RAB!$F$14:$F$89,RAB!$C$14:$C$89,C1022)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SUMIFS(RAB!$F$14:$F$89,RAB!$C$14:$C$89,C1023)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SUMIFS(RAB!$F$14:$F$89,RAB!$C$14:$C$89,C1024)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SUMIFS(RAB!$F$14:$F$89,RAB!$C$14:$C$89,C1025)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SUMIFS(RAB!$F$14:$F$89,RAB!$C$14:$C$89,C1026)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SUMIFS(RAB!$F$14:$F$89,RAB!$C$14:$C$89,C1027)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SUMIFS(RAB!$F$14:$F$89,RAB!$C$14:$C$89,C1028)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SUMIFS(RAB!$F$14:$F$89,RAB!$C$14:$C$89,C1029)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SUMIFS(RAB!$F$14:$F$89,RAB!$C$14:$C$89,C1030)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SUMIFS(RAB!$F$14:$F$89,RAB!$C$14:$C$89,C1031)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SUMIFS(RAB!$F$14:$F$89,RAB!$C$14:$C$89,C1032)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SUMIFS(RAB!$F$14:$F$89,RAB!$C$14:$C$89,C1033)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SUMIFS(RAB!$F$14:$F$89,RAB!$C$14:$C$89,C1034)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SUMIFS(RAB!$F$14:$F$89,RAB!$C$14:$C$89,C1035)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SUMIFS(RAB!$F$14:$F$89,RAB!$C$14:$C$89,C1036)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SUMIFS(RAB!$F$14:$F$89,RAB!$C$14:$C$89,C1037)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SUMIFS(RAB!$F$14:$F$89,RAB!$C$14:$C$89,C1038)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SUMIFS(RAB!$F$14:$F$89,RAB!$C$14:$C$89,C1039)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SUMIFS(RAB!$F$14:$F$89,RAB!$C$14:$C$89,C1040)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SUMIFS(RAB!$F$14:$F$89,RAB!$C$14:$C$89,C1041)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SUMIFS(RAB!$F$14:$F$89,RAB!$C$14:$C$89,C1042)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SUMIFS(RAB!$F$14:$F$89,RAB!$C$14:$C$89,C1043)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SUMIFS(RAB!$F$14:$F$89,RAB!$C$14:$C$89,C1044)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SUMIFS(RAB!$F$14:$F$89,RAB!$C$14:$C$89,C1045)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SUMIFS(RAB!$F$14:$F$89,RAB!$C$14:$C$89,C1046)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SUMIFS(RAB!$F$14:$F$89,RAB!$C$14:$C$89,C1047)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SUMIFS(RAB!$F$14:$F$89,RAB!$C$14:$C$89,C1048)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SUMIFS(RAB!$F$14:$F$89,RAB!$C$14:$C$89,C1049)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SUMIFS(RAB!$F$14:$F$89,RAB!$C$14:$C$89,C1050)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SUMIFS(RAB!$F$14:$F$89,RAB!$C$14:$C$89,C1051)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SUMIFS(RAB!$F$14:$F$89,RAB!$C$14:$C$89,C1052)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SUMIFS(RAB!$F$14:$F$89,RAB!$C$14:$C$89,C1053)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SUMIFS(RAB!$F$14:$F$89,RAB!$C$14:$C$89,C1054)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SUMIFS(RAB!$F$14:$F$89,RAB!$C$14:$C$89,C1055)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SUMIFS(RAB!$F$14:$F$89,RAB!$C$14:$C$89,C1056)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SUMIFS(RAB!$F$14:$F$89,RAB!$C$14:$C$89,C1057)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SUMIFS(RAB!$F$14:$F$89,RAB!$C$14:$C$89,C1058)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SUMIFS(RAB!$F$14:$F$89,RAB!$C$14:$C$89,C1059)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SUMIFS(RAB!$F$14:$F$89,RAB!$C$14:$C$89,C1060)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SUMIFS(RAB!$F$14:$F$89,RAB!$C$14:$C$89,C1061)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SUMIFS(RAB!$F$14:$F$89,RAB!$C$14:$C$89,C1062)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SUMIFS(RAB!$F$14:$F$89,RAB!$C$14:$C$89,C1063)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SUMIFS(RAB!$F$14:$F$89,RAB!$C$14:$C$89,C1064)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SUMIFS(RAB!$F$14:$F$89,RAB!$C$14:$C$89,C1065)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SUMIFS(RAB!$F$14:$F$89,RAB!$C$14:$C$89,C1066)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SUMIFS(RAB!$F$14:$F$89,RAB!$C$14:$C$89,C1067)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SUMIFS(RAB!$F$14:$F$89,RAB!$C$14:$C$89,C1068)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SUMIFS(RAB!$F$14:$F$89,RAB!$C$14:$C$89,C1069)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SUMIFS(RAB!$F$14:$F$89,RAB!$C$14:$C$89,C1070)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SUMIFS(RAB!$F$14:$F$89,RAB!$C$14:$C$89,C1071)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SUMIFS(RAB!$F$14:$F$89,RAB!$C$14:$C$89,C1072)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SUMIFS(RAB!$F$14:$F$89,RAB!$C$14:$C$89,C1073)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SUMIFS(RAB!$F$14:$F$89,RAB!$C$14:$C$89,C1074)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SUMIFS(RAB!$F$14:$F$89,RAB!$C$14:$C$89,C1075)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SUMIFS(RAB!$F$14:$F$89,RAB!$C$14:$C$89,C1076)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SUMIFS(RAB!$F$14:$F$89,RAB!$C$14:$C$89,C1077)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SUMIFS(RAB!$F$14:$F$89,RAB!$C$14:$C$89,C1078)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SUMIFS(RAB!$F$14:$F$89,RAB!$C$14:$C$89,C1079)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SUMIFS(RAB!$F$14:$F$89,RAB!$C$14:$C$89,C1080)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SUMIFS(RAB!$F$14:$F$89,RAB!$C$14:$C$89,C1081)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SUMIFS(RAB!$F$14:$F$89,RAB!$C$14:$C$89,C1082)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SUMIFS(RAB!$F$14:$F$89,RAB!$C$14:$C$89,C1083)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SUMIFS(RAB!$F$14:$F$89,RAB!$C$14:$C$89,C1084)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SUMIFS(RAB!$F$14:$F$89,RAB!$C$14:$C$89,C1085)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SUMIFS(RAB!$F$14:$F$89,RAB!$C$14:$C$89,C1086)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SUMIFS(RAB!$F$14:$F$89,RAB!$C$14:$C$89,C1087)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SUMIFS(RAB!$F$14:$F$89,RAB!$C$14:$C$89,C1088)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SUMIFS(RAB!$F$14:$F$89,RAB!$C$14:$C$89,C1089)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SUMIFS(RAB!$F$14:$F$89,RAB!$C$14:$C$89,C1090)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SUMIFS(RAB!$F$14:$F$89,RAB!$C$14:$C$89,C1091)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SUMIFS(RAB!$F$14:$F$89,RAB!$C$14:$C$89,C1092)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SUMIFS(RAB!$F$14:$F$89,RAB!$C$14:$C$89,C1093)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SUMIFS(RAB!$F$14:$F$89,RAB!$C$14:$C$89,C1094)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SUMIFS(RAB!$F$14:$F$89,RAB!$C$14:$C$89,C1095)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SUMIFS(RAB!$F$14:$F$89,RAB!$C$14:$C$89,C1096)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SUMIFS(RAB!$F$14:$F$89,RAB!$C$14:$C$89,C1097)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SUMIFS(RAB!$F$14:$F$89,RAB!$C$14:$C$89,C1098)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SUMIFS(RAB!$F$14:$F$89,RAB!$C$14:$C$89,C1099)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SUMIFS(RAB!$F$14:$F$89,RAB!$C$14:$C$89,C1100)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SUMIFS(RAB!$F$14:$F$89,RAB!$C$14:$C$89,C1101)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SUMIFS(RAB!$F$14:$F$89,RAB!$C$14:$C$89,C1102)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SUMIFS(RAB!$F$14:$F$89,RAB!$C$14:$C$89,C1103)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SUMIFS(RAB!$F$14:$F$89,RAB!$C$14:$C$89,C1104)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SUMIFS(RAB!$F$14:$F$89,RAB!$C$14:$C$89,C1105)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SUMIFS(RAB!$F$14:$F$89,RAB!$C$14:$C$89,C1106)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SUMIFS(RAB!$F$14:$F$89,RAB!$C$14:$C$89,C1107)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SUMIFS(RAB!$F$14:$F$89,RAB!$C$14:$C$89,C1108)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SUMIFS(RAB!$F$14:$F$89,RAB!$C$14:$C$89,C1109)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SUMIFS(RAB!$F$14:$F$89,RAB!$C$14:$C$89,C1110)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SUMIFS(RAB!$F$14:$F$89,RAB!$C$14:$C$89,C1111)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SUMIFS(RAB!$F$14:$F$89,RAB!$C$14:$C$89,C1112)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SUMIFS(RAB!$F$14:$F$89,RAB!$C$14:$C$89,C1113)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SUMIFS(RAB!$F$14:$F$89,RAB!$C$14:$C$89,C1114)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SUMIFS(RAB!$F$14:$F$89,RAB!$C$14:$C$89,C1115)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SUMIFS(RAB!$F$14:$F$89,RAB!$C$14:$C$89,C1116)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SUMIFS(RAB!$F$14:$F$89,RAB!$C$14:$C$89,C1117)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SUMIFS(RAB!$F$14:$F$89,RAB!$C$14:$C$89,C1118)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SUMIFS(RAB!$F$14:$F$89,RAB!$C$14:$C$89,C1119)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SUMIFS(RAB!$F$14:$F$89,RAB!$C$14:$C$89,C1120)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SUMIFS(RAB!$F$14:$F$89,RAB!$C$14:$C$89,C1121)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SUMIFS(RAB!$F$14:$F$89,RAB!$C$14:$C$89,C1122)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SUMIFS(RAB!$F$14:$F$89,RAB!$C$14:$C$89,C1123)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SUMIFS(RAB!$F$14:$F$89,RAB!$C$14:$C$89,C1124)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SUMIFS(RAB!$F$14:$F$89,RAB!$C$14:$C$89,C1125)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SUMIFS(RAB!$F$14:$F$89,RAB!$C$14:$C$89,C1126)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SUMIFS(RAB!$F$14:$F$89,RAB!$C$14:$C$89,C1127)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SUMIFS(RAB!$F$14:$F$89,RAB!$C$14:$C$89,C1128)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SUMIFS(RAB!$F$14:$F$89,RAB!$C$14:$C$89,C1129)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SUMIFS(RAB!$F$14:$F$89,RAB!$C$14:$C$89,C1130)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SUMIFS(RAB!$F$14:$F$89,RAB!$C$14:$C$89,C1131)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SUMIFS(RAB!$F$14:$F$89,RAB!$C$14:$C$89,C1132)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SUMIFS(RAB!$F$14:$F$89,RAB!$C$14:$C$89,C1133)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SUMIFS(RAB!$F$14:$F$89,RAB!$C$14:$C$89,C1134)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SUMIFS(RAB!$F$14:$F$89,RAB!$C$14:$C$89,C1135)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SUMIFS(RAB!$F$14:$F$89,RAB!$C$14:$C$89,C1136)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SUMIFS(RAB!$F$14:$F$89,RAB!$C$14:$C$89,C1137)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SUMIFS(RAB!$F$14:$F$89,RAB!$C$14:$C$89,C1138)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SUMIFS(RAB!$F$14:$F$89,RAB!$C$14:$C$89,C1139)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SUMIFS(RAB!$F$14:$F$89,RAB!$C$14:$C$89,C1140)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SUMIFS(RAB!$F$14:$F$89,RAB!$C$14:$C$89,C1141)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SUMIFS(RAB!$F$14:$F$89,RAB!$C$14:$C$89,C1142)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SUMIFS(RAB!$F$14:$F$89,RAB!$C$14:$C$89,C1143)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SUMIFS(RAB!$F$14:$F$89,RAB!$C$14:$C$89,C1144)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SUMIFS(RAB!$F$14:$F$89,RAB!$C$14:$C$89,C1145)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SUMIFS(RAB!$F$14:$F$89,RAB!$C$14:$C$89,C1146)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SUMIFS(RAB!$F$14:$F$89,RAB!$C$14:$C$89,C1147)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SUMIFS(RAB!$F$14:$F$89,RAB!$C$14:$C$89,C1148)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SUMIFS(RAB!$F$14:$F$89,RAB!$C$14:$C$89,C1149)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SUMIFS(RAB!$F$14:$F$89,RAB!$C$14:$C$89,C1150)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SUMIFS(RAB!$F$14:$F$89,RAB!$C$14:$C$89,C1151)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SUMIFS(RAB!$F$14:$F$89,RAB!$C$14:$C$89,C1152)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SUMIFS(RAB!$F$14:$F$89,RAB!$C$14:$C$89,C1153)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SUMIFS(RAB!$F$14:$F$89,RAB!$C$14:$C$89,C1154)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SUMIFS(RAB!$F$14:$F$89,RAB!$C$14:$C$89,C1155)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SUMIFS(RAB!$F$14:$F$89,RAB!$C$14:$C$89,C1156)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SUMIFS(RAB!$F$14:$F$89,RAB!$C$14:$C$89,C1157)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SUMIFS(RAB!$F$14:$F$89,RAB!$C$14:$C$89,C1158)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SUMIFS(RAB!$F$14:$F$89,RAB!$C$14:$C$89,C1159)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SUMIFS(RAB!$F$14:$F$89,RAB!$C$14:$C$89,C1160)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SUMIFS(RAB!$F$14:$F$89,RAB!$C$14:$C$89,C1161)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SUMIFS(RAB!$F$14:$F$89,RAB!$C$14:$C$89,C1162)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SUMIFS(RAB!$F$14:$F$89,RAB!$C$14:$C$89,C1163)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SUMIFS(RAB!$F$14:$F$89,RAB!$C$14:$C$89,C1164)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SUMIFS(RAB!$F$14:$F$89,RAB!$C$14:$C$89,C1165)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SUMIFS(RAB!$F$14:$F$89,RAB!$C$14:$C$89,C1166)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SUMIFS(RAB!$F$14:$F$89,RAB!$C$14:$C$89,C1167)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SUMIFS(RAB!$F$14:$F$89,RAB!$C$14:$C$89,C1168)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SUMIFS(RAB!$F$14:$F$89,RAB!$C$14:$C$89,C1169)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SUMIFS(RAB!$F$14:$F$89,RAB!$C$14:$C$89,C1170)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SUMIFS(RAB!$F$14:$F$89,RAB!$C$14:$C$89,C1171)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SUMIFS(RAB!$F$14:$F$89,RAB!$C$14:$C$89,C1172)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SUMIFS(RAB!$F$14:$F$89,RAB!$C$14:$C$89,C1173)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SUMIFS(RAB!$F$14:$F$89,RAB!$C$14:$C$89,C1174)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SUMIFS(RAB!$F$14:$F$89,RAB!$C$14:$C$89,C1175)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SUMIFS(RAB!$F$14:$F$89,RAB!$C$14:$C$89,C1176)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SUMIFS(RAB!$F$14:$F$89,RAB!$C$14:$C$89,C1177)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SUMIFS(RAB!$F$14:$F$89,RAB!$C$14:$C$89,C1178)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SUMIFS(RAB!$F$14:$F$89,RAB!$C$14:$C$89,C1179)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SUMIFS(RAB!$F$14:$F$89,RAB!$C$14:$C$89,C1180)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SUMIFS(RAB!$F$14:$F$89,RAB!$C$14:$C$89,C1181)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SUMIFS(RAB!$F$14:$F$89,RAB!$C$14:$C$89,C1182)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SUMIFS(RAB!$F$14:$F$89,RAB!$C$14:$C$89,C1183)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SUMIFS(RAB!$F$14:$F$89,RAB!$C$14:$C$89,C1184)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SUMIFS(RAB!$F$14:$F$89,RAB!$C$14:$C$89,C1185)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SUMIFS(RAB!$F$14:$F$89,RAB!$C$14:$C$89,C1186)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SUMIFS(RAB!$F$14:$F$89,RAB!$C$14:$C$89,C1187)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SUMIFS(RAB!$F$14:$F$89,RAB!$C$14:$C$89,C1188)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SUMIFS(RAB!$F$14:$F$89,RAB!$C$14:$C$89,C1189)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SUMIFS(RAB!$F$14:$F$89,RAB!$C$14:$C$89,C1190)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SUMIFS(RAB!$F$14:$F$89,RAB!$C$14:$C$89,C1191)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SUMIFS(RAB!$F$14:$F$89,RAB!$C$14:$C$89,C1192)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SUMIFS(RAB!$F$14:$F$89,RAB!$C$14:$C$89,C1193)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SUMIFS(RAB!$F$14:$F$89,RAB!$C$14:$C$89,C1194)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SUMIFS(RAB!$F$14:$F$89,RAB!$C$14:$C$89,C1195)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SUMIFS(RAB!$F$14:$F$89,RAB!$C$14:$C$89,C1196)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SUMIFS(RAB!$F$14:$F$89,RAB!$C$14:$C$89,C1197)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SUMIFS(RAB!$F$14:$F$89,RAB!$C$14:$C$89,C1198)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SUMIFS(RAB!$F$14:$F$89,RAB!$C$14:$C$89,C1199)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SUMIFS(RAB!$F$14:$F$89,RAB!$C$14:$C$89,C1200)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SUMIFS(RAB!$F$14:$F$89,RAB!$C$14:$C$89,C1201)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SUMIFS(RAB!$F$14:$F$89,RAB!$C$14:$C$89,C1202)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SUMIFS(RAB!$F$14:$F$89,RAB!$C$14:$C$89,C1203)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SUMIFS(RAB!$F$14:$F$89,RAB!$C$14:$C$89,C1204)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SUMIFS(RAB!$F$14:$F$89,RAB!$C$14:$C$89,C1205)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SUMIFS(RAB!$F$14:$F$89,RAB!$C$14:$C$89,C1206)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SUMIFS(RAB!$F$14:$F$89,RAB!$C$14:$C$89,C1207)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SUMIFS(RAB!$F$14:$F$89,RAB!$C$14:$C$89,C1208)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SUMIFS(RAB!$F$14:$F$89,RAB!$C$14:$C$89,C1209)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SUMIFS(RAB!$F$14:$F$89,RAB!$C$14:$C$89,C1210)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SUMIFS(RAB!$F$14:$F$89,RAB!$C$14:$C$89,C1211)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SUMIFS(RAB!$F$14:$F$89,RAB!$C$14:$C$89,C1212)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SUMIFS(RAB!$F$14:$F$89,RAB!$C$14:$C$89,C1213)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SUMIFS(RAB!$F$14:$F$89,RAB!$C$14:$C$89,C1214)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SUMIFS(RAB!$F$14:$F$89,RAB!$C$14:$C$89,C1215)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SUMIFS(RAB!$F$14:$F$89,RAB!$C$14:$C$89,C1216)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SUMIFS(RAB!$F$14:$F$89,RAB!$C$14:$C$89,C1217)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SUMIFS(RAB!$F$14:$F$89,RAB!$C$14:$C$89,C1218)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SUMIFS(RAB!$F$14:$F$89,RAB!$C$14:$C$89,C1219)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SUMIFS(RAB!$F$14:$F$89,RAB!$C$14:$C$89,C1220)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SUMIFS(RAB!$F$14:$F$89,RAB!$C$14:$C$89,C1221)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SUMIFS(RAB!$F$14:$F$89,RAB!$C$14:$C$89,C1222)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SUMIFS(RAB!$F$14:$F$89,RAB!$C$14:$C$89,C1223)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SUMIFS(RAB!$F$14:$F$89,RAB!$C$14:$C$89,C1224)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SUMIFS(RAB!$F$14:$F$89,RAB!$C$14:$C$89,C1225)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SUMIFS(RAB!$F$14:$F$89,RAB!$C$14:$C$89,C1226)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SUMIFS(RAB!$F$14:$F$89,RAB!$C$14:$C$89,C1227)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SUMIFS(RAB!$F$14:$F$89,RAB!$C$14:$C$89,C1228)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SUMIFS(RAB!$F$14:$F$89,RAB!$C$14:$C$89,C1229)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SUMIFS(RAB!$F$14:$F$89,RAB!$C$14:$C$89,C1230)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SUMIFS(RAB!$F$14:$F$89,RAB!$C$14:$C$89,C1231)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SUMIFS(RAB!$F$14:$F$89,RAB!$C$14:$C$89,C1232)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SUMIFS(RAB!$F$14:$F$89,RAB!$C$14:$C$89,C1233)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SUMIFS(RAB!$F$14:$F$89,RAB!$C$14:$C$89,C1234)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SUMIFS(RAB!$F$14:$F$89,RAB!$C$14:$C$89,C1235)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SUMIFS(RAB!$F$14:$F$89,RAB!$C$14:$C$89,C1236)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SUMIFS(RAB!$F$14:$F$89,RAB!$C$14:$C$89,C1237)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SUMIFS(RAB!$F$14:$F$89,RAB!$C$14:$C$89,C1238)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SUMIFS(RAB!$F$14:$F$89,RAB!$C$14:$C$89,C1239)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SUMIFS(RAB!$F$14:$F$89,RAB!$C$14:$C$89,C1240)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SUMIFS(RAB!$F$14:$F$89,RAB!$C$14:$C$89,C1241)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SUMIFS(RAB!$F$14:$F$89,RAB!$C$14:$C$89,C1242)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SUMIFS(RAB!$F$14:$F$89,RAB!$C$14:$C$89,C1243)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SUMIFS(RAB!$F$14:$F$89,RAB!$C$14:$C$89,C1244)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SUMIFS(RAB!$F$14:$F$89,RAB!$C$14:$C$89,C1245)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SUMIFS(RAB!$F$14:$F$89,RAB!$C$14:$C$89,C1246)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SUMIFS(RAB!$F$14:$F$89,RAB!$C$14:$C$89,C1247)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SUMIFS(RAB!$F$14:$F$89,RAB!$C$14:$C$89,C1248)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SUMIFS(RAB!$F$14:$F$89,RAB!$C$14:$C$89,C1249)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SUMIFS(RAB!$F$14:$F$89,RAB!$C$14:$C$89,C1250)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SUMIFS(RAB!$F$14:$F$89,RAB!$C$14:$C$89,C1251)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SUMIFS(RAB!$F$14:$F$89,RAB!$C$14:$C$89,C1252)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SUMIFS(RAB!$F$14:$F$89,RAB!$C$14:$C$89,C1253)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SUMIFS(RAB!$F$14:$F$89,RAB!$C$14:$C$89,C1254)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SUMIFS(RAB!$F$14:$F$89,RAB!$C$14:$C$89,C1255)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SUMIFS(RAB!$F$14:$F$89,RAB!$C$14:$C$89,C1256)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SUMIFS(RAB!$F$14:$F$89,RAB!$C$14:$C$89,C1257)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SUMIFS(RAB!$F$14:$F$89,RAB!$C$14:$C$89,C1258)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SUMIFS(RAB!$F$14:$F$89,RAB!$C$14:$C$89,C1259)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SUMIFS(RAB!$F$14:$F$89,RAB!$C$14:$C$89,C1260)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SUMIFS(RAB!$F$14:$F$89,RAB!$C$14:$C$89,C1261)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SUMIFS(RAB!$F$14:$F$89,RAB!$C$14:$C$89,C1262)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SUMIFS(RAB!$F$14:$F$89,RAB!$C$14:$C$89,C1263)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SUMIFS(RAB!$F$14:$F$89,RAB!$C$14:$C$89,C1264)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SUMIFS(RAB!$F$14:$F$89,RAB!$C$14:$C$89,C1265)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SUMIFS(RAB!$F$14:$F$89,RAB!$C$14:$C$89,C1266)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SUMIFS(RAB!$F$14:$F$89,RAB!$C$14:$C$89,C1267)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SUMIFS(RAB!$F$14:$F$89,RAB!$C$14:$C$89,C1268)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SUMIFS(RAB!$F$14:$F$89,RAB!$C$14:$C$89,C1269)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SUMIFS(RAB!$F$14:$F$89,RAB!$C$14:$C$89,C1270)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SUMIFS(RAB!$F$14:$F$89,RAB!$C$14:$C$89,C1271)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SUMIFS(RAB!$F$14:$F$89,RAB!$C$14:$C$89,C1272)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SUMIFS(RAB!$F$14:$F$89,RAB!$C$14:$C$89,C1273)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SUMIFS(RAB!$F$14:$F$89,RAB!$C$14:$C$89,C1274)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SUMIFS(RAB!$F$14:$F$89,RAB!$C$14:$C$89,C1275)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SUMIFS(RAB!$F$14:$F$89,RAB!$C$14:$C$89,C1276)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SUMIFS(RAB!$F$14:$F$89,RAB!$C$14:$C$89,C1277)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SUMIFS(RAB!$F$14:$F$89,RAB!$C$14:$C$89,C1278)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SUMIFS(RAB!$F$14:$F$89,RAB!$C$14:$C$89,C1279)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SUMIFS(RAB!$F$14:$F$89,RAB!$C$14:$C$89,C1280)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SUMIFS(RAB!$F$14:$F$89,RAB!$C$14:$C$89,C1281)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SUMIFS(RAB!$F$14:$F$89,RAB!$C$14:$C$89,C1282)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SUMIFS(RAB!$F$14:$F$89,RAB!$C$14:$C$89,C1283)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SUMIFS(RAB!$F$14:$F$89,RAB!$C$14:$C$89,C1284)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SUMIFS(RAB!$F$14:$F$89,RAB!$C$14:$C$89,C1285)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SUMIFS(RAB!$F$14:$F$89,RAB!$C$14:$C$89,C1286)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SUMIFS(RAB!$F$14:$F$89,RAB!$C$14:$C$89,C1287)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SUMIFS(RAB!$F$14:$F$89,RAB!$C$14:$C$89,C1288)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SUMIFS(RAB!$F$14:$F$89,RAB!$C$14:$C$89,C1289)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SUMIFS(RAB!$F$14:$F$89,RAB!$C$14:$C$89,C1290)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SUMIFS(RAB!$F$14:$F$89,RAB!$C$14:$C$89,C1291)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SUMIFS(RAB!$F$14:$F$89,RAB!$C$14:$C$89,C1292)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SUMIFS(RAB!$F$14:$F$89,RAB!$C$14:$C$89,C1293)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SUMIFS(RAB!$F$14:$F$89,RAB!$C$14:$C$89,C1294)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SUMIFS(RAB!$F$14:$F$89,RAB!$C$14:$C$89,C1295)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SUMIFS(RAB!$F$14:$F$89,RAB!$C$14:$C$89,C1296)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SUMIFS(RAB!$F$14:$F$89,RAB!$C$14:$C$89,C1297)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SUMIFS(RAB!$F$14:$F$89,RAB!$C$14:$C$89,C1298)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SUMIFS(RAB!$F$14:$F$89,RAB!$C$14:$C$89,C1299)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SUMIFS(RAB!$F$14:$F$89,RAB!$C$14:$C$89,C1300)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SUMIFS(RAB!$F$14:$F$89,RAB!$C$14:$C$89,C1301)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SUMIFS(RAB!$F$14:$F$89,RAB!$C$14:$C$89,C1302)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SUMIFS(RAB!$F$14:$F$89,RAB!$C$14:$C$89,C1303)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SUMIFS(RAB!$F$14:$F$89,RAB!$C$14:$C$89,C1304)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SUMIFS(RAB!$F$14:$F$89,RAB!$C$14:$C$89,C1305)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SUMIFS(RAB!$F$14:$F$89,RAB!$C$14:$C$89,C1306)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SUMIFS(RAB!$F$14:$F$89,RAB!$C$14:$C$89,C1307)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SUMIFS(RAB!$F$14:$F$89,RAB!$C$14:$C$89,C1308)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SUMIFS(RAB!$F$14:$F$89,RAB!$C$14:$C$89,C1309)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SUMIFS(RAB!$F$14:$F$89,RAB!$C$14:$C$89,C1310)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SUMIFS(RAB!$F$14:$F$89,RAB!$C$14:$C$89,C1311)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SUMIFS(RAB!$F$14:$F$89,RAB!$C$14:$C$89,C1312)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SUMIFS(RAB!$F$14:$F$89,RAB!$C$14:$C$89,C1313)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SUMIFS(RAB!$F$14:$F$89,RAB!$C$14:$C$89,C1314)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SUMIFS(RAB!$F$14:$F$89,RAB!$C$14:$C$89,C1315)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SUMIFS(RAB!$F$14:$F$89,RAB!$C$14:$C$89,C1316)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SUMIFS(RAB!$F$14:$F$89,RAB!$C$14:$C$89,C1317)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SUMIFS(RAB!$F$14:$F$89,RAB!$C$14:$C$89,C1318)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SUMIFS(RAB!$F$14:$F$89,RAB!$C$14:$C$89,C1319)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SUMIFS(RAB!$F$14:$F$89,RAB!$C$14:$C$89,C1320)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1" priority="5" operator="equal">
      <formula>0</formula>
    </cfRule>
  </conditionalFormatting>
  <conditionalFormatting sqref="A10:L65536">
    <cfRule type="cellIs" dxfId="50" priority="1" operator="equal">
      <formula>0</formula>
    </cfRule>
  </conditionalFormatting>
  <conditionalFormatting sqref="C12:C711">
    <cfRule type="cellIs" dxfId="49" priority="66" stopIfTrue="1" operator="equal">
      <formula>0</formula>
    </cfRule>
  </conditionalFormatting>
  <conditionalFormatting sqref="E712:E65536">
    <cfRule type="cellIs" dxfId="48" priority="16" stopIfTrue="1" operator="equal">
      <formula>0</formula>
    </cfRule>
  </conditionalFormatting>
  <conditionalFormatting sqref="G1:G11 E6:E11 E1:E3 H7 H10:H11 F10:F711 G712:G65536">
    <cfRule type="cellIs" dxfId="47" priority="69" stopIfTrue="1" operator="equal">
      <formula>0</formula>
    </cfRule>
  </conditionalFormatting>
  <conditionalFormatting sqref="G12:H711">
    <cfRule type="cellIs" dxfId="46" priority="12" stopIfTrue="1" operator="equal">
      <formula>0</formula>
    </cfRule>
  </conditionalFormatting>
  <conditionalFormatting sqref="I7:K7">
    <cfRule type="cellIs" dxfId="45" priority="4" stopIfTrue="1" operator="equal">
      <formula>0</formula>
    </cfRule>
  </conditionalFormatting>
  <conditionalFormatting sqref="I10:L711">
    <cfRule type="cellIs" dxfId="44" priority="2" stopIfTrue="1" operator="equal">
      <formula>0</formula>
    </cfRule>
  </conditionalFormatting>
  <conditionalFormatting sqref="L1:L6">
    <cfRule type="cellIs" dxfId="43" priority="10" operator="equal">
      <formula>0</formula>
    </cfRule>
  </conditionalFormatting>
  <conditionalFormatting sqref="M1:IV1048576 A8:G9">
    <cfRule type="cellIs" dxfId="4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4" t="s">
        <v>1127</v>
      </c>
      <c r="C4" s="534"/>
      <c r="D4" s="534"/>
      <c r="E4" s="534"/>
      <c r="F4" s="534"/>
      <c r="G4" s="534"/>
      <c r="H4" s="534"/>
      <c r="I4" s="534"/>
      <c r="J4" s="534"/>
      <c r="K4" s="53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8" t="str">
        <f>RAB!G6</f>
        <v>KOS JOKO PRABOWO</v>
      </c>
      <c r="H6" s="558"/>
      <c r="I6" s="558"/>
      <c r="J6" s="558"/>
      <c r="K6" s="55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JOGOLOYO, KEC WONOSALAM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5" t="s">
        <v>0</v>
      </c>
      <c r="C11" s="537" t="s">
        <v>1</v>
      </c>
      <c r="D11" s="540" t="s">
        <v>42</v>
      </c>
      <c r="E11" s="540" t="s">
        <v>43</v>
      </c>
      <c r="F11" s="540" t="s">
        <v>2</v>
      </c>
      <c r="G11" s="542" t="s">
        <v>41</v>
      </c>
      <c r="H11" s="540" t="s">
        <v>3</v>
      </c>
      <c r="I11" s="540"/>
      <c r="J11" s="540"/>
      <c r="K11" s="545"/>
      <c r="M11" s="33"/>
      <c r="N11" s="33"/>
      <c r="O11" s="33"/>
      <c r="P11" s="33"/>
      <c r="R11" s="34"/>
      <c r="S11" s="74"/>
      <c r="T11" s="74"/>
    </row>
    <row r="12" spans="1:21" ht="15" customHeight="1">
      <c r="B12" s="536"/>
      <c r="C12" s="538"/>
      <c r="D12" s="541"/>
      <c r="E12" s="541"/>
      <c r="F12" s="541"/>
      <c r="G12" s="543"/>
      <c r="H12" s="549" t="s">
        <v>46</v>
      </c>
      <c r="I12" s="549" t="s">
        <v>5</v>
      </c>
      <c r="J12" s="541" t="s">
        <v>47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6"/>
      <c r="C13" s="539"/>
      <c r="D13" s="541"/>
      <c r="E13" s="541"/>
      <c r="F13" s="541"/>
      <c r="G13" s="544"/>
      <c r="H13" s="550"/>
      <c r="I13" s="550"/>
      <c r="J13" s="541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6765200</v>
      </c>
      <c r="J16" s="42">
        <f t="shared" ca="1" si="3"/>
        <v>0</v>
      </c>
      <c r="K16" s="43">
        <f t="shared" ca="1" si="0"/>
        <v>6765200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5800000</v>
      </c>
      <c r="H17" s="42">
        <f t="shared" ca="1" si="1"/>
        <v>0</v>
      </c>
      <c r="I17" s="42">
        <f t="shared" ca="1" si="2"/>
        <v>5800000</v>
      </c>
      <c r="J17" s="42">
        <f t="shared" ca="1" si="3"/>
        <v>0</v>
      </c>
      <c r="K17" s="43">
        <f t="shared" ca="1" si="0"/>
        <v>5800000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9" t="s">
        <v>1008</v>
      </c>
      <c r="D38" s="559"/>
      <c r="E38" s="559"/>
      <c r="F38" s="559"/>
      <c r="G38" s="77" t="s">
        <v>9</v>
      </c>
      <c r="H38" s="55">
        <f ca="1">SUM(H14:H37)</f>
        <v>0</v>
      </c>
      <c r="I38" s="55">
        <f ca="1">SUM(I14:I37)</f>
        <v>12565200</v>
      </c>
      <c r="J38" s="55">
        <f ca="1">SUM(J14:J37)</f>
        <v>0</v>
      </c>
      <c r="K38" s="55">
        <f ca="1">SUM(K14:K37)</f>
        <v>12565200</v>
      </c>
      <c r="L38" s="44"/>
      <c r="R38" s="99"/>
      <c r="S38" s="99"/>
      <c r="T38" s="99"/>
    </row>
    <row r="39" spans="1:20" s="36" customFormat="1">
      <c r="A39" s="30"/>
      <c r="B39" s="56"/>
      <c r="C39" s="560" t="s">
        <v>462</v>
      </c>
      <c r="D39" s="560"/>
      <c r="E39" s="560"/>
      <c r="F39" s="560"/>
      <c r="G39" s="59" t="s">
        <v>9</v>
      </c>
      <c r="H39" s="60">
        <f ca="1">H38*0.1</f>
        <v>0</v>
      </c>
      <c r="I39" s="60">
        <f ca="1">I38*0.1</f>
        <v>1256520</v>
      </c>
      <c r="J39" s="60">
        <f ca="1">J38*0.1</f>
        <v>0</v>
      </c>
      <c r="K39" s="60">
        <f ca="1">K38*0.1</f>
        <v>1256520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1" t="s">
        <v>463</v>
      </c>
      <c r="D40" s="551"/>
      <c r="E40" s="551"/>
      <c r="F40" s="551"/>
      <c r="G40" s="61" t="s">
        <v>9</v>
      </c>
      <c r="H40" s="78">
        <f ca="1">SUM(H38:H39)</f>
        <v>0</v>
      </c>
      <c r="I40" s="78">
        <f ca="1">SUM(I38:I39)</f>
        <v>13821720</v>
      </c>
      <c r="J40" s="61">
        <f ca="1">SUM(J38:J39)</f>
        <v>0</v>
      </c>
      <c r="K40" s="61">
        <f ca="1">SUM(K38:K39)</f>
        <v>13821720</v>
      </c>
      <c r="L40" s="44"/>
      <c r="R40" s="99"/>
      <c r="S40" s="99"/>
      <c r="T40" s="99"/>
    </row>
    <row r="41" spans="1:20" s="36" customFormat="1">
      <c r="A41" s="30"/>
      <c r="B41" s="552" t="e">
        <f ca="1">"Terbilang : ( "&amp;L42&amp;" Rupiah )"</f>
        <v>#NAME?</v>
      </c>
      <c r="C41" s="553"/>
      <c r="D41" s="553"/>
      <c r="E41" s="553"/>
      <c r="F41" s="553"/>
      <c r="G41" s="553"/>
      <c r="H41" s="553"/>
      <c r="I41" s="553"/>
      <c r="J41" s="553"/>
      <c r="K41" s="554"/>
      <c r="L41" s="44"/>
      <c r="R41" s="58"/>
      <c r="S41" s="58"/>
      <c r="T41" s="58"/>
    </row>
    <row r="42" spans="1:20" s="36" customFormat="1">
      <c r="A42" s="30"/>
      <c r="B42" s="555"/>
      <c r="C42" s="556"/>
      <c r="D42" s="556"/>
      <c r="E42" s="556"/>
      <c r="F42" s="556"/>
      <c r="G42" s="556"/>
      <c r="H42" s="556"/>
      <c r="I42" s="556"/>
      <c r="J42" s="556"/>
      <c r="K42" s="557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6"/>
      <c r="I45" s="546"/>
      <c r="J45" s="547"/>
      <c r="K45" s="54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6"/>
      <c r="I46" s="546"/>
      <c r="J46" s="547"/>
      <c r="K46" s="54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6"/>
      <c r="I47" s="546"/>
      <c r="J47" s="547"/>
      <c r="K47" s="54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6"/>
      <c r="I52" s="546"/>
      <c r="J52" s="547"/>
      <c r="K52" s="54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SUMIFS(RAB!$F$14:$F$89,RAB!$C$14:$C$89,'REKAP TIANG'!C57)</f>
        <v>2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SUMIFS(RAB!$F$14:$F$89,RAB!$C$14:$C$89,'REKAP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SUMIFS(RAB!$F$14:$F$89,RAB!$C$14:$C$89,'REKAP TIANG'!C59)</f>
        <v>1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SUMIFS(RAB!$F$14:$F$89,RAB!$C$14:$C$89,'REKAP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SUMIFS(RAB!$F$14:$F$89,RAB!$C$14:$C$89,'REKAP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SUMIFS(RAB!$F$14:$F$89,RAB!$C$14:$C$89,'REKAP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SUMIFS(RAB!$F$14:$F$89,RAB!$C$14:$C$89,'REKAP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SUMIFS(RAB!$F$14:$F$89,RAB!$C$14:$C$89,'REKAP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SUMIFS(RAB!$F$14:$F$89,RAB!$C$14:$C$89,'REKAP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SUMIFS(RAB!$F$14:$F$89,RAB!$C$14:$C$89,'REKAP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SUMIFS(RAB!$F$14:$F$89,RAB!$C$14:$C$89,'REKAP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SUMIFS(RAB!$F$14:$F$89,RAB!$C$14:$C$89,'REKAP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SUMIFS(RAB!$F$14:$F$89,RAB!$C$14:$C$89,'REKAP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SUMIFS(RAB!$F$14:$F$89,RAB!$C$14:$C$89,'REKAP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SUMIFS(RAB!$F$14:$F$89,RAB!$C$14:$C$89,'REKAP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SUMIFS(RAB!$F$14:$F$89,RAB!$C$14:$C$89,'REKAP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SUMIFS(RAB!$F$14:$F$89,RAB!$C$14:$C$89,'REKAP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SUMIFS(RAB!$F$14:$F$89,RAB!$C$14:$C$89,'REKAP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SUMIFS(RAB!$F$14:$F$89,RAB!$C$14:$C$89,'REKAP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SUMIFS(RAB!$F$14:$F$89,RAB!$C$14:$C$89,'REKAP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4" t="s">
        <v>1034</v>
      </c>
      <c r="C4" s="534"/>
      <c r="D4" s="534"/>
      <c r="E4" s="534"/>
      <c r="F4" s="534"/>
      <c r="G4" s="534"/>
      <c r="H4" s="534"/>
      <c r="I4" s="534"/>
      <c r="J4" s="534"/>
      <c r="K4" s="53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8" t="str">
        <f>RAB!G6</f>
        <v>KOS JOKO PRABOWO</v>
      </c>
      <c r="H6" s="558"/>
      <c r="I6" s="558"/>
      <c r="J6" s="558"/>
      <c r="K6" s="55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JOGOLOYO, KEC WONOSALAM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5" t="s">
        <v>0</v>
      </c>
      <c r="C11" s="537" t="s">
        <v>1</v>
      </c>
      <c r="D11" s="540" t="s">
        <v>42</v>
      </c>
      <c r="E11" s="540" t="s">
        <v>43</v>
      </c>
      <c r="F11" s="540" t="s">
        <v>2</v>
      </c>
      <c r="G11" s="542" t="s">
        <v>41</v>
      </c>
      <c r="H11" s="540" t="s">
        <v>3</v>
      </c>
      <c r="I11" s="540"/>
      <c r="J11" s="540"/>
      <c r="K11" s="545"/>
      <c r="M11" s="33"/>
      <c r="N11" s="33"/>
      <c r="O11" s="33"/>
      <c r="P11" s="33"/>
      <c r="R11" s="34"/>
      <c r="S11" s="74"/>
      <c r="T11" s="74"/>
    </row>
    <row r="12" spans="1:21" ht="15" customHeight="1">
      <c r="B12" s="536"/>
      <c r="C12" s="538"/>
      <c r="D12" s="541"/>
      <c r="E12" s="541"/>
      <c r="F12" s="541"/>
      <c r="G12" s="543"/>
      <c r="H12" s="549" t="s">
        <v>46</v>
      </c>
      <c r="I12" s="549" t="s">
        <v>5</v>
      </c>
      <c r="J12" s="541" t="s">
        <v>47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6"/>
      <c r="C13" s="539"/>
      <c r="D13" s="541"/>
      <c r="E13" s="541"/>
      <c r="F13" s="541"/>
      <c r="G13" s="544"/>
      <c r="H13" s="550"/>
      <c r="I13" s="550"/>
      <c r="J13" s="541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5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1638000</v>
      </c>
      <c r="I16" s="42">
        <f t="shared" ca="1" si="2"/>
        <v>0</v>
      </c>
      <c r="J16" s="42">
        <f t="shared" ca="1" si="3"/>
        <v>0</v>
      </c>
      <c r="K16" s="43">
        <f t="shared" ca="1" si="0"/>
        <v>1638000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5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195000</v>
      </c>
      <c r="I17" s="42">
        <f t="shared" ca="1" si="2"/>
        <v>0</v>
      </c>
      <c r="J17" s="42">
        <f t="shared" ca="1" si="3"/>
        <v>0</v>
      </c>
      <c r="K17" s="43">
        <f t="shared" ca="1" si="0"/>
        <v>195000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2 x 70 + N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150</v>
      </c>
      <c r="G18" s="41">
        <f ca="1">IF(ISERROR(OFFSET('HARGA SATUAN'!$I$6,MATCH(C18,'HARGA SATUAN'!$C$7:$C$1492,0),0)),"",OFFSET('HARGA SATUAN'!$I$6,MATCH(C18,'HARGA SATUAN'!$C$7:$C$1492,0),0))</f>
        <v>53300</v>
      </c>
      <c r="H18" s="42">
        <f t="shared" ca="1" si="1"/>
        <v>7995000</v>
      </c>
      <c r="I18" s="42">
        <f t="shared" ca="1" si="2"/>
        <v>0</v>
      </c>
      <c r="J18" s="42">
        <f t="shared" ca="1" si="3"/>
        <v>0</v>
      </c>
      <c r="K18" s="43">
        <f t="shared" ca="1" si="0"/>
        <v>7995000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100</v>
      </c>
      <c r="G19" s="41">
        <f ca="1">IF(ISERROR(OFFSET('HARGA SATUAN'!$I$6,MATCH(C19,'HARGA SATUAN'!$C$7:$C$1492,0),0)),"",OFFSET('HARGA SATUAN'!$I$6,MATCH(C19,'HARGA SATUAN'!$C$7:$C$1492,0),0))</f>
        <v>4300</v>
      </c>
      <c r="H19" s="42">
        <f t="shared" ca="1" si="1"/>
        <v>430000</v>
      </c>
      <c r="I19" s="42">
        <f t="shared" ca="1" si="2"/>
        <v>0</v>
      </c>
      <c r="J19" s="42">
        <f t="shared" ca="1" si="3"/>
        <v>0</v>
      </c>
      <c r="K19" s="43">
        <f t="shared" ca="1" si="0"/>
        <v>430000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9" t="s">
        <v>1008</v>
      </c>
      <c r="D168" s="559"/>
      <c r="E168" s="559"/>
      <c r="F168" s="559"/>
      <c r="G168" s="77" t="s">
        <v>9</v>
      </c>
      <c r="H168" s="55">
        <f ca="1">SUM(H14:H167)</f>
        <v>10258000</v>
      </c>
      <c r="I168" s="55">
        <f ca="1">SUM(I14:I167)</f>
        <v>0</v>
      </c>
      <c r="J168" s="55">
        <f ca="1">SUM(J14:J167)</f>
        <v>0</v>
      </c>
      <c r="K168" s="55">
        <f ca="1">SUM(K14:K167)</f>
        <v>10258000</v>
      </c>
      <c r="L168" s="44"/>
      <c r="R168" s="99"/>
      <c r="S168" s="99"/>
      <c r="T168" s="99"/>
    </row>
    <row r="169" spans="1:20" s="36" customFormat="1">
      <c r="A169" s="30"/>
      <c r="B169" s="56"/>
      <c r="C169" s="560" t="s">
        <v>462</v>
      </c>
      <c r="D169" s="560"/>
      <c r="E169" s="560"/>
      <c r="F169" s="560"/>
      <c r="G169" s="59" t="s">
        <v>9</v>
      </c>
      <c r="H169" s="60">
        <f ca="1">H168*0.1</f>
        <v>1025800</v>
      </c>
      <c r="I169" s="60">
        <f ca="1">I168*0.1</f>
        <v>0</v>
      </c>
      <c r="J169" s="60">
        <f ca="1">J168*0.1</f>
        <v>0</v>
      </c>
      <c r="K169" s="60">
        <f ca="1">K168*0.1</f>
        <v>1025800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1" t="s">
        <v>463</v>
      </c>
      <c r="D170" s="551"/>
      <c r="E170" s="551"/>
      <c r="F170" s="551"/>
      <c r="G170" s="61" t="s">
        <v>9</v>
      </c>
      <c r="H170" s="78">
        <f ca="1">SUM(H168:H169)</f>
        <v>11283800</v>
      </c>
      <c r="I170" s="78">
        <f ca="1">SUM(I168:I169)</f>
        <v>0</v>
      </c>
      <c r="J170" s="61">
        <f ca="1">SUM(J168:J169)</f>
        <v>0</v>
      </c>
      <c r="K170" s="61">
        <f ca="1">SUM(K168:K169)</f>
        <v>11283800</v>
      </c>
      <c r="L170" s="44"/>
      <c r="R170" s="99"/>
      <c r="S170" s="99"/>
      <c r="T170" s="99"/>
    </row>
    <row r="171" spans="1:20" s="36" customFormat="1">
      <c r="A171" s="30"/>
      <c r="B171" s="552" t="e">
        <f ca="1">"Terbilang : ( "&amp;L172&amp;" Rupiah )"</f>
        <v>#NAME?</v>
      </c>
      <c r="C171" s="553"/>
      <c r="D171" s="553"/>
      <c r="E171" s="553"/>
      <c r="F171" s="553"/>
      <c r="G171" s="553"/>
      <c r="H171" s="553"/>
      <c r="I171" s="553"/>
      <c r="J171" s="553"/>
      <c r="K171" s="554"/>
      <c r="L171" s="44"/>
      <c r="R171" s="58"/>
      <c r="S171" s="58"/>
      <c r="T171" s="58"/>
    </row>
    <row r="172" spans="1:20" s="36" customFormat="1">
      <c r="A172" s="30"/>
      <c r="B172" s="555"/>
      <c r="C172" s="556"/>
      <c r="D172" s="556"/>
      <c r="E172" s="556"/>
      <c r="F172" s="556"/>
      <c r="G172" s="556"/>
      <c r="H172" s="556"/>
      <c r="I172" s="556"/>
      <c r="J172" s="556"/>
      <c r="K172" s="557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6"/>
      <c r="I175" s="546"/>
      <c r="J175" s="547"/>
      <c r="K175" s="54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6"/>
      <c r="I176" s="546"/>
      <c r="J176" s="547"/>
      <c r="K176" s="54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6"/>
      <c r="I177" s="546"/>
      <c r="J177" s="547"/>
      <c r="K177" s="54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6"/>
      <c r="I182" s="546"/>
      <c r="J182" s="547"/>
      <c r="K182" s="54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SUMIFS(RAB!$F$14:$F$89,RAB!$C$14:$C$89,C224)</f>
        <v>5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SUMIFS(RAB!$F$14:$F$89,RAB!$C$14:$C$89,C225)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SUMIFS(RAB!$F$14:$F$89,RAB!$C$14:$C$89,C226)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SUMIFS(RAB!$F$14:$F$89,RAB!$C$14:$C$89,C227)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SUMIFS(RAB!$F$14:$F$89,RAB!$C$14:$C$89,C228)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SUMIFS(RAB!$F$14:$F$89,RAB!$C$14:$C$89,C229)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SUMIFS(RAB!$F$14:$F$89,RAB!$C$14:$C$89,C230)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SUMIFS(RAB!$F$14:$F$89,RAB!$C$14:$C$89,C231)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SUMIFS(RAB!$F$14:$F$89,RAB!$C$14:$C$89,C232)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SUMIFS(RAB!$F$14:$F$89,RAB!$C$14:$C$89,C233)</f>
        <v>5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SUMIFS(RAB!$F$14:$F$89,RAB!$C$14:$C$89,C234)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SUMIFS(RAB!$F$14:$F$89,RAB!$C$14:$C$89,C235)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SUMIFS(RAB!$F$14:$F$89,RAB!$C$14:$C$89,C236)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SUMIFS(RAB!$F$14:$F$89,RAB!$C$14:$C$89,C237)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SUMIFS(RAB!$F$14:$F$89,RAB!$C$14:$C$89,C238)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SUMIFS(RAB!$F$14:$F$89,RAB!$C$14:$C$89,C239)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SUMIFS(RAB!$F$14:$F$89,RAB!$C$14:$C$89,C240)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SUMIFS(RAB!$F$14:$F$89,RAB!$C$14:$C$89,C241)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SUMIFS(RAB!$F$14:$F$89,RAB!$C$14:$C$89,C242)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SUMIFS(RAB!$F$14:$F$89,RAB!$C$14:$C$89,C243)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SUMIFS(RAB!$F$14:$F$89,RAB!$C$14:$C$89,C244)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SUMIFS(RAB!$F$14:$F$89,RAB!$C$14:$C$89,C245)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SUMIFS(RAB!$F$14:$F$89,RAB!$C$14:$C$89,C246)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SUMIFS(RAB!$F$14:$F$89,RAB!$C$14:$C$89,C247)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SUMIFS(RAB!$F$14:$F$89,RAB!$C$14:$C$89,C248)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SUMIFS(RAB!$F$14:$F$89,RAB!$C$14:$C$89,C249)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SUMIFS(RAB!$F$14:$F$89,RAB!$C$14:$C$89,C250)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SUMIFS(RAB!$F$14:$F$89,RAB!$C$14:$C$89,C251)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SUMIFS(RAB!$F$14:$F$89,RAB!$C$14:$C$89,C252)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SUMIFS(RAB!$F$14:$F$89,RAB!$C$14:$C$89,C253)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SUMIFS(RAB!$F$14:$F$89,RAB!$C$14:$C$89,C254)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SUMIFS(RAB!$F$14:$F$89,RAB!$C$14:$C$89,C255)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SUMIFS(RAB!$F$14:$F$89,RAB!$C$14:$C$89,C256)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SUMIFS(RAB!$F$14:$F$89,RAB!$C$14:$C$89,C257)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SUMIFS(RAB!$F$14:$F$89,RAB!$C$14:$C$89,C258)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SUMIFS(RAB!$F$14:$F$89,RAB!$C$14:$C$89,C259)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SUMIFS(RAB!$F$14:$F$89,RAB!$C$14:$C$89,C260)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SUMIFS(RAB!$F$14:$F$89,RAB!$C$14:$C$89,C261)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SUMIFS(RAB!$F$14:$F$89,RAB!$C$14:$C$89,C262)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SUMIFS(RAB!$F$14:$F$89,RAB!$C$14:$C$89,C263)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SUMIFS(RAB!$F$14:$F$89,RAB!$C$14:$C$89,C264)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SUMIFS(RAB!$F$14:$F$89,RAB!$C$14:$C$89,C265)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SUMIFS(RAB!$F$14:$F$89,RAB!$C$14:$C$89,C266)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SUMIFS(RAB!$F$14:$F$89,RAB!$C$14:$C$89,C267)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SUMIFS(RAB!$F$14:$F$89,RAB!$C$14:$C$89,C268)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SUMIFS(RAB!$F$14:$F$89,RAB!$C$14:$C$89,C269)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SUMIFS(RAB!$F$14:$F$89,RAB!$C$14:$C$89,C270)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SUMIFS(RAB!$F$14:$F$89,RAB!$C$14:$C$89,C271)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SUMIFS(RAB!$F$14:$F$89,RAB!$C$14:$C$89,C272)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SUMIFS(RAB!$F$14:$F$89,RAB!$C$14:$C$89,C273)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SUMIFS(RAB!$F$14:$F$89,RAB!$C$14:$C$89,C274)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SUMIFS(RAB!$F$14:$F$89,RAB!$C$14:$C$89,C275)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SUMIFS(RAB!$F$14:$F$89,RAB!$C$14:$C$89,C276)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SUMIFS(RAB!$F$14:$F$89,RAB!$C$14:$C$89,C277)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SUMIFS(RAB!$F$14:$F$89,RAB!$C$14:$C$89,C278)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SUMIFS(RAB!$F$14:$F$89,RAB!$C$14:$C$89,C279)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SUMIFS(RAB!$F$14:$F$89,RAB!$C$14:$C$89,C280)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SUMIFS(RAB!$F$14:$F$89,RAB!$C$14:$C$89,C281)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SUMIFS(RAB!$F$14:$F$89,RAB!$C$14:$C$89,C282)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SUMIFS(RAB!$F$14:$F$89,RAB!$C$14:$C$89,C283)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SUMIFS(RAB!$F$14:$F$89,RAB!$C$14:$C$89,C284)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SUMIFS(RAB!$F$14:$F$89,RAB!$C$14:$C$89,C285)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SUMIFS(RAB!$F$14:$F$89,RAB!$C$14:$C$89,C286)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SUMIFS(RAB!$F$14:$F$89,RAB!$C$14:$C$89,C287)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SUMIFS(RAB!$F$14:$F$89,RAB!$C$14:$C$89,C288)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SUMIFS(RAB!$F$14:$F$89,RAB!$C$14:$C$89,C289)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SUMIFS(RAB!$F$14:$F$89,RAB!$C$14:$C$89,C290)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SUMIFS(RAB!$F$14:$F$89,RAB!$C$14:$C$89,C291)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SUMIFS(RAB!$F$14:$F$89,RAB!$C$14:$C$89,C292)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SUMIFS(RAB!$F$14:$F$89,RAB!$C$14:$C$89,C293)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SUMIFS(RAB!$F$14:$F$89,RAB!$C$14:$C$89,C294)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SUMIFS(RAB!$F$14:$F$89,RAB!$C$14:$C$89,C295)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SUMIFS(RAB!$F$14:$F$89,RAB!$C$14:$C$89,C296)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SUMIFS(RAB!$F$14:$F$89,RAB!$C$14:$C$89,C297)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SUMIFS(RAB!$F$14:$F$89,RAB!$C$14:$C$89,C298)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SUMIFS(RAB!$F$14:$F$89,RAB!$C$14:$C$89,C299)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SUMIFS(RAB!$F$14:$F$89,RAB!$C$14:$C$89,C300)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SUMIFS(RAB!$F$14:$F$89,RAB!$C$14:$C$89,C301)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SUMIFS(RAB!$F$14:$F$89,RAB!$C$14:$C$89,C302)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SUMIFS(RAB!$F$14:$F$89,RAB!$C$14:$C$89,C303)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SUMIFS(RAB!$F$14:$F$89,RAB!$C$14:$C$89,C304)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SUMIFS(RAB!$F$14:$F$89,RAB!$C$14:$C$89,C305)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SUMIFS(RAB!$F$14:$F$89,RAB!$C$14:$C$89,C306)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SUMIFS(RAB!$F$14:$F$89,RAB!$C$14:$C$89,C307)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SUMIFS(RAB!$F$14:$F$89,RAB!$C$14:$C$89,C308)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SUMIFS(RAB!$F$14:$F$89,RAB!$C$14:$C$89,C309)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SUMIFS(RAB!$F$14:$F$89,RAB!$C$14:$C$89,C310)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SUMIFS(RAB!$F$14:$F$89,RAB!$C$14:$C$89,C311)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SUMIFS(RAB!$F$14:$F$89,RAB!$C$14:$C$89,C312)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SUMIFS(RAB!$F$14:$F$89,RAB!$C$14:$C$89,C313)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SUMIFS(RAB!$F$14:$F$89,RAB!$C$14:$C$89,C314)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SUMIFS(RAB!$F$14:$F$89,RAB!$C$14:$C$89,C315)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SUMIFS(RAB!$F$14:$F$89,RAB!$C$14:$C$89,C316)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SUMIFS(RAB!$F$14:$F$89,RAB!$C$14:$C$89,C317)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SUMIFS(RAB!$F$14:$F$89,RAB!$C$14:$C$89,C318)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SUMIFS(RAB!$F$14:$F$89,RAB!$C$14:$C$89,C319)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SUMIFS(RAB!$F$14:$F$89,RAB!$C$14:$C$89,C320)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SUMIFS(RAB!$F$14:$F$89,RAB!$C$14:$C$89,C321)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SUMIFS(RAB!$F$14:$F$89,RAB!$C$14:$C$89,C322)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SUMIFS(RAB!$F$14:$F$89,RAB!$C$14:$C$89,C323)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SUMIFS(RAB!$F$14:$F$89,RAB!$C$14:$C$89,C324)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SUMIFS(RAB!$F$14:$F$89,RAB!$C$14:$C$89,C325)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SUMIFS(RAB!$F$14:$F$89,RAB!$C$14:$C$89,C326)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SUMIFS(RAB!$F$14:$F$89,RAB!$C$14:$C$89,C327)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SUMIFS(RAB!$F$14:$F$89,RAB!$C$14:$C$89,C328)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SUMIFS(RAB!$F$14:$F$89,RAB!$C$14:$C$89,C329)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SUMIFS(RAB!$F$14:$F$89,RAB!$C$14:$C$89,C330)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SUMIFS(RAB!$F$14:$F$89,RAB!$C$14:$C$89,C331)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SUMIFS(RAB!$F$14:$F$89,RAB!$C$14:$C$89,C332)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SUMIFS(RAB!$F$14:$F$89,RAB!$C$14:$C$89,C333)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SUMIFS(RAB!$F$14:$F$89,RAB!$C$14:$C$89,C334)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SUMIFS(RAB!$F$14:$F$89,RAB!$C$14:$C$89,C335)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SUMIFS(RAB!$F$14:$F$89,RAB!$C$14:$C$89,C336)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SUMIFS(RAB!$F$14:$F$89,RAB!$C$14:$C$89,C337)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SUMIFS(RAB!$F$14:$F$89,RAB!$C$14:$C$89,C338)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SUMIFS(RAB!$F$14:$F$89,RAB!$C$14:$C$89,C339)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SUMIFS(RAB!$F$14:$F$89,RAB!$C$14:$C$89,C340)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SUMIFS(RAB!$F$14:$F$89,RAB!$C$14:$C$89,C341)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SUMIFS(RAB!$F$14:$F$89,RAB!$C$14:$C$89,C342)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SUMIFS(RAB!$F$14:$F$89,RAB!$C$14:$C$89,C343)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SUMIFS(RAB!$F$14:$F$89,RAB!$C$14:$C$89,C344)</f>
        <v>150</v>
      </c>
      <c r="E344" s="24">
        <f t="shared" ca="1" si="22"/>
        <v>1</v>
      </c>
      <c r="F344" s="24">
        <f ca="1">IF(D344=0,0,SUM($E$223:E344))</f>
        <v>3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SUMIFS(RAB!$F$14:$F$89,RAB!$C$14:$C$89,C345)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SUMIFS(RAB!$F$14:$F$89,RAB!$C$14:$C$89,C346)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SUMIFS(RAB!$F$14:$F$89,RAB!$C$14:$C$89,C347)</f>
        <v>100</v>
      </c>
      <c r="E347" s="24">
        <f t="shared" ca="1" si="22"/>
        <v>1</v>
      </c>
      <c r="F347" s="24">
        <f ca="1">IF(D347=0,0,SUM($E$223:E347))</f>
        <v>4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SUMIFS(RAB!$F$14:$F$89,RAB!$C$14:$C$89,C348)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SUMIFS(RAB!$F$14:$F$89,RAB!$C$14:$C$89,C349)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SUMIFS(RAB!$F$14:$F$89,RAB!$C$14:$C$89,C350)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SUMIFS(RAB!$F$14:$F$89,RAB!$C$14:$C$89,C351)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SUMIFS(RAB!$F$14:$F$89,RAB!$C$14:$C$89,C352)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SUMIFS(RAB!$F$14:$F$89,RAB!$C$14:$C$89,C353)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SUMIFS(RAB!$F$14:$F$89,RAB!$C$14:$C$89,C354)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SUMIFS(RAB!$F$14:$F$89,RAB!$C$14:$C$89,C355)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SUMIFS(RAB!$F$14:$F$89,RAB!$C$14:$C$89,C356)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SUMIFS(RAB!$F$14:$F$89,RAB!$C$14:$C$89,C357)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SUMIFS(RAB!$F$14:$F$89,RAB!$C$14:$C$89,C358)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SUMIFS(RAB!$F$14:$F$89,RAB!$C$14:$C$89,C359)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SUMIFS(RAB!$F$14:$F$89,RAB!$C$14:$C$89,C360)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SUMIFS(RAB!$F$14:$F$89,RAB!$C$14:$C$89,C361)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SUMIFS(RAB!$F$14:$F$89,RAB!$C$14:$C$89,C362)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SUMIFS(RAB!$F$14:$F$89,RAB!$C$14:$C$89,C363)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SUMIFS(RAB!$F$14:$F$89,RAB!$C$14:$C$89,C364)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SUMIFS(RAB!$F$14:$F$89,RAB!$C$14:$C$89,C365)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SUMIFS(RAB!$F$14:$F$89,RAB!$C$14:$C$89,C366)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SUMIFS(RAB!$F$14:$F$89,RAB!$C$14:$C$89,C367)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SUMIFS(RAB!$F$14:$F$89,RAB!$C$14:$C$89,C368)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SUMIFS(RAB!$F$14:$F$89,RAB!$C$14:$C$89,C369)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SUMIFS(RAB!$F$14:$F$89,RAB!$C$14:$C$89,C370)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SUMIFS(RAB!$F$14:$F$89,RAB!$C$14:$C$89,C371)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SUMIFS(RAB!$F$14:$F$89,RAB!$C$14:$C$89,C372)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SUMIFS(RAB!$F$14:$F$89,RAB!$C$14:$C$89,C373)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9" priority="5" operator="equal">
      <formula>0</formula>
    </cfRule>
  </conditionalFormatting>
  <conditionalFormatting sqref="C16:C165">
    <cfRule type="cellIs" dxfId="38" priority="4" stopIfTrue="1" operator="equal">
      <formula>0</formula>
    </cfRule>
  </conditionalFormatting>
  <conditionalFormatting sqref="C16:E165">
    <cfRule type="cellIs" dxfId="37" priority="1" operator="equal">
      <formula>0</formula>
    </cfRule>
  </conditionalFormatting>
  <conditionalFormatting sqref="D224:F373">
    <cfRule type="cellIs" dxfId="36" priority="8" operator="equal">
      <formula>0</formula>
    </cfRule>
  </conditionalFormatting>
  <conditionalFormatting sqref="E1:E3 G1:G115 E6:E15 H12:I12 N13 F14:F15 H14:K115 E166:K166 G166:G223 E167:F167 H167:K167">
    <cfRule type="cellIs" dxfId="35" priority="43" stopIfTrue="1" operator="equal">
      <formula>0</formula>
    </cfRule>
  </conditionalFormatting>
  <conditionalFormatting sqref="E171:E65536">
    <cfRule type="cellIs" dxfId="34" priority="9" stopIfTrue="1" operator="equal">
      <formula>0</formula>
    </cfRule>
  </conditionalFormatting>
  <conditionalFormatting sqref="G224">
    <cfRule type="cellIs" dxfId="33" priority="10" operator="equal">
      <formula>0</formula>
    </cfRule>
  </conditionalFormatting>
  <conditionalFormatting sqref="G225:G65536">
    <cfRule type="cellIs" dxfId="32" priority="14" stopIfTrue="1" operator="equal">
      <formula>0</formula>
    </cfRule>
  </conditionalFormatting>
  <conditionalFormatting sqref="R14:T166 G116:K165">
    <cfRule type="cellIs" dxfId="3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08" activePane="bottomRight" state="frozen"/>
      <selection activeCell="D209" sqref="D209"/>
      <selection pane="topRight" activeCell="D209" sqref="D209"/>
      <selection pane="bottomLeft" activeCell="D209" sqref="D209"/>
      <selection pane="bottomRight" activeCell="C228" sqref="C22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2" t="s">
        <v>41</v>
      </c>
      <c r="C2" s="56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3" t="s">
        <v>23</v>
      </c>
      <c r="C4" s="564" t="s">
        <v>1012</v>
      </c>
      <c r="D4" s="564" t="s">
        <v>42</v>
      </c>
      <c r="E4" s="563" t="s">
        <v>43</v>
      </c>
      <c r="F4" s="108" t="s">
        <v>1609</v>
      </c>
      <c r="G4" s="108" t="s">
        <v>1608</v>
      </c>
      <c r="H4" s="561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3"/>
      <c r="C5" s="564"/>
      <c r="D5" s="564"/>
      <c r="E5" s="563"/>
      <c r="F5" s="93"/>
      <c r="G5" s="93"/>
      <c r="H5" s="561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0" priority="138" operator="equal">
      <formula>0</formula>
    </cfRule>
  </conditionalFormatting>
  <conditionalFormatting sqref="B8:C135">
    <cfRule type="cellIs" dxfId="29" priority="51" operator="equal">
      <formula>0</formula>
    </cfRule>
  </conditionalFormatting>
  <conditionalFormatting sqref="B150:G1493">
    <cfRule type="cellIs" dxfId="28" priority="1" operator="equal">
      <formula>0</formula>
    </cfRule>
  </conditionalFormatting>
  <conditionalFormatting sqref="C143:G149">
    <cfRule type="cellIs" dxfId="27" priority="5" operator="equal">
      <formula>0</formula>
    </cfRule>
  </conditionalFormatting>
  <conditionalFormatting sqref="D9:G142">
    <cfRule type="cellIs" dxfId="26" priority="11" operator="equal">
      <formula>0</formula>
    </cfRule>
  </conditionalFormatting>
  <conditionalFormatting sqref="D1:IV5 A1:C7 D6:K6 H1455:IV1457 H1458:XFD1485 H1486:H1493 I1486:XFD1494 A1494:H1494 A1495:XFD65536">
    <cfRule type="cellIs" dxfId="25" priority="163" operator="equal">
      <formula>0</formula>
    </cfRule>
  </conditionalFormatting>
  <conditionalFormatting sqref="D7:IV8 C136:C142 B136:B149">
    <cfRule type="cellIs" dxfId="24" priority="62" operator="equal">
      <formula>0</formula>
    </cfRule>
  </conditionalFormatting>
  <conditionalFormatting sqref="H9:H1418">
    <cfRule type="cellIs" dxfId="23" priority="129" operator="equal">
      <formula>0</formula>
    </cfRule>
  </conditionalFormatting>
  <conditionalFormatting sqref="H1419:I1454">
    <cfRule type="cellIs" dxfId="22" priority="128" operator="equal">
      <formula>0</formula>
    </cfRule>
  </conditionalFormatting>
  <conditionalFormatting sqref="I108:I1418">
    <cfRule type="cellIs" dxfId="21" priority="125" operator="equal">
      <formula>0</formula>
    </cfRule>
  </conditionalFormatting>
  <conditionalFormatting sqref="J108:IV1454">
    <cfRule type="cellIs" dxfId="20" priority="139" operator="equal">
      <formula>0</formula>
    </cfRule>
  </conditionalFormatting>
  <conditionalFormatting sqref="M6:IV6">
    <cfRule type="cellIs" dxfId="19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S18" sqref="S18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6" t="s">
        <v>1454</v>
      </c>
      <c r="C2" s="596"/>
      <c r="D2" s="596"/>
      <c r="E2" s="596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01" t="s">
        <v>1532</v>
      </c>
      <c r="C4" s="602"/>
      <c r="D4" s="602"/>
      <c r="E4" s="603"/>
      <c r="F4" s="442"/>
      <c r="G4" s="442"/>
      <c r="H4" s="443"/>
      <c r="I4" s="565" t="s">
        <v>1533</v>
      </c>
      <c r="J4" s="566"/>
      <c r="K4" s="566"/>
      <c r="L4" s="567"/>
    </row>
    <row r="5" spans="1:12" ht="34.5" customHeight="1">
      <c r="A5" s="204"/>
      <c r="B5" s="445" t="s">
        <v>1379</v>
      </c>
      <c r="C5" s="277" t="s">
        <v>9</v>
      </c>
      <c r="D5" s="597" t="str">
        <f>DATA!D14</f>
        <v>KOS JOKO PRABOWO</v>
      </c>
      <c r="E5" s="598"/>
      <c r="F5" s="208"/>
      <c r="G5" s="208"/>
      <c r="I5" s="446" t="s">
        <v>1379</v>
      </c>
      <c r="J5" s="277" t="s">
        <v>9</v>
      </c>
      <c r="K5" s="568" t="str">
        <f>D5</f>
        <v>KOS JOKO PRABOWO</v>
      </c>
      <c r="L5" s="569"/>
    </row>
    <row r="6" spans="1:12" ht="31.5" customHeight="1">
      <c r="A6" s="204"/>
      <c r="B6" s="445" t="s">
        <v>1529</v>
      </c>
      <c r="C6" s="277" t="s">
        <v>9</v>
      </c>
      <c r="D6" s="606">
        <f>DATA!D17*1000</f>
        <v>0</v>
      </c>
      <c r="E6" s="607"/>
      <c r="F6" s="208"/>
      <c r="G6" s="208"/>
      <c r="I6" s="446" t="s">
        <v>1530</v>
      </c>
      <c r="J6" s="277" t="s">
        <v>9</v>
      </c>
      <c r="K6" s="570">
        <f>DATA!D20*1000</f>
        <v>6500</v>
      </c>
      <c r="L6" s="571"/>
    </row>
    <row r="7" spans="1:12" ht="30.75" customHeight="1">
      <c r="A7" s="204"/>
      <c r="B7" s="445" t="s">
        <v>1441</v>
      </c>
      <c r="C7" s="277" t="s">
        <v>9</v>
      </c>
      <c r="D7" s="604">
        <f>DATA!D18</f>
        <v>1</v>
      </c>
      <c r="E7" s="605"/>
      <c r="F7" s="444" t="s">
        <v>1453</v>
      </c>
      <c r="I7" s="446" t="s">
        <v>1441</v>
      </c>
      <c r="J7" s="277" t="s">
        <v>9</v>
      </c>
      <c r="K7" s="572">
        <f>DATA!D21</f>
        <v>1</v>
      </c>
      <c r="L7" s="573"/>
    </row>
    <row r="8" spans="1:12" ht="51" customHeight="1">
      <c r="A8" s="204"/>
      <c r="B8" s="445" t="s">
        <v>1442</v>
      </c>
      <c r="C8" s="277" t="s">
        <v>9</v>
      </c>
      <c r="D8" s="604">
        <f>DATA!D19</f>
        <v>220</v>
      </c>
      <c r="E8" s="605"/>
      <c r="F8" s="444" t="s">
        <v>1453</v>
      </c>
      <c r="G8" s="439">
        <v>220</v>
      </c>
      <c r="I8" s="446" t="s">
        <v>1442</v>
      </c>
      <c r="J8" s="277" t="s">
        <v>9</v>
      </c>
      <c r="K8" s="572">
        <f>DATA!D22</f>
        <v>220</v>
      </c>
      <c r="L8" s="573"/>
    </row>
    <row r="9" spans="1:12" ht="30" customHeight="1" thickBot="1">
      <c r="A9" s="204"/>
      <c r="B9" s="451" t="s">
        <v>1541</v>
      </c>
      <c r="C9" s="441" t="s">
        <v>9</v>
      </c>
      <c r="D9" s="599">
        <f>IF(D7=1,D6/(380/3^0.5),(D6/(380*3^0.5)))</f>
        <v>0</v>
      </c>
      <c r="E9" s="600"/>
      <c r="F9" s="207"/>
      <c r="G9" s="440">
        <v>380</v>
      </c>
      <c r="I9" s="452" t="s">
        <v>1541</v>
      </c>
      <c r="J9" s="441" t="s">
        <v>9</v>
      </c>
      <c r="K9" s="576">
        <f>IF(K7=1,K6/(380/3^0.5),(K6/(380*3^0.5)))</f>
        <v>29.627184866309744</v>
      </c>
      <c r="L9" s="577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08"/>
      <c r="E12" s="609"/>
      <c r="F12" s="208"/>
      <c r="G12" s="208"/>
      <c r="I12" s="468" t="s">
        <v>1534</v>
      </c>
      <c r="J12" s="469" t="s">
        <v>9</v>
      </c>
      <c r="K12" s="608"/>
      <c r="L12" s="609"/>
    </row>
    <row r="13" spans="1:12" ht="31.5" customHeight="1">
      <c r="A13" s="204"/>
      <c r="B13" s="476" t="s">
        <v>1380</v>
      </c>
      <c r="C13" s="456" t="s">
        <v>9</v>
      </c>
      <c r="D13" s="574"/>
      <c r="E13" s="575"/>
      <c r="F13" s="208"/>
      <c r="G13" s="208"/>
      <c r="I13" s="470" t="s">
        <v>1380</v>
      </c>
      <c r="J13" s="456" t="s">
        <v>9</v>
      </c>
      <c r="K13" s="574"/>
      <c r="L13" s="575"/>
    </row>
    <row r="14" spans="1:12" ht="30.75" customHeight="1">
      <c r="A14" s="204"/>
      <c r="B14" s="476" t="s">
        <v>1535</v>
      </c>
      <c r="C14" s="456" t="s">
        <v>9</v>
      </c>
      <c r="D14" s="578"/>
      <c r="E14" s="579"/>
      <c r="F14" s="444" t="s">
        <v>1453</v>
      </c>
      <c r="G14" s="448">
        <v>50</v>
      </c>
      <c r="I14" s="470" t="s">
        <v>1535</v>
      </c>
      <c r="J14" s="456" t="s">
        <v>9</v>
      </c>
      <c r="K14" s="580"/>
      <c r="L14" s="581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82">
        <v>0</v>
      </c>
      <c r="E16" s="583"/>
      <c r="F16" s="444"/>
      <c r="G16" s="448">
        <v>160</v>
      </c>
      <c r="I16" s="470" t="s">
        <v>1537</v>
      </c>
      <c r="J16" s="456" t="s">
        <v>9</v>
      </c>
      <c r="K16" s="586">
        <f>K9</f>
        <v>29.627184866309744</v>
      </c>
      <c r="L16" s="587"/>
    </row>
    <row r="17" spans="1:12" ht="34.5" customHeight="1">
      <c r="A17" s="204"/>
      <c r="B17" s="476" t="s">
        <v>1538</v>
      </c>
      <c r="C17" s="456" t="s">
        <v>9</v>
      </c>
      <c r="D17" s="584">
        <f>IF(D15=1,D14/(20/3^0.5),(D14/(20*3^0.5)))</f>
        <v>0</v>
      </c>
      <c r="E17" s="585"/>
      <c r="F17" s="444" t="s">
        <v>1453</v>
      </c>
      <c r="G17" s="449">
        <v>200</v>
      </c>
      <c r="I17" s="470" t="s">
        <v>1538</v>
      </c>
      <c r="J17" s="456" t="s">
        <v>9</v>
      </c>
      <c r="K17" s="590">
        <f>IF(K15=1,K14/(20/3^0.5),(K14/(20*3^0.5)))</f>
        <v>0</v>
      </c>
      <c r="L17" s="591"/>
    </row>
    <row r="18" spans="1:12" ht="34.5" customHeight="1">
      <c r="A18" s="204"/>
      <c r="B18" s="476" t="s">
        <v>1539</v>
      </c>
      <c r="C18" s="456" t="s">
        <v>9</v>
      </c>
      <c r="D18" s="584">
        <f>IF(D15=1,D14/(380/3^0.5),(D14/(380*3^0.5)))*1000</f>
        <v>0</v>
      </c>
      <c r="E18" s="585"/>
      <c r="F18" s="444" t="s">
        <v>1453</v>
      </c>
      <c r="G18" s="449">
        <v>250</v>
      </c>
      <c r="I18" s="470" t="s">
        <v>1539</v>
      </c>
      <c r="J18" s="456" t="s">
        <v>9</v>
      </c>
      <c r="K18" s="590">
        <f>IF(K15=1,K14/(380/3^0.5),(K14/(380*3^0.5)))*1000</f>
        <v>0</v>
      </c>
      <c r="L18" s="591"/>
    </row>
    <row r="19" spans="1:12" ht="30" customHeight="1">
      <c r="A19" s="204"/>
      <c r="B19" s="477" t="s">
        <v>1531</v>
      </c>
      <c r="C19" s="455" t="s">
        <v>9</v>
      </c>
      <c r="D19" s="584">
        <f>IF(D15=1,D14/(380/3^0.5),(D14/(380*3^0.5)))</f>
        <v>0</v>
      </c>
      <c r="E19" s="585"/>
      <c r="F19" s="207"/>
      <c r="G19" s="440"/>
      <c r="I19" s="472" t="s">
        <v>1531</v>
      </c>
      <c r="J19" s="455" t="s">
        <v>9</v>
      </c>
      <c r="K19" s="590">
        <f>IF(K15=1,K14/(380/3^0.5),(K14/(380*3^0.5)))</f>
        <v>0</v>
      </c>
      <c r="L19" s="591"/>
    </row>
    <row r="20" spans="1:12" ht="30" customHeight="1" thickBot="1">
      <c r="A20" s="204"/>
      <c r="B20" s="478" t="s">
        <v>1540</v>
      </c>
      <c r="C20" s="474" t="s">
        <v>9</v>
      </c>
      <c r="D20" s="610" t="e">
        <f>D16/D18</f>
        <v>#DIV/0!</v>
      </c>
      <c r="E20" s="611"/>
      <c r="F20" s="207"/>
      <c r="G20" s="440"/>
      <c r="I20" s="473" t="s">
        <v>1531</v>
      </c>
      <c r="J20" s="474" t="s">
        <v>9</v>
      </c>
      <c r="K20" s="588" t="e">
        <f>K16/K18</f>
        <v>#DIV/0!</v>
      </c>
      <c r="L20" s="589"/>
    </row>
    <row r="21" spans="1:12" ht="9.75" customHeight="1">
      <c r="A21" s="204"/>
      <c r="B21" s="463" t="s">
        <v>1540</v>
      </c>
      <c r="C21" s="464" t="s">
        <v>9</v>
      </c>
      <c r="D21" s="595">
        <v>1</v>
      </c>
      <c r="E21" s="595"/>
      <c r="F21" s="465"/>
      <c r="G21" s="466"/>
      <c r="H21" s="467"/>
      <c r="I21" s="463" t="s">
        <v>1531</v>
      </c>
      <c r="J21" s="464" t="s">
        <v>9</v>
      </c>
      <c r="K21" s="595">
        <v>1</v>
      </c>
      <c r="L21" s="595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92"/>
      <c r="C24" s="593"/>
      <c r="D24" s="593"/>
      <c r="E24" s="594"/>
      <c r="I24" s="592"/>
      <c r="J24" s="593"/>
      <c r="K24" s="593"/>
      <c r="L24" s="594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4" zoomScaleNormal="100" workbookViewId="0">
      <selection activeCell="L20" sqref="L20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2"/>
      <c r="C1" s="612"/>
      <c r="D1" s="612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6.5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6298500</v>
      </c>
    </row>
    <row r="10" spans="2:11" ht="20.100000000000001" customHeight="1">
      <c r="B10" s="291" t="s">
        <v>1446</v>
      </c>
      <c r="C10" s="292" t="s">
        <v>9</v>
      </c>
      <c r="D10" s="298">
        <f ca="1">RAB!K95</f>
        <v>29110253.096400004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582205.06192800007</v>
      </c>
    </row>
    <row r="12" spans="2:11" ht="9" customHeight="1">
      <c r="B12" s="613"/>
      <c r="C12" s="613"/>
      <c r="D12" s="613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1633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1628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f>(5*1.3)</f>
        <v>6.5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I35" sqref="I35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0" t="s">
        <v>1357</v>
      </c>
      <c r="C3" s="620"/>
      <c r="D3" s="620"/>
      <c r="E3" s="620"/>
      <c r="F3" s="305" t="str">
        <f>DATA!D14</f>
        <v>KOS JOKO PRABOWO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4" t="s">
        <v>1349</v>
      </c>
      <c r="C5" s="614" t="s">
        <v>1358</v>
      </c>
      <c r="D5" s="619" t="s">
        <v>1359</v>
      </c>
      <c r="E5" s="619" t="s">
        <v>1360</v>
      </c>
      <c r="F5" s="614" t="s">
        <v>1361</v>
      </c>
      <c r="G5" s="614"/>
      <c r="H5" s="614"/>
      <c r="I5" s="614"/>
      <c r="J5" s="614"/>
      <c r="K5" s="614" t="s">
        <v>1362</v>
      </c>
      <c r="L5" s="614"/>
      <c r="M5" s="307"/>
      <c r="N5" s="617" t="s">
        <v>1363</v>
      </c>
      <c r="O5" s="619" t="s">
        <v>1364</v>
      </c>
      <c r="P5" s="619" t="s">
        <v>1365</v>
      </c>
      <c r="Q5" s="619" t="s">
        <v>1366</v>
      </c>
      <c r="R5" s="308"/>
      <c r="S5" s="309"/>
      <c r="T5" s="615" t="s">
        <v>1367</v>
      </c>
      <c r="U5" s="310"/>
    </row>
    <row r="6" spans="1:21" ht="20.100000000000001" customHeight="1">
      <c r="B6" s="614"/>
      <c r="C6" s="614"/>
      <c r="D6" s="614"/>
      <c r="E6" s="614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8"/>
      <c r="O6" s="614"/>
      <c r="P6" s="614"/>
      <c r="Q6" s="614"/>
      <c r="R6" s="308"/>
      <c r="S6" s="309"/>
      <c r="T6" s="614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2080</v>
      </c>
      <c r="D7" s="316">
        <f>C7*4/24</f>
        <v>346.66666666666669</v>
      </c>
      <c r="E7" s="316">
        <f>C7-D7</f>
        <v>1733.3333333333333</v>
      </c>
      <c r="F7" s="317">
        <f ca="1">DATA!D10/1000000</f>
        <v>29.110253096400005</v>
      </c>
      <c r="G7" s="318">
        <f ca="1">DATA!$D$11/1000000</f>
        <v>0.58220506192800003</v>
      </c>
      <c r="H7" s="318">
        <f>C7*DATA!$D$5/1000000</f>
        <v>2.2549800954440951</v>
      </c>
      <c r="I7" s="318">
        <f>(C7*DATA!$D$5*DATA!$D$7)/1000000</f>
        <v>5.0737052147492134E-2</v>
      </c>
      <c r="J7" s="316">
        <f ca="1">SUM(F7:I7)</f>
        <v>31.998175305919592</v>
      </c>
      <c r="K7" s="319">
        <f>DATA!D9/1000000</f>
        <v>6.2984999999999998</v>
      </c>
      <c r="L7" s="316">
        <f>((D7*DATA!$D$23)/1000000)+((E7*DATA!$D$24)/1000000)</f>
        <v>3.0049759999999996</v>
      </c>
      <c r="M7" s="316">
        <f>K7+L7</f>
        <v>9.3034759999999999</v>
      </c>
      <c r="N7" s="316">
        <f ca="1">M7-J7</f>
        <v>-22.694699305919592</v>
      </c>
      <c r="O7" s="314">
        <v>1</v>
      </c>
      <c r="P7" s="316">
        <f ca="1">O7*N7</f>
        <v>-22.694699305919592</v>
      </c>
      <c r="Q7" s="316">
        <f ca="1">P7</f>
        <v>-22.694699305919592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3120</v>
      </c>
      <c r="D8" s="316">
        <f>C8*4/24</f>
        <v>520</v>
      </c>
      <c r="E8" s="316">
        <f t="shared" ref="E8:E32" si="0">C8-D8</f>
        <v>2600</v>
      </c>
      <c r="F8" s="314"/>
      <c r="G8" s="318">
        <f ca="1">DATA!$D$11/1000000</f>
        <v>0.58220506192800003</v>
      </c>
      <c r="H8" s="318">
        <f>C8*DATA!$D$5/1000000</f>
        <v>3.3824701431661426</v>
      </c>
      <c r="I8" s="318">
        <f>(C8*DATA!$D$5*DATA!$D$7)/1000000</f>
        <v>7.6105578221238201E-2</v>
      </c>
      <c r="J8" s="316">
        <f t="shared" ref="J8:J32" ca="1" si="1">SUM(F8:I8)</f>
        <v>4.0407807833153813</v>
      </c>
      <c r="K8" s="321"/>
      <c r="L8" s="316">
        <f>((D8*DATA!$D$23)/1000000)+((E8*DATA!$D$24)/1000000)</f>
        <v>4.5074639999999997</v>
      </c>
      <c r="M8" s="316">
        <f t="shared" ref="M8:M32" si="2">K8+L8</f>
        <v>4.5074639999999997</v>
      </c>
      <c r="N8" s="316">
        <f ca="1">M8-J8</f>
        <v>0.46668321668461843</v>
      </c>
      <c r="O8" s="315">
        <f>1/(1+'[93]Asumsi I'!$C$3)^(KKF!A8)</f>
        <v>0.89285714285714279</v>
      </c>
      <c r="P8" s="316">
        <f ca="1">O8*N8</f>
        <v>0.4166814434684093</v>
      </c>
      <c r="Q8" s="316">
        <f ca="1">Q7+P8</f>
        <v>-22.278017862451183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3120</v>
      </c>
      <c r="D9" s="316">
        <f t="shared" ref="D9:D32" si="5">C9*4/24</f>
        <v>520</v>
      </c>
      <c r="E9" s="316">
        <f t="shared" si="0"/>
        <v>2600</v>
      </c>
      <c r="F9" s="314"/>
      <c r="G9" s="318">
        <f ca="1">DATA!$D$11/1000000</f>
        <v>0.58220506192800003</v>
      </c>
      <c r="H9" s="318">
        <f>C9*DATA!$D$5/1000000</f>
        <v>3.3824701431661426</v>
      </c>
      <c r="I9" s="318">
        <f>(C9*DATA!$D$5*DATA!$D$7)/1000000</f>
        <v>7.6105578221238201E-2</v>
      </c>
      <c r="J9" s="316">
        <f t="shared" ca="1" si="1"/>
        <v>4.0407807833153813</v>
      </c>
      <c r="K9" s="316"/>
      <c r="L9" s="316">
        <f>((D9*DATA!$D$23)/1000000)+((E9*DATA!$D$24)/1000000)</f>
        <v>4.5074639999999997</v>
      </c>
      <c r="M9" s="316">
        <f t="shared" si="2"/>
        <v>4.5074639999999997</v>
      </c>
      <c r="N9" s="316">
        <f t="shared" ref="N9:N32" ca="1" si="6">M9-J9</f>
        <v>0.46668321668461843</v>
      </c>
      <c r="O9" s="322">
        <f>1/(1+'[93]Asumsi I'!$C$3)^(KKF!A9)</f>
        <v>0.79719387755102034</v>
      </c>
      <c r="P9" s="316">
        <f t="shared" ref="P9:P32" ca="1" si="7">O9*N9</f>
        <v>0.37203700309679399</v>
      </c>
      <c r="Q9" s="316">
        <f ca="1">Q8+P9</f>
        <v>-21.90598085935439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3120</v>
      </c>
      <c r="D10" s="316">
        <f t="shared" si="5"/>
        <v>520</v>
      </c>
      <c r="E10" s="316">
        <f t="shared" si="0"/>
        <v>2600</v>
      </c>
      <c r="F10" s="314"/>
      <c r="G10" s="318">
        <f ca="1">DATA!$D$11/1000000</f>
        <v>0.58220506192800003</v>
      </c>
      <c r="H10" s="318">
        <f>C10*DATA!$D$5/1000000</f>
        <v>3.3824701431661426</v>
      </c>
      <c r="I10" s="318">
        <f>(C10*DATA!$D$5*DATA!$D$7)/1000000</f>
        <v>7.6105578221238201E-2</v>
      </c>
      <c r="J10" s="316">
        <f t="shared" ca="1" si="1"/>
        <v>4.0407807833153813</v>
      </c>
      <c r="K10" s="314"/>
      <c r="L10" s="316">
        <f>((D10*DATA!$D$23)/1000000)+((E10*DATA!$D$24)/1000000)</f>
        <v>4.5074639999999997</v>
      </c>
      <c r="M10" s="316">
        <f t="shared" si="2"/>
        <v>4.5074639999999997</v>
      </c>
      <c r="N10" s="316">
        <f t="shared" ca="1" si="6"/>
        <v>0.46668321668461843</v>
      </c>
      <c r="O10" s="315">
        <f>1/(1+'[93]Asumsi I'!$C$3)^(KKF!A10)</f>
        <v>0.71178024781341087</v>
      </c>
      <c r="P10" s="316">
        <f t="shared" ca="1" si="7"/>
        <v>0.33217589562213745</v>
      </c>
      <c r="Q10" s="316">
        <f t="shared" ref="Q10:Q30" ca="1" si="9">Q9+P10</f>
        <v>-21.573804963732254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3120</v>
      </c>
      <c r="D11" s="316">
        <f t="shared" si="5"/>
        <v>520</v>
      </c>
      <c r="E11" s="316">
        <f t="shared" si="0"/>
        <v>2600</v>
      </c>
      <c r="F11" s="314"/>
      <c r="G11" s="318">
        <f ca="1">DATA!$D$11/1000000</f>
        <v>0.58220506192800003</v>
      </c>
      <c r="H11" s="318">
        <f>C11*DATA!$D$5/1000000</f>
        <v>3.3824701431661426</v>
      </c>
      <c r="I11" s="318">
        <f>(C11*DATA!$D$5*DATA!$D$7)/1000000</f>
        <v>7.6105578221238201E-2</v>
      </c>
      <c r="J11" s="316">
        <f t="shared" ca="1" si="1"/>
        <v>4.0407807833153813</v>
      </c>
      <c r="K11" s="314"/>
      <c r="L11" s="316">
        <f>((D11*DATA!$D$23)/1000000)+((E11*DATA!$D$24)/1000000)</f>
        <v>4.5074639999999997</v>
      </c>
      <c r="M11" s="316">
        <f t="shared" si="2"/>
        <v>4.5074639999999997</v>
      </c>
      <c r="N11" s="316">
        <f t="shared" ca="1" si="6"/>
        <v>0.46668321668461843</v>
      </c>
      <c r="O11" s="315">
        <f>1/(1+'[93]Asumsi I'!$C$3)^(KKF!A11)</f>
        <v>0.63551807840483121</v>
      </c>
      <c r="P11" s="316">
        <f t="shared" ca="1" si="7"/>
        <v>0.29658562109119418</v>
      </c>
      <c r="Q11" s="316">
        <f t="shared" ca="1" si="9"/>
        <v>-21.277219342641061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3120</v>
      </c>
      <c r="D12" s="316">
        <f t="shared" si="5"/>
        <v>520</v>
      </c>
      <c r="E12" s="316">
        <f t="shared" si="0"/>
        <v>2600</v>
      </c>
      <c r="F12" s="314"/>
      <c r="G12" s="318">
        <f ca="1">DATA!$D$11/1000000</f>
        <v>0.58220506192800003</v>
      </c>
      <c r="H12" s="318">
        <f>C12*DATA!$D$5/1000000</f>
        <v>3.3824701431661426</v>
      </c>
      <c r="I12" s="318">
        <f>(C12*DATA!$D$5*DATA!$D$7)/1000000</f>
        <v>7.6105578221238201E-2</v>
      </c>
      <c r="J12" s="316">
        <f t="shared" ca="1" si="1"/>
        <v>4.0407807833153813</v>
      </c>
      <c r="K12" s="314"/>
      <c r="L12" s="316">
        <f>((D12*DATA!$D$23)/1000000)+((E12*DATA!$D$24)/1000000)</f>
        <v>4.5074639999999997</v>
      </c>
      <c r="M12" s="316">
        <f t="shared" si="2"/>
        <v>4.5074639999999997</v>
      </c>
      <c r="N12" s="316">
        <f t="shared" ca="1" si="6"/>
        <v>0.46668321668461843</v>
      </c>
      <c r="O12" s="315">
        <f>1/(1+'[93]Asumsi I'!$C$3)^(KKF!A12)</f>
        <v>0.56742685571859919</v>
      </c>
      <c r="P12" s="316">
        <f t="shared" ca="1" si="7"/>
        <v>0.26480859025999476</v>
      </c>
      <c r="Q12" s="316">
        <f t="shared" ca="1" si="9"/>
        <v>-21.012410752381065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3120</v>
      </c>
      <c r="D13" s="316">
        <f t="shared" si="5"/>
        <v>520</v>
      </c>
      <c r="E13" s="316">
        <f t="shared" si="0"/>
        <v>2600</v>
      </c>
      <c r="F13" s="314"/>
      <c r="G13" s="318">
        <f ca="1">DATA!$D$11/1000000</f>
        <v>0.58220506192800003</v>
      </c>
      <c r="H13" s="318">
        <f>C13*DATA!$D$5/1000000</f>
        <v>3.3824701431661426</v>
      </c>
      <c r="I13" s="318">
        <f>(C13*DATA!$D$5*DATA!$D$7)/1000000</f>
        <v>7.6105578221238201E-2</v>
      </c>
      <c r="J13" s="316">
        <f t="shared" ca="1" si="1"/>
        <v>4.0407807833153813</v>
      </c>
      <c r="K13" s="314"/>
      <c r="L13" s="316">
        <f>((D13*DATA!$D$23)/1000000)+((E13*DATA!$D$24)/1000000)</f>
        <v>4.5074639999999997</v>
      </c>
      <c r="M13" s="316">
        <f t="shared" si="2"/>
        <v>4.5074639999999997</v>
      </c>
      <c r="N13" s="316">
        <f t="shared" ca="1" si="6"/>
        <v>0.46668321668461843</v>
      </c>
      <c r="O13" s="315">
        <f>1/(1+'[93]Asumsi I'!$C$3)^(KKF!A13)</f>
        <v>0.50663112117732068</v>
      </c>
      <c r="P13" s="316">
        <f t="shared" ca="1" si="7"/>
        <v>0.23643624130356672</v>
      </c>
      <c r="Q13" s="316">
        <f t="shared" ca="1" si="9"/>
        <v>-20.7759745110775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3120</v>
      </c>
      <c r="D14" s="316">
        <f t="shared" si="5"/>
        <v>520</v>
      </c>
      <c r="E14" s="316">
        <f t="shared" si="0"/>
        <v>2600</v>
      </c>
      <c r="F14" s="314"/>
      <c r="G14" s="318">
        <f ca="1">DATA!$D$11/1000000</f>
        <v>0.58220506192800003</v>
      </c>
      <c r="H14" s="318">
        <f>C14*DATA!$D$5/1000000</f>
        <v>3.3824701431661426</v>
      </c>
      <c r="I14" s="318">
        <f>(C14*DATA!$D$5*DATA!$D$7)/1000000</f>
        <v>7.6105578221238201E-2</v>
      </c>
      <c r="J14" s="316">
        <f t="shared" ca="1" si="1"/>
        <v>4.0407807833153813</v>
      </c>
      <c r="K14" s="314"/>
      <c r="L14" s="316">
        <f>((D14*DATA!$D$23)/1000000)+((E14*DATA!$D$24)/1000000)</f>
        <v>4.5074639999999997</v>
      </c>
      <c r="M14" s="316">
        <f t="shared" si="2"/>
        <v>4.5074639999999997</v>
      </c>
      <c r="N14" s="316">
        <f t="shared" ca="1" si="6"/>
        <v>0.46668321668461843</v>
      </c>
      <c r="O14" s="315">
        <f>1/(1+'[93]Asumsi I'!$C$3)^(KKF!A14)</f>
        <v>0.45234921533689343</v>
      </c>
      <c r="P14" s="316">
        <f t="shared" ca="1" si="7"/>
        <v>0.21110378687818457</v>
      </c>
      <c r="Q14" s="316">
        <f t="shared" ca="1" si="9"/>
        <v>-20.564870724199316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3120</v>
      </c>
      <c r="D15" s="316">
        <f t="shared" si="5"/>
        <v>520</v>
      </c>
      <c r="E15" s="316">
        <f t="shared" si="0"/>
        <v>2600</v>
      </c>
      <c r="F15" s="314"/>
      <c r="G15" s="318">
        <f ca="1">DATA!$D$11/1000000</f>
        <v>0.58220506192800003</v>
      </c>
      <c r="H15" s="318">
        <f>C15*DATA!$D$5/1000000</f>
        <v>3.3824701431661426</v>
      </c>
      <c r="I15" s="318">
        <f>(C15*DATA!$D$5*DATA!$D$7)/1000000</f>
        <v>7.6105578221238201E-2</v>
      </c>
      <c r="J15" s="316">
        <f t="shared" ca="1" si="1"/>
        <v>4.0407807833153813</v>
      </c>
      <c r="K15" s="314"/>
      <c r="L15" s="316">
        <f>((D15*DATA!$D$23)/1000000)+((E15*DATA!$D$24)/1000000)</f>
        <v>4.5074639999999997</v>
      </c>
      <c r="M15" s="316">
        <f t="shared" si="2"/>
        <v>4.5074639999999997</v>
      </c>
      <c r="N15" s="316">
        <f t="shared" ca="1" si="6"/>
        <v>0.46668321668461843</v>
      </c>
      <c r="O15" s="315">
        <f>1/(1+'[93]Asumsi I'!$C$3)^(KKF!A15)</f>
        <v>0.4038832279793691</v>
      </c>
      <c r="P15" s="316">
        <f t="shared" ca="1" si="7"/>
        <v>0.18848552399837906</v>
      </c>
      <c r="Q15" s="316">
        <f t="shared" ca="1" si="9"/>
        <v>-20.376385200200936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3120</v>
      </c>
      <c r="D16" s="316">
        <f t="shared" si="5"/>
        <v>520</v>
      </c>
      <c r="E16" s="316">
        <f t="shared" si="0"/>
        <v>2600</v>
      </c>
      <c r="F16" s="314"/>
      <c r="G16" s="318">
        <f ca="1">DATA!$D$11/1000000</f>
        <v>0.58220506192800003</v>
      </c>
      <c r="H16" s="318">
        <f>C16*DATA!$D$5/1000000</f>
        <v>3.3824701431661426</v>
      </c>
      <c r="I16" s="318">
        <f>(C16*DATA!$D$5*DATA!$D$7)/1000000</f>
        <v>7.6105578221238201E-2</v>
      </c>
      <c r="J16" s="316">
        <f t="shared" ca="1" si="1"/>
        <v>4.0407807833153813</v>
      </c>
      <c r="K16" s="314"/>
      <c r="L16" s="316">
        <f>((D16*DATA!$D$23)/1000000)+((E16*DATA!$D$24)/1000000)</f>
        <v>4.5074639999999997</v>
      </c>
      <c r="M16" s="316">
        <f t="shared" si="2"/>
        <v>4.5074639999999997</v>
      </c>
      <c r="N16" s="316">
        <f t="shared" ca="1" si="6"/>
        <v>0.46668321668461843</v>
      </c>
      <c r="O16" s="315">
        <f>1/(1+'[93]Asumsi I'!$C$3)^(KKF!A16)</f>
        <v>0.36061002498157957</v>
      </c>
      <c r="P16" s="316">
        <f t="shared" ca="1" si="7"/>
        <v>0.16829064642712416</v>
      </c>
      <c r="Q16" s="316">
        <f t="shared" ca="1" si="9"/>
        <v>-20.208094553773812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3120</v>
      </c>
      <c r="D17" s="316">
        <f t="shared" si="5"/>
        <v>520</v>
      </c>
      <c r="E17" s="316">
        <f t="shared" si="0"/>
        <v>2600</v>
      </c>
      <c r="F17" s="314"/>
      <c r="G17" s="318">
        <f ca="1">DATA!$D$11/1000000</f>
        <v>0.58220506192800003</v>
      </c>
      <c r="H17" s="318">
        <f>C17*DATA!$D$5/1000000</f>
        <v>3.3824701431661426</v>
      </c>
      <c r="I17" s="318">
        <f>(C17*DATA!$D$5*DATA!$D$7)/1000000</f>
        <v>7.6105578221238201E-2</v>
      </c>
      <c r="J17" s="316">
        <f t="shared" ca="1" si="1"/>
        <v>4.0407807833153813</v>
      </c>
      <c r="K17" s="314"/>
      <c r="L17" s="316">
        <f>((D17*DATA!$D$23)/1000000)+((E17*DATA!$D$24)/1000000)</f>
        <v>4.5074639999999997</v>
      </c>
      <c r="M17" s="316">
        <f t="shared" si="2"/>
        <v>4.5074639999999997</v>
      </c>
      <c r="N17" s="316">
        <f t="shared" ca="1" si="6"/>
        <v>0.46668321668461843</v>
      </c>
      <c r="O17" s="315">
        <f>1/(1+'[93]Asumsi I'!$C$3)^(KKF!A17)</f>
        <v>0.32197323659069599</v>
      </c>
      <c r="P17" s="316">
        <f t="shared" ca="1" si="7"/>
        <v>0.15025950573850369</v>
      </c>
      <c r="Q17" s="316">
        <f t="shared" ca="1" si="9"/>
        <v>-20.057835048035308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3120</v>
      </c>
      <c r="D18" s="316">
        <f t="shared" si="5"/>
        <v>520</v>
      </c>
      <c r="E18" s="316">
        <f t="shared" si="0"/>
        <v>2600</v>
      </c>
      <c r="F18" s="314"/>
      <c r="G18" s="318">
        <f ca="1">DATA!$D$11/1000000</f>
        <v>0.58220506192800003</v>
      </c>
      <c r="H18" s="318">
        <f>C18*DATA!$D$5/1000000</f>
        <v>3.3824701431661426</v>
      </c>
      <c r="I18" s="318">
        <f>(C18*DATA!$D$5*DATA!$D$7)/1000000</f>
        <v>7.6105578221238201E-2</v>
      </c>
      <c r="J18" s="316">
        <f t="shared" ca="1" si="1"/>
        <v>4.0407807833153813</v>
      </c>
      <c r="K18" s="314"/>
      <c r="L18" s="316">
        <f>((D18*DATA!$D$23)/1000000)+((E18*DATA!$D$24)/1000000)</f>
        <v>4.5074639999999997</v>
      </c>
      <c r="M18" s="316">
        <f t="shared" si="2"/>
        <v>4.5074639999999997</v>
      </c>
      <c r="N18" s="316">
        <f t="shared" ca="1" si="6"/>
        <v>0.46668321668461843</v>
      </c>
      <c r="O18" s="315">
        <f>1/(1+'[93]Asumsi I'!$C$3)^(KKF!A18)</f>
        <v>0.28747610409883567</v>
      </c>
      <c r="P18" s="316">
        <f t="shared" ca="1" si="7"/>
        <v>0.13416027298080685</v>
      </c>
      <c r="Q18" s="316">
        <f t="shared" ca="1" si="9"/>
        <v>-19.923674775054501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3120</v>
      </c>
      <c r="D19" s="316">
        <f t="shared" si="5"/>
        <v>520</v>
      </c>
      <c r="E19" s="316">
        <f t="shared" si="0"/>
        <v>2600</v>
      </c>
      <c r="F19" s="314"/>
      <c r="G19" s="318">
        <f ca="1">DATA!$D$11/1000000</f>
        <v>0.58220506192800003</v>
      </c>
      <c r="H19" s="318">
        <f>C19*DATA!$D$5/1000000</f>
        <v>3.3824701431661426</v>
      </c>
      <c r="I19" s="318">
        <f>(C19*DATA!$D$5*DATA!$D$7)/1000000</f>
        <v>7.6105578221238201E-2</v>
      </c>
      <c r="J19" s="316">
        <f t="shared" ca="1" si="1"/>
        <v>4.0407807833153813</v>
      </c>
      <c r="K19" s="314"/>
      <c r="L19" s="316">
        <f>((D19*DATA!$D$23)/1000000)+((E19*DATA!$D$24)/1000000)</f>
        <v>4.5074639999999997</v>
      </c>
      <c r="M19" s="316">
        <f t="shared" si="2"/>
        <v>4.5074639999999997</v>
      </c>
      <c r="N19" s="316">
        <f t="shared" ca="1" si="6"/>
        <v>0.46668321668461843</v>
      </c>
      <c r="O19" s="315">
        <f>1/(1+'[93]Asumsi I'!$C$3)^(KKF!A19)</f>
        <v>0.25667509294538904</v>
      </c>
      <c r="P19" s="316">
        <f t="shared" ca="1" si="7"/>
        <v>0.11978595801857757</v>
      </c>
      <c r="Q19" s="316">
        <f t="shared" ca="1" si="9"/>
        <v>-19.803888817035922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3120</v>
      </c>
      <c r="D20" s="316">
        <f t="shared" si="5"/>
        <v>520</v>
      </c>
      <c r="E20" s="316">
        <f t="shared" si="0"/>
        <v>2600</v>
      </c>
      <c r="F20" s="314"/>
      <c r="G20" s="318">
        <f ca="1">DATA!$D$11/1000000</f>
        <v>0.58220506192800003</v>
      </c>
      <c r="H20" s="318">
        <f>C20*DATA!$D$5/1000000</f>
        <v>3.3824701431661426</v>
      </c>
      <c r="I20" s="318">
        <f>(C20*DATA!$D$5*DATA!$D$7)/1000000</f>
        <v>7.6105578221238201E-2</v>
      </c>
      <c r="J20" s="316">
        <f t="shared" ca="1" si="1"/>
        <v>4.0407807833153813</v>
      </c>
      <c r="K20" s="314"/>
      <c r="L20" s="316">
        <f>((D20*DATA!$D$23)/1000000)+((E20*DATA!$D$24)/1000000)</f>
        <v>4.5074639999999997</v>
      </c>
      <c r="M20" s="316">
        <f t="shared" si="2"/>
        <v>4.5074639999999997</v>
      </c>
      <c r="N20" s="316">
        <f t="shared" ca="1" si="6"/>
        <v>0.46668321668461843</v>
      </c>
      <c r="O20" s="315">
        <f>1/(1+'[93]Asumsi I'!$C$3)^(KKF!A20)</f>
        <v>0.22917419012981158</v>
      </c>
      <c r="P20" s="316">
        <f t="shared" ca="1" si="7"/>
        <v>0.10695174823087279</v>
      </c>
      <c r="Q20" s="316">
        <f t="shared" ca="1" si="9"/>
        <v>-19.696937068805049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3120</v>
      </c>
      <c r="D21" s="316">
        <f t="shared" si="5"/>
        <v>520</v>
      </c>
      <c r="E21" s="316">
        <f t="shared" si="0"/>
        <v>2600</v>
      </c>
      <c r="F21" s="314"/>
      <c r="G21" s="318">
        <f ca="1">DATA!$D$11/1000000</f>
        <v>0.58220506192800003</v>
      </c>
      <c r="H21" s="318">
        <f>C21*DATA!$D$5/1000000</f>
        <v>3.3824701431661426</v>
      </c>
      <c r="I21" s="318">
        <f>(C21*DATA!$D$5*DATA!$D$7)/1000000</f>
        <v>7.6105578221238201E-2</v>
      </c>
      <c r="J21" s="316">
        <f t="shared" ca="1" si="1"/>
        <v>4.0407807833153813</v>
      </c>
      <c r="K21" s="314"/>
      <c r="L21" s="316">
        <f>((D21*DATA!$D$23)/1000000)+((E21*DATA!$D$24)/1000000)</f>
        <v>4.5074639999999997</v>
      </c>
      <c r="M21" s="316">
        <f t="shared" si="2"/>
        <v>4.5074639999999997</v>
      </c>
      <c r="N21" s="316">
        <f t="shared" ca="1" si="6"/>
        <v>0.46668321668461843</v>
      </c>
      <c r="O21" s="315">
        <f>1/(1+'[93]Asumsi I'!$C$3)^(KKF!A21)</f>
        <v>0.20461981261590317</v>
      </c>
      <c r="P21" s="316">
        <f t="shared" ca="1" si="7"/>
        <v>9.5492632348993564E-2</v>
      </c>
      <c r="Q21" s="316">
        <f t="shared" ca="1" si="9"/>
        <v>-19.601444436456056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3120</v>
      </c>
      <c r="D22" s="316">
        <f t="shared" si="5"/>
        <v>520</v>
      </c>
      <c r="E22" s="316">
        <f t="shared" si="0"/>
        <v>2600</v>
      </c>
      <c r="F22" s="314"/>
      <c r="G22" s="318">
        <f ca="1">DATA!$D$11/1000000</f>
        <v>0.58220506192800003</v>
      </c>
      <c r="H22" s="318">
        <f>C22*DATA!$D$5/1000000</f>
        <v>3.3824701431661426</v>
      </c>
      <c r="I22" s="318">
        <f>(C22*DATA!$D$5*DATA!$D$7)/1000000</f>
        <v>7.6105578221238201E-2</v>
      </c>
      <c r="J22" s="316">
        <f t="shared" ca="1" si="1"/>
        <v>4.0407807833153813</v>
      </c>
      <c r="K22" s="314"/>
      <c r="L22" s="316">
        <f>((D22*DATA!$D$23)/1000000)+((E22*DATA!$D$24)/1000000)</f>
        <v>4.5074639999999997</v>
      </c>
      <c r="M22" s="316">
        <f t="shared" si="2"/>
        <v>4.5074639999999997</v>
      </c>
      <c r="N22" s="316">
        <f t="shared" ca="1" si="6"/>
        <v>0.46668321668461843</v>
      </c>
      <c r="O22" s="315">
        <f>1/(1+'[93]Asumsi I'!$C$3)^(KKF!A22)</f>
        <v>0.18269626126419927</v>
      </c>
      <c r="P22" s="316">
        <f t="shared" ca="1" si="7"/>
        <v>8.5261278883029964E-2</v>
      </c>
      <c r="Q22" s="316">
        <f t="shared" ca="1" si="9"/>
        <v>-19.516183157573025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3120</v>
      </c>
      <c r="D23" s="316">
        <f t="shared" si="5"/>
        <v>520</v>
      </c>
      <c r="E23" s="316">
        <f t="shared" si="0"/>
        <v>2600</v>
      </c>
      <c r="F23" s="314"/>
      <c r="G23" s="318">
        <f ca="1">DATA!$D$11/1000000</f>
        <v>0.58220506192800003</v>
      </c>
      <c r="H23" s="318">
        <f>C23*DATA!$D$5/1000000</f>
        <v>3.3824701431661426</v>
      </c>
      <c r="I23" s="318">
        <f>(C23*DATA!$D$5*DATA!$D$7)/1000000</f>
        <v>7.6105578221238201E-2</v>
      </c>
      <c r="J23" s="316">
        <f t="shared" ca="1" si="1"/>
        <v>4.0407807833153813</v>
      </c>
      <c r="K23" s="314"/>
      <c r="L23" s="316">
        <f>((D23*DATA!$D$23)/1000000)+((E23*DATA!$D$24)/1000000)</f>
        <v>4.5074639999999997</v>
      </c>
      <c r="M23" s="316">
        <f t="shared" si="2"/>
        <v>4.5074639999999997</v>
      </c>
      <c r="N23" s="316">
        <f t="shared" ca="1" si="6"/>
        <v>0.46668321668461843</v>
      </c>
      <c r="O23" s="315">
        <f>1/(1+'[93]Asumsi I'!$C$3)^(KKF!A23)</f>
        <v>0.16312166184303503</v>
      </c>
      <c r="P23" s="316">
        <f t="shared" ca="1" si="7"/>
        <v>7.6126141859848173E-2</v>
      </c>
      <c r="Q23" s="316">
        <f t="shared" ca="1" si="9"/>
        <v>-19.440057015713176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3120</v>
      </c>
      <c r="D24" s="316">
        <f t="shared" si="5"/>
        <v>520</v>
      </c>
      <c r="E24" s="316">
        <f t="shared" si="0"/>
        <v>2600</v>
      </c>
      <c r="F24" s="314"/>
      <c r="G24" s="318">
        <f ca="1">DATA!$D$11/1000000</f>
        <v>0.58220506192800003</v>
      </c>
      <c r="H24" s="318">
        <f>C24*DATA!$D$5/1000000</f>
        <v>3.3824701431661426</v>
      </c>
      <c r="I24" s="318">
        <f>(C24*DATA!$D$5*DATA!$D$7)/1000000</f>
        <v>7.6105578221238201E-2</v>
      </c>
      <c r="J24" s="316">
        <f t="shared" ca="1" si="1"/>
        <v>4.0407807833153813</v>
      </c>
      <c r="K24" s="314"/>
      <c r="L24" s="316">
        <f>((D24*DATA!$D$23)/1000000)+((E24*DATA!$D$24)/1000000)</f>
        <v>4.5074639999999997</v>
      </c>
      <c r="M24" s="316">
        <f t="shared" si="2"/>
        <v>4.5074639999999997</v>
      </c>
      <c r="N24" s="316">
        <f t="shared" ca="1" si="6"/>
        <v>0.46668321668461843</v>
      </c>
      <c r="O24" s="315">
        <f>1/(1+'[93]Asumsi I'!$C$3)^(KKF!A24)</f>
        <v>0.14564434093128129</v>
      </c>
      <c r="P24" s="316">
        <f t="shared" ca="1" si="7"/>
        <v>6.7969769517721587E-2</v>
      </c>
      <c r="Q24" s="316">
        <f t="shared" ca="1" si="9"/>
        <v>-19.372087246195456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3120</v>
      </c>
      <c r="D25" s="316">
        <f t="shared" si="5"/>
        <v>520</v>
      </c>
      <c r="E25" s="316">
        <f t="shared" si="0"/>
        <v>2600</v>
      </c>
      <c r="F25" s="314"/>
      <c r="G25" s="318">
        <f ca="1">DATA!$D$11/1000000</f>
        <v>0.58220506192800003</v>
      </c>
      <c r="H25" s="318">
        <f>C25*DATA!$D$5/1000000</f>
        <v>3.3824701431661426</v>
      </c>
      <c r="I25" s="318">
        <f>(C25*DATA!$D$5*DATA!$D$7)/1000000</f>
        <v>7.6105578221238201E-2</v>
      </c>
      <c r="J25" s="316">
        <f t="shared" ca="1" si="1"/>
        <v>4.0407807833153813</v>
      </c>
      <c r="K25" s="314"/>
      <c r="L25" s="316">
        <f>((D25*DATA!$D$23)/1000000)+((E25*DATA!$D$24)/1000000)</f>
        <v>4.5074639999999997</v>
      </c>
      <c r="M25" s="316">
        <f t="shared" si="2"/>
        <v>4.5074639999999997</v>
      </c>
      <c r="N25" s="316">
        <f t="shared" ca="1" si="6"/>
        <v>0.46668321668461843</v>
      </c>
      <c r="O25" s="315">
        <f>1/(1+'[93]Asumsi I'!$C$3)^(KKF!A25)</f>
        <v>0.13003959011721541</v>
      </c>
      <c r="P25" s="316">
        <f t="shared" ca="1" si="7"/>
        <v>6.0687294212251407E-2</v>
      </c>
      <c r="Q25" s="316">
        <f t="shared" ca="1" si="9"/>
        <v>-19.311399951983205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3120</v>
      </c>
      <c r="D26" s="316">
        <f t="shared" si="5"/>
        <v>520</v>
      </c>
      <c r="E26" s="316">
        <f t="shared" si="0"/>
        <v>2600</v>
      </c>
      <c r="F26" s="314"/>
      <c r="G26" s="318">
        <f ca="1">DATA!$D$11/1000000</f>
        <v>0.58220506192800003</v>
      </c>
      <c r="H26" s="318">
        <f>C26*DATA!$D$5/1000000</f>
        <v>3.3824701431661426</v>
      </c>
      <c r="I26" s="318">
        <f>(C26*DATA!$D$5*DATA!$D$7)/1000000</f>
        <v>7.6105578221238201E-2</v>
      </c>
      <c r="J26" s="316">
        <f t="shared" ca="1" si="1"/>
        <v>4.0407807833153813</v>
      </c>
      <c r="K26" s="314"/>
      <c r="L26" s="316">
        <f>((D26*DATA!$D$23)/1000000)+((E26*DATA!$D$24)/1000000)</f>
        <v>4.5074639999999997</v>
      </c>
      <c r="M26" s="316">
        <f t="shared" si="2"/>
        <v>4.5074639999999997</v>
      </c>
      <c r="N26" s="316">
        <f t="shared" ca="1" si="6"/>
        <v>0.46668321668461843</v>
      </c>
      <c r="O26" s="315">
        <f>1/(1+'[93]Asumsi I'!$C$3)^(KKF!A26)</f>
        <v>0.1161067768903709</v>
      </c>
      <c r="P26" s="316">
        <f t="shared" ca="1" si="7"/>
        <v>5.4185084118081608E-2</v>
      </c>
      <c r="Q26" s="316">
        <f t="shared" ca="1" si="9"/>
        <v>-19.257214867865123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3120</v>
      </c>
      <c r="D27" s="316">
        <f t="shared" si="5"/>
        <v>520</v>
      </c>
      <c r="E27" s="316">
        <f t="shared" si="0"/>
        <v>2600</v>
      </c>
      <c r="F27" s="314"/>
      <c r="G27" s="318">
        <f ca="1">DATA!$D$11/1000000</f>
        <v>0.58220506192800003</v>
      </c>
      <c r="H27" s="318">
        <f>C27*DATA!$D$5/1000000</f>
        <v>3.3824701431661426</v>
      </c>
      <c r="I27" s="318">
        <f>(C27*DATA!$D$5*DATA!$D$7)/1000000</f>
        <v>7.6105578221238201E-2</v>
      </c>
      <c r="J27" s="316">
        <f t="shared" ca="1" si="1"/>
        <v>4.0407807833153813</v>
      </c>
      <c r="K27" s="314"/>
      <c r="L27" s="316">
        <f>((D27*DATA!$D$23)/1000000)+((E27*DATA!$D$24)/1000000)</f>
        <v>4.5074639999999997</v>
      </c>
      <c r="M27" s="316">
        <f t="shared" si="2"/>
        <v>4.5074639999999997</v>
      </c>
      <c r="N27" s="316">
        <f t="shared" ca="1" si="6"/>
        <v>0.46668321668461843</v>
      </c>
      <c r="O27" s="315">
        <f>1/(1+'[93]Asumsi I'!$C$3)^(KKF!A27)</f>
        <v>0.1036667650806883</v>
      </c>
      <c r="P27" s="316">
        <f t="shared" ca="1" si="7"/>
        <v>4.837953939114429E-2</v>
      </c>
      <c r="Q27" s="316">
        <f t="shared" ca="1" si="9"/>
        <v>-19.208835328473977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3120</v>
      </c>
      <c r="D28" s="316">
        <f t="shared" si="5"/>
        <v>520</v>
      </c>
      <c r="E28" s="316">
        <f t="shared" si="0"/>
        <v>2600</v>
      </c>
      <c r="F28" s="314"/>
      <c r="G28" s="318">
        <f ca="1">DATA!$D$11/1000000</f>
        <v>0.58220506192800003</v>
      </c>
      <c r="H28" s="318">
        <f>C28*DATA!$D$5/1000000</f>
        <v>3.3824701431661426</v>
      </c>
      <c r="I28" s="318">
        <f>(C28*DATA!$D$5*DATA!$D$7)/1000000</f>
        <v>7.6105578221238201E-2</v>
      </c>
      <c r="J28" s="316">
        <f t="shared" ca="1" si="1"/>
        <v>4.0407807833153813</v>
      </c>
      <c r="K28" s="314"/>
      <c r="L28" s="316">
        <f>((D28*DATA!$D$23)/1000000)+((E28*DATA!$D$24)/1000000)</f>
        <v>4.5074639999999997</v>
      </c>
      <c r="M28" s="316">
        <f t="shared" si="2"/>
        <v>4.5074639999999997</v>
      </c>
      <c r="N28" s="316">
        <f t="shared" ca="1" si="6"/>
        <v>0.46668321668461843</v>
      </c>
      <c r="O28" s="315">
        <f>1/(1+'[93]Asumsi I'!$C$3)^(KKF!A28)</f>
        <v>9.2559611679185971E-2</v>
      </c>
      <c r="P28" s="316">
        <f t="shared" ca="1" si="7"/>
        <v>4.3196017313521684E-2</v>
      </c>
      <c r="Q28" s="316">
        <f t="shared" ca="1" si="9"/>
        <v>-19.165639311160454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3120</v>
      </c>
      <c r="D29" s="316">
        <f t="shared" si="5"/>
        <v>520</v>
      </c>
      <c r="E29" s="316">
        <f t="shared" si="0"/>
        <v>2600</v>
      </c>
      <c r="F29" s="314"/>
      <c r="G29" s="318">
        <f ca="1">DATA!$D$11/1000000</f>
        <v>0.58220506192800003</v>
      </c>
      <c r="H29" s="318">
        <f>C29*DATA!$D$5/1000000</f>
        <v>3.3824701431661426</v>
      </c>
      <c r="I29" s="318">
        <f>(C29*DATA!$D$5*DATA!$D$7)/1000000</f>
        <v>7.6105578221238201E-2</v>
      </c>
      <c r="J29" s="316">
        <f t="shared" ca="1" si="1"/>
        <v>4.0407807833153813</v>
      </c>
      <c r="K29" s="314"/>
      <c r="L29" s="316">
        <f>((D29*DATA!$D$23)/1000000)+((E29*DATA!$D$24)/1000000)</f>
        <v>4.5074639999999997</v>
      </c>
      <c r="M29" s="316">
        <f t="shared" si="2"/>
        <v>4.5074639999999997</v>
      </c>
      <c r="N29" s="316">
        <f t="shared" ca="1" si="6"/>
        <v>0.46668321668461843</v>
      </c>
      <c r="O29" s="315">
        <f>1/(1+'[93]Asumsi I'!$C$3)^(KKF!A29)</f>
        <v>8.2642510427844609E-2</v>
      </c>
      <c r="P29" s="316">
        <f t="shared" ca="1" si="7"/>
        <v>3.8567872601358646E-2</v>
      </c>
      <c r="Q29" s="316">
        <f t="shared" ca="1" si="9"/>
        <v>-19.127071438559096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3120</v>
      </c>
      <c r="D30" s="316">
        <f t="shared" si="5"/>
        <v>520</v>
      </c>
      <c r="E30" s="316">
        <f t="shared" si="0"/>
        <v>2600</v>
      </c>
      <c r="F30" s="314"/>
      <c r="G30" s="318">
        <f ca="1">DATA!$D$11/1000000</f>
        <v>0.58220506192800003</v>
      </c>
      <c r="H30" s="318">
        <f>C30*DATA!$D$5/1000000</f>
        <v>3.3824701431661426</v>
      </c>
      <c r="I30" s="318">
        <f>(C30*DATA!$D$5*DATA!$D$7)/1000000</f>
        <v>7.6105578221238201E-2</v>
      </c>
      <c r="J30" s="316">
        <f t="shared" ca="1" si="1"/>
        <v>4.0407807833153813</v>
      </c>
      <c r="K30" s="314"/>
      <c r="L30" s="316">
        <f>((D30*DATA!$D$23)/1000000)+((E30*DATA!$D$24)/1000000)</f>
        <v>4.5074639999999997</v>
      </c>
      <c r="M30" s="316">
        <f t="shared" si="2"/>
        <v>4.5074639999999997</v>
      </c>
      <c r="N30" s="316">
        <f t="shared" ca="1" si="6"/>
        <v>0.46668321668461843</v>
      </c>
      <c r="O30" s="315">
        <f>1/(1+'[93]Asumsi I'!$C$3)^(KKF!A30)</f>
        <v>7.3787955739146982E-2</v>
      </c>
      <c r="P30" s="316">
        <f t="shared" ca="1" si="7"/>
        <v>3.4435600536927367E-2</v>
      </c>
      <c r="Q30" s="316">
        <f t="shared" ca="1" si="9"/>
        <v>-19.092635838022169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3120</v>
      </c>
      <c r="D31" s="316">
        <f t="shared" si="5"/>
        <v>520</v>
      </c>
      <c r="E31" s="316">
        <f t="shared" si="0"/>
        <v>2600</v>
      </c>
      <c r="F31" s="314"/>
      <c r="G31" s="318">
        <f ca="1">DATA!$D$11/1000000</f>
        <v>0.58220506192800003</v>
      </c>
      <c r="H31" s="318">
        <f>C31*DATA!$D$5/1000000</f>
        <v>3.3824701431661426</v>
      </c>
      <c r="I31" s="318">
        <f>(C31*DATA!$D$5*DATA!$D$7)/1000000</f>
        <v>7.6105578221238201E-2</v>
      </c>
      <c r="J31" s="316">
        <f t="shared" ca="1" si="1"/>
        <v>4.0407807833153813</v>
      </c>
      <c r="K31" s="314"/>
      <c r="L31" s="316">
        <f>((D31*DATA!$D$23)/1000000)+((E31*DATA!$D$24)/1000000)</f>
        <v>4.5074639999999997</v>
      </c>
      <c r="M31" s="316">
        <f t="shared" si="2"/>
        <v>4.5074639999999997</v>
      </c>
      <c r="N31" s="316">
        <f t="shared" ca="1" si="6"/>
        <v>0.46668321668461843</v>
      </c>
      <c r="O31" s="315">
        <f>1/(1+'[93]Asumsi I'!$C$3)^(KKF!A31)</f>
        <v>6.5882103338524081E-2</v>
      </c>
      <c r="P31" s="316">
        <f t="shared" ca="1" si="7"/>
        <v>3.0746071907970858E-2</v>
      </c>
      <c r="Q31" s="316">
        <f ca="1">Q30+P31</f>
        <v>-19.061889766114199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3120</v>
      </c>
      <c r="D32" s="316">
        <f t="shared" si="5"/>
        <v>520</v>
      </c>
      <c r="E32" s="316">
        <f t="shared" si="0"/>
        <v>2600</v>
      </c>
      <c r="F32" s="314"/>
      <c r="G32" s="318">
        <f ca="1">DATA!$D$11/1000000</f>
        <v>0.58220506192800003</v>
      </c>
      <c r="H32" s="318">
        <f>C32*DATA!$D$5/1000000</f>
        <v>3.3824701431661426</v>
      </c>
      <c r="I32" s="318">
        <f>(C32*DATA!$D$5*DATA!$D$7)/1000000</f>
        <v>7.6105578221238201E-2</v>
      </c>
      <c r="J32" s="316">
        <f t="shared" ca="1" si="1"/>
        <v>4.0407807833153813</v>
      </c>
      <c r="K32" s="314"/>
      <c r="L32" s="316">
        <f>((D32*DATA!$D$23)/1000000)+((E32*DATA!$D$24)/1000000)</f>
        <v>4.5074639999999997</v>
      </c>
      <c r="M32" s="316">
        <f t="shared" si="2"/>
        <v>4.5074639999999997</v>
      </c>
      <c r="N32" s="316">
        <f t="shared" ca="1" si="6"/>
        <v>0.46668321668461843</v>
      </c>
      <c r="O32" s="315">
        <f>1/(1+'[93]Asumsi I'!$C$3)^(KKF!A32)</f>
        <v>5.8823306552253637E-2</v>
      </c>
      <c r="P32" s="316">
        <f t="shared" ca="1" si="7"/>
        <v>2.7451849917831121E-2</v>
      </c>
      <c r="Q32" s="316">
        <f ca="1">Q31+P32</f>
        <v>-19.034437916196367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6" t="s">
        <v>1374</v>
      </c>
      <c r="G33" s="616"/>
      <c r="H33" s="616"/>
      <c r="I33" s="324"/>
      <c r="J33" s="325">
        <f ca="1">SUM(J7:J32)</f>
        <v>133.01769488880416</v>
      </c>
      <c r="K33" s="616" t="s">
        <v>1375</v>
      </c>
      <c r="L33" s="616"/>
      <c r="M33" s="325">
        <f>SUM(M7:M32)</f>
        <v>121.99007599999997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68.565086898215483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0.91709660208724342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-16.995033853746754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-4.5762141653385546E-2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10"/>
  <sheetViews>
    <sheetView showGridLines="0" tabSelected="1" zoomScale="70" zoomScaleNormal="70" zoomScaleSheetLayoutView="70" workbookViewId="0">
      <pane ySplit="13" topLeftCell="A14" activePane="bottomLeft" state="frozen"/>
      <selection activeCell="H1093" sqref="H1093"/>
      <selection pane="bottomLeft" activeCell="S30" sqref="S29:S30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9" t="s">
        <v>1036</v>
      </c>
      <c r="P3" s="639"/>
      <c r="Q3" s="346"/>
      <c r="T3" s="344"/>
      <c r="U3" s="345" t="s">
        <v>1041</v>
      </c>
      <c r="V3" s="344"/>
    </row>
    <row r="4" spans="1:22" ht="15.75" customHeight="1">
      <c r="B4" s="640" t="s">
        <v>1023</v>
      </c>
      <c r="C4" s="640"/>
      <c r="D4" s="640"/>
      <c r="E4" s="640"/>
      <c r="F4" s="640"/>
      <c r="G4" s="640"/>
      <c r="H4" s="640"/>
      <c r="I4" s="640"/>
      <c r="J4" s="640"/>
      <c r="K4" s="640"/>
      <c r="O4" s="639"/>
      <c r="P4" s="639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3" t="str">
        <f>DATA!D14</f>
        <v>KOS JOKO PRABOWO</v>
      </c>
      <c r="H6" s="623"/>
      <c r="I6" s="623"/>
      <c r="J6" s="623"/>
      <c r="K6" s="623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1632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42" t="s">
        <v>0</v>
      </c>
      <c r="C11" s="644" t="s">
        <v>1</v>
      </c>
      <c r="D11" s="633" t="s">
        <v>42</v>
      </c>
      <c r="E11" s="633" t="s">
        <v>43</v>
      </c>
      <c r="F11" s="633" t="s">
        <v>2</v>
      </c>
      <c r="G11" s="647" t="s">
        <v>41</v>
      </c>
      <c r="H11" s="633" t="s">
        <v>3</v>
      </c>
      <c r="I11" s="633"/>
      <c r="J11" s="633"/>
      <c r="K11" s="634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3"/>
      <c r="C12" s="645"/>
      <c r="D12" s="637"/>
      <c r="E12" s="637"/>
      <c r="F12" s="637"/>
      <c r="G12" s="648"/>
      <c r="H12" s="635" t="s">
        <v>46</v>
      </c>
      <c r="I12" s="635" t="s">
        <v>5</v>
      </c>
      <c r="J12" s="637" t="s">
        <v>47</v>
      </c>
      <c r="K12" s="638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3"/>
      <c r="C13" s="646"/>
      <c r="D13" s="637"/>
      <c r="E13" s="637"/>
      <c r="F13" s="637"/>
      <c r="G13" s="649"/>
      <c r="H13" s="636"/>
      <c r="I13" s="636"/>
      <c r="J13" s="637"/>
      <c r="K13" s="638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101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2</v>
      </c>
      <c r="G17" s="360">
        <f ca="1">IF(ISERROR(OFFSET('HARGA SATUAN'!$I$6,MATCH(RAB!C17,'HARGA SATUAN'!$C$7:$C$1492,0),0)),0,OFFSET('HARGA SATUAN'!$I$6,MATCH(RAB!C17,'HARGA SATUAN'!$C$7:$C$1492,0),0))</f>
        <v>3382600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6765200</v>
      </c>
      <c r="J17" s="361">
        <f t="shared" ref="J17" ca="1" si="10">IF(D17="JASA",G17*F17,0)</f>
        <v>0</v>
      </c>
      <c r="K17" s="362">
        <f t="shared" ref="K17" ca="1" si="11">SUM(H17:J17)</f>
        <v>6765200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103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1</v>
      </c>
      <c r="G18" s="360">
        <f ca="1">IF(ISERROR(OFFSET('HARGA SATUAN'!$I$6,MATCH(RAB!C18,'HARGA SATUAN'!$C$7:$C$1492,0),0)),0,OFFSET('HARGA SATUAN'!$I$6,MATCH(RAB!C18,'HARGA SATUAN'!$C$7:$C$1492,0),0))</f>
        <v>5800000</v>
      </c>
      <c r="H18" s="361">
        <f t="shared" ref="H18" ca="1" si="12">IF(OR(D18="MDU",D18="MDU-KD"),(IF($O$3="RAB NON MDU","PLN KD",G18*F18)),0)</f>
        <v>0</v>
      </c>
      <c r="I18" s="361">
        <f t="shared" ref="I18" ca="1" si="13">IF(D18="HDW",G18*F18,0)</f>
        <v>5800000</v>
      </c>
      <c r="J18" s="361">
        <f t="shared" ref="J18" ca="1" si="14">IF(D18="JASA",G18*F18,0)</f>
        <v>0</v>
      </c>
      <c r="K18" s="362">
        <f t="shared" ref="K18" ca="1" si="15">SUM(H18:J18)</f>
        <v>5800000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/>
      <c r="C19" s="109"/>
      <c r="D19" s="358"/>
      <c r="E19" s="359"/>
      <c r="F19" s="368"/>
      <c r="G19" s="360"/>
      <c r="H19" s="361"/>
      <c r="I19" s="361"/>
      <c r="J19" s="361"/>
      <c r="K19" s="362"/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66" t="s">
        <v>1613</v>
      </c>
      <c r="C20" s="367" t="s">
        <v>1619</v>
      </c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" ca="1" si="16">IF(OR(D20="MDU",D20="MDU-KD"),(IF($O$3="RAB NON MDU","PLN KD",G20*F20)),0)</f>
        <v>0</v>
      </c>
      <c r="I20" s="361">
        <f t="shared" ref="I20" ca="1" si="17">IF(D20="HDW",G20*F20,0)</f>
        <v>0</v>
      </c>
      <c r="J20" s="361">
        <f t="shared" ref="J20" ca="1" si="18">IF(D20="JASA",G20*F20,0)</f>
        <v>0</v>
      </c>
      <c r="K20" s="362">
        <f t="shared" ref="K20" ca="1" si="19">SUM(H20:J20)</f>
        <v>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65" customFormat="1">
      <c r="A21" s="336"/>
      <c r="B21" s="498"/>
      <c r="C21" s="499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:H35" ca="1" si="20">IF(OR(D21="MDU",D21="MDU-KD"),(IF($O$3="RAB NON MDU","PLN KD",G21*F21)),0)</f>
        <v>0</v>
      </c>
      <c r="I21" s="361">
        <f t="shared" ref="I21:I35" ca="1" si="21">IF(D21="HDW",G21*F21,0)</f>
        <v>0</v>
      </c>
      <c r="J21" s="361">
        <f t="shared" ref="J21:J35" ca="1" si="22">IF(D21="JASA",G21*F21,0)</f>
        <v>0</v>
      </c>
      <c r="K21" s="362">
        <f t="shared" ref="K21:K35" ca="1" si="23">SUM(H21:J21)</f>
        <v>0</v>
      </c>
      <c r="L21" s="342"/>
      <c r="M21" s="342"/>
      <c r="N21" s="369"/>
      <c r="O21" s="344"/>
      <c r="P21" s="397"/>
      <c r="Q21" s="344"/>
    </row>
    <row r="22" spans="1:22" s="365" customFormat="1">
      <c r="A22" s="336"/>
      <c r="B22" s="720" t="s">
        <v>1035</v>
      </c>
      <c r="C22" s="721" t="s">
        <v>1631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501">
        <v>1</v>
      </c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20"/>
        <v>0</v>
      </c>
      <c r="I22" s="361">
        <f t="shared" ca="1" si="21"/>
        <v>0</v>
      </c>
      <c r="J22" s="361">
        <f t="shared" ca="1" si="22"/>
        <v>0</v>
      </c>
      <c r="K22" s="362">
        <f t="shared" ca="1" si="23"/>
        <v>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720">
        <v>1</v>
      </c>
      <c r="C23" s="721" t="s">
        <v>229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501">
        <f>F22*1</f>
        <v>1</v>
      </c>
      <c r="G23" s="360">
        <f ca="1">IF(ISERROR(OFFSET('HARGA SATUAN'!$I$6,MATCH(RAB!C23,'HARGA SATUAN'!$C$7:$C$1492,0),0)),0,OFFSET('HARGA SATUAN'!$I$6,MATCH(RAB!C23,'HARGA SATUAN'!$C$7:$C$1492,0),0))</f>
        <v>4212</v>
      </c>
      <c r="H23" s="361">
        <f t="shared" ca="1" si="20"/>
        <v>0</v>
      </c>
      <c r="I23" s="361">
        <f t="shared" ca="1" si="21"/>
        <v>4212</v>
      </c>
      <c r="J23" s="361">
        <f t="shared" ca="1" si="22"/>
        <v>0</v>
      </c>
      <c r="K23" s="362">
        <f t="shared" ca="1" si="23"/>
        <v>4212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720">
        <v>2</v>
      </c>
      <c r="C24" s="721" t="s">
        <v>266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501">
        <f>F22*1</f>
        <v>1</v>
      </c>
      <c r="G24" s="360">
        <f ca="1">IF(ISERROR(OFFSET('HARGA SATUAN'!$I$6,MATCH(RAB!C24,'HARGA SATUAN'!$C$7:$C$1492,0),0)),0,OFFSET('HARGA SATUAN'!$I$6,MATCH(RAB!C24,'HARGA SATUAN'!$C$7:$C$1492,0),0))</f>
        <v>23310</v>
      </c>
      <c r="H24" s="361">
        <f t="shared" ca="1" si="20"/>
        <v>0</v>
      </c>
      <c r="I24" s="361">
        <f t="shared" ca="1" si="21"/>
        <v>23310</v>
      </c>
      <c r="J24" s="361">
        <f t="shared" ca="1" si="22"/>
        <v>0</v>
      </c>
      <c r="K24" s="362">
        <f t="shared" ca="1" si="23"/>
        <v>23310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720">
        <v>3</v>
      </c>
      <c r="C25" s="721" t="s">
        <v>35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1">
        <f>F22*1</f>
        <v>1</v>
      </c>
      <c r="G25" s="360">
        <f ca="1">IF(ISERROR(OFFSET('HARGA SATUAN'!$I$6,MATCH(RAB!C25,'HARGA SATUAN'!$C$7:$C$1492,0),0)),0,OFFSET('HARGA SATUAN'!$I$6,MATCH(RAB!C25,'HARGA SATUAN'!$C$7:$C$1492,0),0))</f>
        <v>2300</v>
      </c>
      <c r="H25" s="361">
        <f t="shared" ca="1" si="20"/>
        <v>0</v>
      </c>
      <c r="I25" s="361">
        <f t="shared" ca="1" si="21"/>
        <v>2300</v>
      </c>
      <c r="J25" s="361">
        <f t="shared" ca="1" si="22"/>
        <v>0</v>
      </c>
      <c r="K25" s="362">
        <f t="shared" ca="1" si="23"/>
        <v>2300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720">
        <v>4</v>
      </c>
      <c r="C26" s="721" t="s">
        <v>609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F22*1</f>
        <v>1</v>
      </c>
      <c r="G26" s="360">
        <f ca="1">IF(ISERROR(OFFSET('HARGA SATUAN'!$I$6,MATCH(RAB!C26,'HARGA SATUAN'!$C$7:$C$1492,0),0)),0,OFFSET('HARGA SATUAN'!$I$6,MATCH(RAB!C26,'HARGA SATUAN'!$C$7:$C$1492,0),0))</f>
        <v>71000</v>
      </c>
      <c r="H26" s="361">
        <f t="shared" ca="1" si="20"/>
        <v>0</v>
      </c>
      <c r="I26" s="361">
        <f t="shared" ca="1" si="21"/>
        <v>71000</v>
      </c>
      <c r="J26" s="361">
        <f t="shared" ca="1" si="22"/>
        <v>0</v>
      </c>
      <c r="K26" s="362">
        <f t="shared" ca="1" si="23"/>
        <v>71000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720">
        <v>5</v>
      </c>
      <c r="C27" s="721" t="s">
        <v>629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501">
        <f>F22*1</f>
        <v>1</v>
      </c>
      <c r="G27" s="360">
        <f ca="1">IF(ISERROR(OFFSET('HARGA SATUAN'!$I$6,MATCH(RAB!C27,'HARGA SATUAN'!$C$7:$C$1492,0),0)),0,OFFSET('HARGA SATUAN'!$I$6,MATCH(RAB!C27,'HARGA SATUAN'!$C$7:$C$1492,0),0))</f>
        <v>29400</v>
      </c>
      <c r="H27" s="361">
        <f t="shared" ca="1" si="20"/>
        <v>0</v>
      </c>
      <c r="I27" s="361">
        <f t="shared" ca="1" si="21"/>
        <v>0</v>
      </c>
      <c r="J27" s="361">
        <f t="shared" ca="1" si="22"/>
        <v>29400</v>
      </c>
      <c r="K27" s="362">
        <f t="shared" ca="1" si="23"/>
        <v>29400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19"/>
      <c r="C28" s="520"/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501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20"/>
        <v>0</v>
      </c>
      <c r="I28" s="361">
        <f t="shared" ca="1" si="21"/>
        <v>0</v>
      </c>
      <c r="J28" s="361">
        <f t="shared" ca="1" si="22"/>
        <v>0</v>
      </c>
      <c r="K28" s="362">
        <f t="shared" ca="1" si="23"/>
        <v>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19" t="s">
        <v>1035</v>
      </c>
      <c r="C29" s="520" t="s">
        <v>1620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501">
        <v>4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20"/>
        <v>0</v>
      </c>
      <c r="I29" s="361">
        <f t="shared" ca="1" si="21"/>
        <v>0</v>
      </c>
      <c r="J29" s="361">
        <f t="shared" ca="1" si="22"/>
        <v>0</v>
      </c>
      <c r="K29" s="362">
        <f t="shared" ca="1" si="23"/>
        <v>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19">
        <v>1</v>
      </c>
      <c r="C30" s="520" t="s">
        <v>595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F29*1</f>
        <v>4</v>
      </c>
      <c r="G30" s="360">
        <f ca="1">IF(ISERROR(OFFSET('HARGA SATUAN'!$I$6,MATCH(RAB!C30,'HARGA SATUAN'!$C$7:$C$1492,0),0)),0,OFFSET('HARGA SATUAN'!$I$6,MATCH(RAB!C30,'HARGA SATUAN'!$C$7:$C$1492,0),0))</f>
        <v>78500</v>
      </c>
      <c r="H30" s="361">
        <f t="shared" ca="1" si="20"/>
        <v>0</v>
      </c>
      <c r="I30" s="361">
        <f t="shared" ca="1" si="21"/>
        <v>314000</v>
      </c>
      <c r="J30" s="361">
        <f t="shared" ca="1" si="22"/>
        <v>0</v>
      </c>
      <c r="K30" s="362">
        <f t="shared" ca="1" si="23"/>
        <v>314000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19">
        <v>2</v>
      </c>
      <c r="C31" s="520" t="s">
        <v>229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F29*1</f>
        <v>4</v>
      </c>
      <c r="G31" s="360">
        <f ca="1">IF(ISERROR(OFFSET('HARGA SATUAN'!$I$6,MATCH(RAB!C31,'HARGA SATUAN'!$C$7:$C$1492,0),0)),0,OFFSET('HARGA SATUAN'!$I$6,MATCH(RAB!C31,'HARGA SATUAN'!$C$7:$C$1492,0),0))</f>
        <v>4212</v>
      </c>
      <c r="H31" s="361">
        <f t="shared" ca="1" si="20"/>
        <v>0</v>
      </c>
      <c r="I31" s="361">
        <f t="shared" ca="1" si="21"/>
        <v>16848</v>
      </c>
      <c r="J31" s="361">
        <f t="shared" ca="1" si="22"/>
        <v>0</v>
      </c>
      <c r="K31" s="362">
        <f t="shared" ca="1" si="23"/>
        <v>16848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19">
        <v>3</v>
      </c>
      <c r="C32" s="520" t="s">
        <v>266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Mtr</v>
      </c>
      <c r="F32" s="501">
        <f>F29*1</f>
        <v>4</v>
      </c>
      <c r="G32" s="360">
        <f ca="1">IF(ISERROR(OFFSET('HARGA SATUAN'!$I$6,MATCH(RAB!C32,'HARGA SATUAN'!$C$7:$C$1492,0),0)),0,OFFSET('HARGA SATUAN'!$I$6,MATCH(RAB!C32,'HARGA SATUAN'!$C$7:$C$1492,0),0))</f>
        <v>23310</v>
      </c>
      <c r="H32" s="361">
        <f t="shared" ca="1" si="20"/>
        <v>0</v>
      </c>
      <c r="I32" s="361">
        <f t="shared" ca="1" si="21"/>
        <v>93240</v>
      </c>
      <c r="J32" s="361">
        <f t="shared" ca="1" si="22"/>
        <v>0</v>
      </c>
      <c r="K32" s="362">
        <f t="shared" ca="1" si="23"/>
        <v>93240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19">
        <v>4</v>
      </c>
      <c r="C33" s="520" t="s">
        <v>35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F29*1</f>
        <v>4</v>
      </c>
      <c r="G33" s="360">
        <f ca="1">IF(ISERROR(OFFSET('HARGA SATUAN'!$I$6,MATCH(RAB!C33,'HARGA SATUAN'!$C$7:$C$1492,0),0)),0,OFFSET('HARGA SATUAN'!$I$6,MATCH(RAB!C33,'HARGA SATUAN'!$C$7:$C$1492,0),0))</f>
        <v>2300</v>
      </c>
      <c r="H33" s="361">
        <f t="shared" ca="1" si="20"/>
        <v>0</v>
      </c>
      <c r="I33" s="361">
        <f t="shared" ca="1" si="21"/>
        <v>9200</v>
      </c>
      <c r="J33" s="361">
        <f t="shared" ca="1" si="22"/>
        <v>0</v>
      </c>
      <c r="K33" s="362">
        <f t="shared" ca="1" si="23"/>
        <v>9200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19">
        <v>5</v>
      </c>
      <c r="C34" s="520" t="s">
        <v>630</v>
      </c>
      <c r="D34" s="358" t="str">
        <f ca="1">IF(ISERROR(OFFSET('HARGA SATUAN'!$D$6,MATCH(RAB!C34,'HARGA SATUAN'!$C$7:$C$1492,0),0)),"",OFFSET('HARGA SATUAN'!$D$6,MATCH(RAB!C34,'HARGA SATUAN'!$C$7:$C$1492,0),0))</f>
        <v>JASA</v>
      </c>
      <c r="E34" s="359" t="str">
        <f ca="1">IF(B34="+","Unit",IF(ISERROR(OFFSET('HARGA SATUAN'!$E$6,MATCH(RAB!C34,'HARGA SATUAN'!$C$7:$C$1492,0),0)),"",OFFSET('HARGA SATUAN'!$E$6,MATCH(RAB!C34,'HARGA SATUAN'!$C$7:$C$1492,0),0)))</f>
        <v>Unit</v>
      </c>
      <c r="F34" s="501">
        <f>F29*1</f>
        <v>4</v>
      </c>
      <c r="G34" s="360">
        <f ca="1">IF(ISERROR(OFFSET('HARGA SATUAN'!$I$6,MATCH(RAB!C34,'HARGA SATUAN'!$C$7:$C$1492,0),0)),0,OFFSET('HARGA SATUAN'!$I$6,MATCH(RAB!C34,'HARGA SATUAN'!$C$7:$C$1492,0),0))</f>
        <v>35700</v>
      </c>
      <c r="H34" s="361">
        <f t="shared" ca="1" si="20"/>
        <v>0</v>
      </c>
      <c r="I34" s="361">
        <f t="shared" ca="1" si="21"/>
        <v>0</v>
      </c>
      <c r="J34" s="361">
        <f t="shared" ca="1" si="22"/>
        <v>142800</v>
      </c>
      <c r="K34" s="362">
        <f t="shared" ca="1" si="23"/>
        <v>142800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19"/>
      <c r="C35" s="520"/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/>
      </c>
      <c r="F35" s="501"/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20"/>
        <v>0</v>
      </c>
      <c r="I35" s="361">
        <f t="shared" ca="1" si="21"/>
        <v>0</v>
      </c>
      <c r="J35" s="361">
        <f t="shared" ca="1" si="22"/>
        <v>0</v>
      </c>
      <c r="K35" s="362">
        <f t="shared" ca="1" si="23"/>
        <v>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15" t="s">
        <v>1035</v>
      </c>
      <c r="C36" s="516" t="s">
        <v>1621</v>
      </c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01">
        <v>1</v>
      </c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ref="H36:H38" ca="1" si="24">IF(OR(D36="MDU",D36="MDU-KD"),(IF($O$3="RAB NON MDU","PLN KD",G36*F36)),0)</f>
        <v>0</v>
      </c>
      <c r="I36" s="361">
        <f t="shared" ref="I36:I38" ca="1" si="25">IF(D36="HDW",G36*F36,0)</f>
        <v>0</v>
      </c>
      <c r="J36" s="361">
        <f t="shared" ref="J36:J38" ca="1" si="26">IF(D36="JASA",G36*F36,0)</f>
        <v>0</v>
      </c>
      <c r="K36" s="362">
        <f t="shared" ref="K36:K38" ca="1" si="27">SUM(H36:J36)</f>
        <v>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515">
        <v>1</v>
      </c>
      <c r="C37" s="516" t="s">
        <v>598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f>F36*1</f>
        <v>1</v>
      </c>
      <c r="G37" s="360">
        <f ca="1">IF(ISERROR(OFFSET('HARGA SATUAN'!$I$6,MATCH(RAB!C37,'HARGA SATUAN'!$C$7:$C$1492,0),0)),0,OFFSET('HARGA SATUAN'!$I$6,MATCH(RAB!C37,'HARGA SATUAN'!$C$7:$C$1492,0),0))</f>
        <v>3965</v>
      </c>
      <c r="H37" s="361">
        <f t="shared" ca="1" si="24"/>
        <v>0</v>
      </c>
      <c r="I37" s="361">
        <f t="shared" ca="1" si="25"/>
        <v>3965</v>
      </c>
      <c r="J37" s="361">
        <f t="shared" ca="1" si="26"/>
        <v>0</v>
      </c>
      <c r="K37" s="362">
        <f t="shared" ca="1" si="27"/>
        <v>3965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515">
        <v>2</v>
      </c>
      <c r="C38" s="516" t="s">
        <v>474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F36*1</f>
        <v>1</v>
      </c>
      <c r="G38" s="360">
        <f ca="1">IF(ISERROR(OFFSET('HARGA SATUAN'!$I$6,MATCH(RAB!C38,'HARGA SATUAN'!$C$7:$C$1492,0),0)),0,OFFSET('HARGA SATUAN'!$I$6,MATCH(RAB!C38,'HARGA SATUAN'!$C$7:$C$1492,0),0))</f>
        <v>3711.24</v>
      </c>
      <c r="H38" s="361">
        <f t="shared" ca="1" si="24"/>
        <v>0</v>
      </c>
      <c r="I38" s="361">
        <f t="shared" ca="1" si="25"/>
        <v>3711.24</v>
      </c>
      <c r="J38" s="361">
        <f t="shared" ca="1" si="26"/>
        <v>0</v>
      </c>
      <c r="K38" s="362">
        <f t="shared" ca="1" si="27"/>
        <v>3711.24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515">
        <v>3</v>
      </c>
      <c r="C39" s="516" t="s">
        <v>266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Mtr</v>
      </c>
      <c r="F39" s="501">
        <f>F36*1</f>
        <v>1</v>
      </c>
      <c r="G39" s="360">
        <f ca="1">IF(ISERROR(OFFSET('HARGA SATUAN'!$I$6,MATCH(RAB!C39,'HARGA SATUAN'!$C$7:$C$1492,0),0)),0,OFFSET('HARGA SATUAN'!$I$6,MATCH(RAB!C39,'HARGA SATUAN'!$C$7:$C$1492,0),0))</f>
        <v>23310</v>
      </c>
      <c r="H39" s="361">
        <f t="shared" ref="H39:H43" ca="1" si="28">IF(OR(D39="MDU",D39="MDU-KD"),(IF($O$3="RAB NON MDU","PLN KD",G39*F39)),0)</f>
        <v>0</v>
      </c>
      <c r="I39" s="361">
        <f t="shared" ref="I39:I43" ca="1" si="29">IF(D39="HDW",G39*F39,0)</f>
        <v>23310</v>
      </c>
      <c r="J39" s="361">
        <f t="shared" ref="J39:J43" ca="1" si="30">IF(D39="JASA",G39*F39,0)</f>
        <v>0</v>
      </c>
      <c r="K39" s="362">
        <f t="shared" ref="K39:K43" ca="1" si="31">SUM(H39:J39)</f>
        <v>23310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515">
        <v>4</v>
      </c>
      <c r="C40" s="516" t="s">
        <v>35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1">
        <f>F36*1</f>
        <v>1</v>
      </c>
      <c r="G40" s="360">
        <f ca="1">IF(ISERROR(OFFSET('HARGA SATUAN'!$I$6,MATCH(RAB!C40,'HARGA SATUAN'!$C$7:$C$1492,0),0)),0,OFFSET('HARGA SATUAN'!$I$6,MATCH(RAB!C40,'HARGA SATUAN'!$C$7:$C$1492,0),0))</f>
        <v>2300</v>
      </c>
      <c r="H40" s="361">
        <f t="shared" ca="1" si="28"/>
        <v>0</v>
      </c>
      <c r="I40" s="361">
        <f t="shared" ca="1" si="29"/>
        <v>2300</v>
      </c>
      <c r="J40" s="361">
        <f t="shared" ca="1" si="30"/>
        <v>0</v>
      </c>
      <c r="K40" s="362">
        <f t="shared" ca="1" si="31"/>
        <v>2300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515">
        <v>5</v>
      </c>
      <c r="C41" s="516" t="s">
        <v>632</v>
      </c>
      <c r="D41" s="358" t="str">
        <f ca="1">IF(ISERROR(OFFSET('HARGA SATUAN'!$D$6,MATCH(RAB!C41,'HARGA SATUAN'!$C$7:$C$1492,0),0)),"",OFFSET('HARGA SATUAN'!$D$6,MATCH(RAB!C41,'HARGA SATUAN'!$C$7:$C$1492,0),0))</f>
        <v>JASA</v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501">
        <f>F36*1</f>
        <v>1</v>
      </c>
      <c r="G41" s="360">
        <f ca="1">IF(ISERROR(OFFSET('HARGA SATUAN'!$I$6,MATCH(RAB!C41,'HARGA SATUAN'!$C$7:$C$1492,0),0)),0,OFFSET('HARGA SATUAN'!$I$6,MATCH(RAB!C41,'HARGA SATUAN'!$C$7:$C$1492,0),0))</f>
        <v>22700</v>
      </c>
      <c r="H41" s="361">
        <f t="shared" ca="1" si="28"/>
        <v>0</v>
      </c>
      <c r="I41" s="361">
        <f t="shared" ca="1" si="29"/>
        <v>0</v>
      </c>
      <c r="J41" s="361">
        <f t="shared" ca="1" si="30"/>
        <v>22700</v>
      </c>
      <c r="K41" s="362">
        <f t="shared" ca="1" si="31"/>
        <v>22700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498"/>
      <c r="C42" s="499"/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501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28"/>
        <v>0</v>
      </c>
      <c r="I42" s="361">
        <f t="shared" ca="1" si="29"/>
        <v>0</v>
      </c>
      <c r="J42" s="361">
        <f t="shared" ca="1" si="30"/>
        <v>0</v>
      </c>
      <c r="K42" s="362">
        <f t="shared" ca="1" si="31"/>
        <v>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498"/>
      <c r="C43" s="514" t="s">
        <v>1626</v>
      </c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501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28"/>
        <v>0</v>
      </c>
      <c r="I43" s="361">
        <f t="shared" ca="1" si="29"/>
        <v>0</v>
      </c>
      <c r="J43" s="361">
        <f t="shared" ca="1" si="30"/>
        <v>0</v>
      </c>
      <c r="K43" s="362">
        <f t="shared" ca="1" si="31"/>
        <v>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498">
        <v>1</v>
      </c>
      <c r="C44" s="109" t="s">
        <v>1402</v>
      </c>
      <c r="D44" s="358" t="str">
        <f ca="1">IF(ISERROR(OFFSET('HARGA SATUAN'!$D$6,MATCH(RAB!C44,'HARGA SATUAN'!$C$7:$C$1492,0),0)),"",OFFSET('HARGA SATUAN'!$D$6,MATCH(RAB!C44,'HARGA SATUAN'!$C$7:$C$1492,0),0))</f>
        <v>MDU-KD</v>
      </c>
      <c r="E44" s="359" t="str">
        <f ca="1">IF(B44="+","Unit",IF(ISERROR(OFFSET('HARGA SATUAN'!$E$6,MATCH(RAB!C44,'HARGA SATUAN'!$C$7:$C$1492,0),0)),"",OFFSET('HARGA SATUAN'!$E$6,MATCH(RAB!C44,'HARGA SATUAN'!$C$7:$C$1492,0),0)))</f>
        <v>Mtr</v>
      </c>
      <c r="F44" s="501">
        <v>150</v>
      </c>
      <c r="G44" s="360">
        <f ca="1">IF(ISERROR(OFFSET('HARGA SATUAN'!$I$6,MATCH(RAB!C44,'HARGA SATUAN'!$C$7:$C$1492,0),0)),0,OFFSET('HARGA SATUAN'!$I$6,MATCH(RAB!C44,'HARGA SATUAN'!$C$7:$C$1492,0),0))</f>
        <v>53300</v>
      </c>
      <c r="H44" s="361">
        <f t="shared" ref="H44:H46" ca="1" si="32">IF(OR(D44="MDU",D44="MDU-KD"),(IF($O$3="RAB NON MDU","PLN KD",G44*F44)),0)</f>
        <v>7995000</v>
      </c>
      <c r="I44" s="361">
        <f t="shared" ref="I44:I46" ca="1" si="33">IF(D44="HDW",G44*F44,0)</f>
        <v>0</v>
      </c>
      <c r="J44" s="361">
        <f t="shared" ref="J44:J46" ca="1" si="34">IF(D44="JASA",G44*F44,0)</f>
        <v>0</v>
      </c>
      <c r="K44" s="362">
        <f t="shared" ref="K44:K46" ca="1" si="35">SUM(H44:J44)</f>
        <v>7995000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498">
        <v>2</v>
      </c>
      <c r="C45" s="109" t="s">
        <v>347</v>
      </c>
      <c r="D45" s="508" t="s">
        <v>47</v>
      </c>
      <c r="E45" s="509" t="s">
        <v>297</v>
      </c>
      <c r="F45" s="509">
        <f>F44/50</f>
        <v>3</v>
      </c>
      <c r="G45" s="510">
        <v>85000</v>
      </c>
      <c r="H45" s="361">
        <f t="shared" si="32"/>
        <v>0</v>
      </c>
      <c r="I45" s="361">
        <f t="shared" si="33"/>
        <v>0</v>
      </c>
      <c r="J45" s="361">
        <f t="shared" si="34"/>
        <v>255000</v>
      </c>
      <c r="K45" s="362">
        <f t="shared" si="35"/>
        <v>255000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498"/>
      <c r="C46" s="499"/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501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ca="1" si="32"/>
        <v>0</v>
      </c>
      <c r="I46" s="361">
        <f t="shared" ca="1" si="33"/>
        <v>0</v>
      </c>
      <c r="J46" s="361">
        <f t="shared" ca="1" si="34"/>
        <v>0</v>
      </c>
      <c r="K46" s="362">
        <f t="shared" ca="1" si="35"/>
        <v>0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498"/>
      <c r="C47" s="514" t="s">
        <v>1625</v>
      </c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501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ref="H47:H68" ca="1" si="36">IF(OR(D47="MDU",D47="MDU-KD"),(IF($O$3="RAB NON MDU","PLN KD",G47*F47)),0)</f>
        <v>0</v>
      </c>
      <c r="I47" s="361">
        <f t="shared" ref="I47:I68" ca="1" si="37">IF(D47="HDW",G47*F47,0)</f>
        <v>0</v>
      </c>
      <c r="J47" s="361">
        <f t="shared" ref="J47:J68" ca="1" si="38">IF(D47="JASA",G47*F47,0)</f>
        <v>0</v>
      </c>
      <c r="K47" s="362">
        <f t="shared" ref="K47:K68" ca="1" si="39">SUM(H47:J47)</f>
        <v>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506" t="s">
        <v>1035</v>
      </c>
      <c r="C48" s="507" t="s">
        <v>1622</v>
      </c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01">
        <v>1</v>
      </c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36"/>
        <v>0</v>
      </c>
      <c r="I48" s="361">
        <f t="shared" ca="1" si="37"/>
        <v>0</v>
      </c>
      <c r="J48" s="361">
        <f t="shared" ca="1" si="38"/>
        <v>0</v>
      </c>
      <c r="K48" s="362">
        <f t="shared" ca="1" si="39"/>
        <v>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06">
        <v>1</v>
      </c>
      <c r="C49" s="507" t="s">
        <v>28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1">
        <f>F48*1</f>
        <v>1</v>
      </c>
      <c r="G49" s="360">
        <f ca="1">IF(ISERROR(OFFSET('HARGA SATUAN'!$I$6,MATCH(RAB!C49,'HARGA SATUAN'!$C$7:$C$1492,0),0)),0,OFFSET('HARGA SATUAN'!$I$6,MATCH(RAB!C49,'HARGA SATUAN'!$C$7:$C$1492,0),0))</f>
        <v>26500</v>
      </c>
      <c r="H49" s="361">
        <f t="shared" ca="1" si="36"/>
        <v>0</v>
      </c>
      <c r="I49" s="361">
        <f t="shared" ca="1" si="37"/>
        <v>26500</v>
      </c>
      <c r="J49" s="361">
        <f t="shared" ca="1" si="38"/>
        <v>0</v>
      </c>
      <c r="K49" s="362">
        <f t="shared" ca="1" si="39"/>
        <v>26500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06">
        <v>2</v>
      </c>
      <c r="C50" s="507" t="s">
        <v>203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1">
        <f>F48*1</f>
        <v>1</v>
      </c>
      <c r="G50" s="360">
        <f ca="1">IF(ISERROR(OFFSET('HARGA SATUAN'!$I$6,MATCH(RAB!C50,'HARGA SATUAN'!$C$7:$C$1492,0),0)),0,OFFSET('HARGA SATUAN'!$I$6,MATCH(RAB!C50,'HARGA SATUAN'!$C$7:$C$1492,0),0))</f>
        <v>12500</v>
      </c>
      <c r="H50" s="361">
        <f t="shared" ca="1" si="36"/>
        <v>0</v>
      </c>
      <c r="I50" s="361">
        <f t="shared" ca="1" si="37"/>
        <v>12500</v>
      </c>
      <c r="J50" s="361">
        <f t="shared" ca="1" si="38"/>
        <v>0</v>
      </c>
      <c r="K50" s="362">
        <f t="shared" ca="1" si="39"/>
        <v>12500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06">
        <v>3</v>
      </c>
      <c r="C51" s="507" t="s">
        <v>206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Mtr</v>
      </c>
      <c r="F51" s="501">
        <f>F48*12</f>
        <v>12</v>
      </c>
      <c r="G51" s="360">
        <f ca="1">IF(ISERROR(OFFSET('HARGA SATUAN'!$I$6,MATCH(RAB!C51,'HARGA SATUAN'!$C$7:$C$1492,0),0)),0,OFFSET('HARGA SATUAN'!$I$6,MATCH(RAB!C51,'HARGA SATUAN'!$C$7:$C$1492,0),0))</f>
        <v>39204</v>
      </c>
      <c r="H51" s="361">
        <f t="shared" ca="1" si="36"/>
        <v>0</v>
      </c>
      <c r="I51" s="361">
        <f t="shared" ca="1" si="37"/>
        <v>470448</v>
      </c>
      <c r="J51" s="361">
        <f t="shared" ca="1" si="38"/>
        <v>0</v>
      </c>
      <c r="K51" s="362">
        <f t="shared" ca="1" si="39"/>
        <v>470448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06">
        <v>4</v>
      </c>
      <c r="C52" s="507" t="s">
        <v>287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F48*2</f>
        <v>2</v>
      </c>
      <c r="G52" s="360">
        <f ca="1">IF(ISERROR(OFFSET('HARGA SATUAN'!$I$6,MATCH(RAB!C52,'HARGA SATUAN'!$C$7:$C$1492,0),0)),0,OFFSET('HARGA SATUAN'!$I$6,MATCH(RAB!C52,'HARGA SATUAN'!$C$7:$C$1492,0),0))</f>
        <v>40000</v>
      </c>
      <c r="H52" s="361">
        <f t="shared" ca="1" si="36"/>
        <v>0</v>
      </c>
      <c r="I52" s="361">
        <f t="shared" ca="1" si="37"/>
        <v>80000</v>
      </c>
      <c r="J52" s="361">
        <f t="shared" ca="1" si="38"/>
        <v>0</v>
      </c>
      <c r="K52" s="362">
        <f t="shared" ca="1" si="39"/>
        <v>80000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06">
        <v>5</v>
      </c>
      <c r="C53" s="507" t="s">
        <v>26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1">
        <f>F48*1</f>
        <v>1</v>
      </c>
      <c r="G53" s="360">
        <f ca="1">IF(ISERROR(OFFSET('HARGA SATUAN'!$I$6,MATCH(RAB!C53,'HARGA SATUAN'!$C$7:$C$1492,0),0)),0,OFFSET('HARGA SATUAN'!$I$6,MATCH(RAB!C53,'HARGA SATUAN'!$C$7:$C$1492,0),0))</f>
        <v>2500</v>
      </c>
      <c r="H53" s="361">
        <f t="shared" ca="1" si="36"/>
        <v>0</v>
      </c>
      <c r="I53" s="361">
        <f t="shared" ca="1" si="37"/>
        <v>2500</v>
      </c>
      <c r="J53" s="361">
        <f t="shared" ca="1" si="38"/>
        <v>0</v>
      </c>
      <c r="K53" s="362">
        <f t="shared" ca="1" si="39"/>
        <v>2500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506">
        <v>6</v>
      </c>
      <c r="C54" s="507" t="s">
        <v>760</v>
      </c>
      <c r="D54" s="358" t="str">
        <f ca="1">IF(ISERROR(OFFSET('HARGA SATUAN'!$D$6,MATCH(RAB!C54,'HARGA SATUAN'!$C$7:$C$1492,0),0)),"",OFFSET('HARGA SATUAN'!$D$6,MATCH(RAB!C54,'HARGA SATUAN'!$C$7:$C$1492,0),0))</f>
        <v>JASA</v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501">
        <f>F48*1</f>
        <v>1</v>
      </c>
      <c r="G54" s="360">
        <f ca="1">IF(ISERROR(OFFSET('HARGA SATUAN'!$I$6,MATCH(RAB!C54,'HARGA SATUAN'!$C$7:$C$1492,0),0)),0,OFFSET('HARGA SATUAN'!$I$6,MATCH(RAB!C54,'HARGA SATUAN'!$C$7:$C$1492,0),0))</f>
        <v>36600</v>
      </c>
      <c r="H54" s="361">
        <f t="shared" ca="1" si="36"/>
        <v>0</v>
      </c>
      <c r="I54" s="361">
        <f t="shared" ca="1" si="37"/>
        <v>0</v>
      </c>
      <c r="J54" s="361">
        <f t="shared" ca="1" si="38"/>
        <v>36600</v>
      </c>
      <c r="K54" s="362">
        <f t="shared" ca="1" si="39"/>
        <v>36600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498"/>
      <c r="C55" s="499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501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36"/>
        <v>0</v>
      </c>
      <c r="I55" s="361">
        <f t="shared" ca="1" si="37"/>
        <v>0</v>
      </c>
      <c r="J55" s="361">
        <f t="shared" ca="1" si="38"/>
        <v>0</v>
      </c>
      <c r="K55" s="362">
        <f t="shared" ca="1" si="39"/>
        <v>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506" t="s">
        <v>1035</v>
      </c>
      <c r="C56" s="507" t="s">
        <v>1623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01">
        <v>1</v>
      </c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36"/>
        <v>0</v>
      </c>
      <c r="I56" s="361">
        <f t="shared" ca="1" si="37"/>
        <v>0</v>
      </c>
      <c r="J56" s="361">
        <f t="shared" ca="1" si="38"/>
        <v>0</v>
      </c>
      <c r="K56" s="362">
        <f t="shared" ca="1" si="39"/>
        <v>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11">
        <v>1</v>
      </c>
      <c r="C57" s="512" t="s">
        <v>597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1">
        <f>F56*1</f>
        <v>1</v>
      </c>
      <c r="G57" s="360">
        <f ca="1">IF(ISERROR(OFFSET('HARGA SATUAN'!$I$6,MATCH(RAB!C57,'HARGA SATUAN'!$C$7:$C$1492,0),0)),0,OFFSET('HARGA SATUAN'!$I$6,MATCH(RAB!C57,'HARGA SATUAN'!$C$7:$C$1492,0),0))</f>
        <v>120900</v>
      </c>
      <c r="H57" s="361">
        <f t="shared" ca="1" si="36"/>
        <v>0</v>
      </c>
      <c r="I57" s="361">
        <f t="shared" ca="1" si="37"/>
        <v>120900</v>
      </c>
      <c r="J57" s="361">
        <f t="shared" ca="1" si="38"/>
        <v>0</v>
      </c>
      <c r="K57" s="362">
        <f t="shared" ca="1" si="39"/>
        <v>120900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02">
        <v>2</v>
      </c>
      <c r="C58" s="503" t="s">
        <v>261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1">
        <f>F56*1</f>
        <v>1</v>
      </c>
      <c r="G58" s="360">
        <f ca="1">IF(ISERROR(OFFSET('HARGA SATUAN'!$I$6,MATCH(RAB!C58,'HARGA SATUAN'!$C$7:$C$1492,0),0)),0,OFFSET('HARGA SATUAN'!$I$6,MATCH(RAB!C58,'HARGA SATUAN'!$C$7:$C$1492,0),0))</f>
        <v>135800</v>
      </c>
      <c r="H58" s="361">
        <f t="shared" ca="1" si="36"/>
        <v>0</v>
      </c>
      <c r="I58" s="361">
        <f t="shared" ca="1" si="37"/>
        <v>135800</v>
      </c>
      <c r="J58" s="361">
        <f t="shared" ca="1" si="38"/>
        <v>0</v>
      </c>
      <c r="K58" s="362">
        <f t="shared" ca="1" si="39"/>
        <v>135800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502">
        <v>3</v>
      </c>
      <c r="C59" s="504" t="s">
        <v>214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13">
        <f>F56*1</f>
        <v>1</v>
      </c>
      <c r="G59" s="360">
        <f ca="1">IF(ISERROR(OFFSET('HARGA SATUAN'!$I$6,MATCH(RAB!C59,'HARGA SATUAN'!$C$7:$C$1492,0),0)),0,OFFSET('HARGA SATUAN'!$I$6,MATCH(RAB!C59,'HARGA SATUAN'!$C$7:$C$1492,0),0))</f>
        <v>4500</v>
      </c>
      <c r="H59" s="361">
        <f t="shared" ca="1" si="36"/>
        <v>0</v>
      </c>
      <c r="I59" s="361">
        <f t="shared" ca="1" si="37"/>
        <v>4500</v>
      </c>
      <c r="J59" s="361">
        <f t="shared" ca="1" si="38"/>
        <v>0</v>
      </c>
      <c r="K59" s="362">
        <f t="shared" ca="1" si="39"/>
        <v>4500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06">
        <v>4</v>
      </c>
      <c r="C60" s="507" t="s">
        <v>768</v>
      </c>
      <c r="D60" s="358" t="str">
        <f ca="1">IF(ISERROR(OFFSET('HARGA SATUAN'!$D$6,MATCH(RAB!C60,'HARGA SATUAN'!$C$7:$C$1492,0),0)),"",OFFSET('HARGA SATUAN'!$D$6,MATCH(RAB!C60,'HARGA SATUAN'!$C$7:$C$1492,0),0))</f>
        <v>JASA</v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501">
        <f>F56*1</f>
        <v>1</v>
      </c>
      <c r="G60" s="360">
        <f ca="1">IF(ISERROR(OFFSET('HARGA SATUAN'!$I$6,MATCH(RAB!C60,'HARGA SATUAN'!$C$7:$C$1492,0),0)),0,OFFSET('HARGA SATUAN'!$I$6,MATCH(RAB!C60,'HARGA SATUAN'!$C$7:$C$1492,0),0))</f>
        <v>55500</v>
      </c>
      <c r="H60" s="361">
        <f t="shared" ca="1" si="36"/>
        <v>0</v>
      </c>
      <c r="I60" s="361">
        <f t="shared" ca="1" si="37"/>
        <v>0</v>
      </c>
      <c r="J60" s="361">
        <f t="shared" ca="1" si="38"/>
        <v>55500</v>
      </c>
      <c r="K60" s="362">
        <f t="shared" ca="1" si="39"/>
        <v>55500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506"/>
      <c r="C61" s="507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501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36"/>
        <v>0</v>
      </c>
      <c r="I61" s="361">
        <f t="shared" ca="1" si="37"/>
        <v>0</v>
      </c>
      <c r="J61" s="361">
        <f t="shared" ca="1" si="38"/>
        <v>0</v>
      </c>
      <c r="K61" s="362">
        <f t="shared" ca="1" si="39"/>
        <v>0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506" t="s">
        <v>1035</v>
      </c>
      <c r="C62" s="507" t="s">
        <v>1624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>Unit</v>
      </c>
      <c r="F62" s="501">
        <v>1</v>
      </c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36"/>
        <v>0</v>
      </c>
      <c r="I62" s="361">
        <f t="shared" ca="1" si="37"/>
        <v>0</v>
      </c>
      <c r="J62" s="361">
        <f t="shared" ca="1" si="38"/>
        <v>0</v>
      </c>
      <c r="K62" s="362">
        <f t="shared" ca="1" si="39"/>
        <v>0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506">
        <v>1</v>
      </c>
      <c r="C63" s="507" t="s">
        <v>30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01">
        <f>F62*1</f>
        <v>1</v>
      </c>
      <c r="G63" s="360">
        <f ca="1">IF(ISERROR(OFFSET('HARGA SATUAN'!$I$6,MATCH(RAB!C63,'HARGA SATUAN'!$C$7:$C$1492,0),0)),0,OFFSET('HARGA SATUAN'!$I$6,MATCH(RAB!C63,'HARGA SATUAN'!$C$7:$C$1492,0),0))</f>
        <v>47459</v>
      </c>
      <c r="H63" s="361">
        <f t="shared" ca="1" si="36"/>
        <v>0</v>
      </c>
      <c r="I63" s="361">
        <f t="shared" ca="1" si="37"/>
        <v>47459</v>
      </c>
      <c r="J63" s="361">
        <f t="shared" ca="1" si="38"/>
        <v>0</v>
      </c>
      <c r="K63" s="362">
        <f t="shared" ca="1" si="39"/>
        <v>47459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506">
        <v>2</v>
      </c>
      <c r="C64" s="507" t="s">
        <v>32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Mtr</v>
      </c>
      <c r="F64" s="501">
        <f>F62*1</f>
        <v>1</v>
      </c>
      <c r="G64" s="360">
        <f ca="1">IF(ISERROR(OFFSET('HARGA SATUAN'!$I$6,MATCH(RAB!C64,'HARGA SATUAN'!$C$7:$C$1492,0),0)),0,OFFSET('HARGA SATUAN'!$I$6,MATCH(RAB!C64,'HARGA SATUAN'!$C$7:$C$1492,0),0))</f>
        <v>30000</v>
      </c>
      <c r="H64" s="361">
        <f t="shared" ca="1" si="36"/>
        <v>0</v>
      </c>
      <c r="I64" s="361">
        <f t="shared" ca="1" si="37"/>
        <v>30000</v>
      </c>
      <c r="J64" s="361">
        <f t="shared" ca="1" si="38"/>
        <v>0</v>
      </c>
      <c r="K64" s="362">
        <f t="shared" ca="1" si="39"/>
        <v>30000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506">
        <v>3</v>
      </c>
      <c r="C65" s="507" t="s">
        <v>33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1">
        <f>F62*1</f>
        <v>1</v>
      </c>
      <c r="G65" s="360">
        <f ca="1">IF(ISERROR(OFFSET('HARGA SATUAN'!$I$6,MATCH(RAB!C65,'HARGA SATUAN'!$C$7:$C$1492,0),0)),0,OFFSET('HARGA SATUAN'!$I$6,MATCH(RAB!C65,'HARGA SATUAN'!$C$7:$C$1492,0),0))</f>
        <v>9500</v>
      </c>
      <c r="H65" s="361">
        <f t="shared" ca="1" si="36"/>
        <v>0</v>
      </c>
      <c r="I65" s="361">
        <f t="shared" ca="1" si="37"/>
        <v>9500</v>
      </c>
      <c r="J65" s="361">
        <f t="shared" ca="1" si="38"/>
        <v>0</v>
      </c>
      <c r="K65" s="362">
        <f t="shared" ca="1" si="39"/>
        <v>9500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506">
        <v>4</v>
      </c>
      <c r="C66" s="507" t="s">
        <v>738</v>
      </c>
      <c r="D66" s="358" t="str">
        <f ca="1">IF(ISERROR(OFFSET('HARGA SATUAN'!$D$6,MATCH(RAB!C66,'HARGA SATUAN'!$C$7:$C$1492,0),0)),"",OFFSET('HARGA SATUAN'!$D$6,MATCH(RAB!C66,'HARGA SATUAN'!$C$7:$C$1492,0),0))</f>
        <v>JASA</v>
      </c>
      <c r="E66" s="359" t="str">
        <f ca="1">IF(B66="+","Unit",IF(ISERROR(OFFSET('HARGA SATUAN'!$E$6,MATCH(RAB!C66,'HARGA SATUAN'!$C$7:$C$1492,0),0)),"",OFFSET('HARGA SATUAN'!$E$6,MATCH(RAB!C66,'HARGA SATUAN'!$C$7:$C$1492,0),0)))</f>
        <v>Unit</v>
      </c>
      <c r="F66" s="501">
        <f>F62*1</f>
        <v>1</v>
      </c>
      <c r="G66" s="360">
        <f ca="1">IF(ISERROR(OFFSET('HARGA SATUAN'!$I$6,MATCH(RAB!C66,'HARGA SATUAN'!$C$7:$C$1492,0),0)),0,OFFSET('HARGA SATUAN'!$I$6,MATCH(RAB!C66,'HARGA SATUAN'!$C$7:$C$1492,0),0))</f>
        <v>21200</v>
      </c>
      <c r="H66" s="361">
        <f t="shared" ca="1" si="36"/>
        <v>0</v>
      </c>
      <c r="I66" s="361">
        <f t="shared" ca="1" si="37"/>
        <v>0</v>
      </c>
      <c r="J66" s="361">
        <f t="shared" ca="1" si="38"/>
        <v>21200</v>
      </c>
      <c r="K66" s="362">
        <f t="shared" ca="1" si="39"/>
        <v>21200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498"/>
      <c r="C67" s="499"/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501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ca="1" si="36"/>
        <v>0</v>
      </c>
      <c r="I67" s="361">
        <f t="shared" ca="1" si="37"/>
        <v>0</v>
      </c>
      <c r="J67" s="361">
        <f t="shared" ca="1" si="38"/>
        <v>0</v>
      </c>
      <c r="K67" s="362">
        <f t="shared" ca="1" si="39"/>
        <v>0</v>
      </c>
      <c r="L67" s="342"/>
      <c r="M67" s="342"/>
      <c r="N67" s="369"/>
      <c r="O67" s="344"/>
      <c r="P67" s="397"/>
      <c r="Q67" s="344"/>
    </row>
    <row r="68" spans="1:17">
      <c r="B68" s="366" t="s">
        <v>1614</v>
      </c>
      <c r="C68" s="367" t="s">
        <v>1616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501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36"/>
        <v>0</v>
      </c>
      <c r="I68" s="361">
        <f t="shared" ca="1" si="37"/>
        <v>0</v>
      </c>
      <c r="J68" s="361">
        <f t="shared" ca="1" si="38"/>
        <v>0</v>
      </c>
      <c r="K68" s="362">
        <f t="shared" ca="1" si="39"/>
        <v>0</v>
      </c>
    </row>
    <row r="69" spans="1:17">
      <c r="B69" s="494"/>
      <c r="C69" s="497"/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501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ref="H69" ca="1" si="40">IF(OR(D69="MDU",D69="MDU-KD"),(IF($O$3="RAB NON MDU","PLN KD",G69*F69)),0)</f>
        <v>0</v>
      </c>
      <c r="I69" s="361">
        <f t="shared" ref="I69" ca="1" si="41">IF(D69="HDW",G69*F69,0)</f>
        <v>0</v>
      </c>
      <c r="J69" s="361">
        <f t="shared" ref="J69" ca="1" si="42">IF(D69="JASA",G69*F69,0)</f>
        <v>0</v>
      </c>
      <c r="K69" s="362">
        <f t="shared" ref="K69" ca="1" si="43">SUM(H69:J69)</f>
        <v>0</v>
      </c>
    </row>
    <row r="70" spans="1:17">
      <c r="B70" s="495" t="s">
        <v>1615</v>
      </c>
      <c r="C70" s="500" t="s">
        <v>1618</v>
      </c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501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ref="H70:H71" ca="1" si="44">IF(OR(D70="MDU",D70="MDU-KD"),(IF($O$3="RAB NON MDU","PLN KD",G70*F70)),0)</f>
        <v>0</v>
      </c>
      <c r="I70" s="361">
        <f t="shared" ref="I70:I71" ca="1" si="45">IF(D70="HDW",G70*F70,0)</f>
        <v>0</v>
      </c>
      <c r="J70" s="361">
        <f t="shared" ref="J70:J71" ca="1" si="46">IF(D70="JASA",G70*F70,0)</f>
        <v>0</v>
      </c>
      <c r="K70" s="362">
        <f t="shared" ref="K70:K71" ca="1" si="47">SUM(H70:J70)</f>
        <v>0</v>
      </c>
    </row>
    <row r="71" spans="1:17">
      <c r="B71" s="495"/>
      <c r="C71" s="496"/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501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ca="1" si="44"/>
        <v>0</v>
      </c>
      <c r="I71" s="361">
        <f t="shared" ca="1" si="45"/>
        <v>0</v>
      </c>
      <c r="J71" s="361">
        <f t="shared" ca="1" si="46"/>
        <v>0</v>
      </c>
      <c r="K71" s="362">
        <f t="shared" ca="1" si="47"/>
        <v>0</v>
      </c>
    </row>
    <row r="72" spans="1:17">
      <c r="B72" s="495" t="s">
        <v>1035</v>
      </c>
      <c r="C72" s="496" t="s">
        <v>1629</v>
      </c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>Unit</v>
      </c>
      <c r="F72" s="518">
        <v>5</v>
      </c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ref="H72:H76" ca="1" si="48">IF(OR(D72="MDU",D72="MDU-KD"),(IF($O$3="RAB NON MDU","PLN KD",G72*F72)),0)</f>
        <v>0</v>
      </c>
      <c r="I72" s="361">
        <f t="shared" ref="I72:I76" ca="1" si="49">IF(D72="HDW",G72*F72,0)</f>
        <v>0</v>
      </c>
      <c r="J72" s="361">
        <f t="shared" ref="J72:J76" ca="1" si="50">IF(D72="JASA",G72*F72,0)</f>
        <v>0</v>
      </c>
      <c r="K72" s="362">
        <f t="shared" ref="K72:K76" ca="1" si="51">SUM(H72:J72)</f>
        <v>0</v>
      </c>
    </row>
    <row r="73" spans="1:17">
      <c r="B73" s="521">
        <v>1</v>
      </c>
      <c r="C73" s="109" t="s">
        <v>482</v>
      </c>
      <c r="D73" s="358" t="str">
        <f ca="1">IF(ISERROR(OFFSET('HARGA SATUAN'!$D$6,MATCH(RAB!C73,'HARGA SATUAN'!$C$7:$C$1492,0),0)),"",OFFSET('HARGA SATUAN'!$D$6,MATCH(RAB!C73,'HARGA SATUAN'!$C$7:$C$1492,0),0))</f>
        <v>MDU-KD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18">
        <f>F72*1</f>
        <v>5</v>
      </c>
      <c r="G73" s="360">
        <f ca="1">IF(ISERROR(OFFSET('HARGA SATUAN'!$I$6,MATCH(RAB!C73,'HARGA SATUAN'!$C$7:$C$1492,0),0)),0,OFFSET('HARGA SATUAN'!$I$6,MATCH(RAB!C73,'HARGA SATUAN'!$C$7:$C$1492,0),0))</f>
        <v>327600</v>
      </c>
      <c r="H73" s="361">
        <f t="shared" ca="1" si="48"/>
        <v>1638000</v>
      </c>
      <c r="I73" s="361">
        <f t="shared" ca="1" si="49"/>
        <v>0</v>
      </c>
      <c r="J73" s="361">
        <f t="shared" ca="1" si="50"/>
        <v>0</v>
      </c>
      <c r="K73" s="362">
        <f t="shared" ca="1" si="51"/>
        <v>1638000</v>
      </c>
    </row>
    <row r="74" spans="1:17">
      <c r="B74" s="521">
        <v>2</v>
      </c>
      <c r="C74" s="522" t="s">
        <v>487</v>
      </c>
      <c r="D74" s="358" t="str">
        <f ca="1">IF(ISERROR(OFFSET('HARGA SATUAN'!$D$6,MATCH(RAB!C74,'HARGA SATUAN'!$C$7:$C$1492,0),0)),"",OFFSET('HARGA SATUAN'!$D$6,MATCH(RAB!C74,'HARGA SATUAN'!$C$7:$C$1492,0),0))</f>
        <v>MDU-KD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18">
        <f>F72*1</f>
        <v>5</v>
      </c>
      <c r="G74" s="360">
        <f ca="1">IF(ISERROR(OFFSET('HARGA SATUAN'!$I$6,MATCH(RAB!C74,'HARGA SATUAN'!$C$7:$C$1492,0),0)),0,OFFSET('HARGA SATUAN'!$I$6,MATCH(RAB!C74,'HARGA SATUAN'!$C$7:$C$1492,0),0))</f>
        <v>39000</v>
      </c>
      <c r="H74" s="361">
        <f t="shared" ca="1" si="48"/>
        <v>195000</v>
      </c>
      <c r="I74" s="361">
        <f t="shared" ca="1" si="49"/>
        <v>0</v>
      </c>
      <c r="J74" s="361">
        <f t="shared" ca="1" si="50"/>
        <v>0</v>
      </c>
      <c r="K74" s="362">
        <f t="shared" ca="1" si="51"/>
        <v>195000</v>
      </c>
    </row>
    <row r="75" spans="1:17">
      <c r="B75" s="521">
        <v>3</v>
      </c>
      <c r="C75" s="522" t="s">
        <v>73</v>
      </c>
      <c r="D75" s="358" t="str">
        <f ca="1">IF(ISERROR(OFFSET('HARGA SATUAN'!$D$6,MATCH(RAB!C75,'HARGA SATUAN'!$C$7:$C$1492,0),0)),"",OFFSET('HARGA SATUAN'!$D$6,MATCH(RAB!C75,'HARGA SATUAN'!$C$7:$C$1492,0),0))</f>
        <v>MDU-KD</v>
      </c>
      <c r="E75" s="359" t="str">
        <f ca="1">IF(B75="+","Unit",IF(ISERROR(OFFSET('HARGA SATUAN'!$E$6,MATCH(RAB!C75,'HARGA SATUAN'!$C$7:$C$1492,0),0)),"",OFFSET('HARGA SATUAN'!$E$6,MATCH(RAB!C75,'HARGA SATUAN'!$C$7:$C$1492,0),0)))</f>
        <v>Mtr</v>
      </c>
      <c r="F75" s="518">
        <f>F72*20</f>
        <v>100</v>
      </c>
      <c r="G75" s="360">
        <f ca="1">IF(ISERROR(OFFSET('HARGA SATUAN'!$I$6,MATCH(RAB!C75,'HARGA SATUAN'!$C$7:$C$1492,0),0)),0,OFFSET('HARGA SATUAN'!$I$6,MATCH(RAB!C75,'HARGA SATUAN'!$C$7:$C$1492,0),0))</f>
        <v>4300</v>
      </c>
      <c r="H75" s="361">
        <f t="shared" ca="1" si="48"/>
        <v>430000</v>
      </c>
      <c r="I75" s="361">
        <f t="shared" ca="1" si="49"/>
        <v>0</v>
      </c>
      <c r="J75" s="361">
        <f t="shared" ca="1" si="50"/>
        <v>0</v>
      </c>
      <c r="K75" s="362">
        <f t="shared" ca="1" si="51"/>
        <v>430000</v>
      </c>
    </row>
    <row r="76" spans="1:17">
      <c r="B76" s="521">
        <v>4</v>
      </c>
      <c r="C76" s="522" t="s">
        <v>798</v>
      </c>
      <c r="D76" s="358" t="str">
        <f ca="1">IF(ISERROR(OFFSET('HARGA SATUAN'!$D$6,MATCH(RAB!C76,'HARGA SATUAN'!$C$7:$C$1492,0),0)),"",OFFSET('HARGA SATUAN'!$D$6,MATCH(RAB!C76,'HARGA SATUAN'!$C$7:$C$1492,0),0))</f>
        <v>JASA</v>
      </c>
      <c r="E76" s="359" t="str">
        <f ca="1">IF(B76="+","Unit",IF(ISERROR(OFFSET('HARGA SATUAN'!$E$6,MATCH(RAB!C76,'HARGA SATUAN'!$C$7:$C$1492,0),0)),"",OFFSET('HARGA SATUAN'!$E$6,MATCH(RAB!C76,'HARGA SATUAN'!$C$7:$C$1492,0),0)))</f>
        <v>Unit</v>
      </c>
      <c r="F76" s="518">
        <f>F72*1</f>
        <v>5</v>
      </c>
      <c r="G76" s="360">
        <f ca="1">IF(ISERROR(OFFSET('HARGA SATUAN'!$I$6,MATCH(RAB!C76,'HARGA SATUAN'!$C$7:$C$1492,0),0)),0,OFFSET('HARGA SATUAN'!$I$6,MATCH(RAB!C76,'HARGA SATUAN'!$C$7:$C$1492,0),0))</f>
        <v>54400</v>
      </c>
      <c r="H76" s="361">
        <f t="shared" ca="1" si="48"/>
        <v>0</v>
      </c>
      <c r="I76" s="361">
        <f t="shared" ca="1" si="49"/>
        <v>0</v>
      </c>
      <c r="J76" s="361">
        <f t="shared" ca="1" si="50"/>
        <v>272000</v>
      </c>
      <c r="K76" s="362">
        <f t="shared" ca="1" si="51"/>
        <v>272000</v>
      </c>
    </row>
    <row r="77" spans="1:17">
      <c r="B77" s="374"/>
      <c r="C77" s="505"/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/>
      </c>
      <c r="F77" s="368"/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ref="H77:H89" ca="1" si="52">IF(OR(D77="MDU",D77="MDU-KD"),(IF($O$3="RAB NON MDU","PLN KD",G77*F77)),0)</f>
        <v>0</v>
      </c>
      <c r="I77" s="361">
        <f t="shared" ref="I77:I89" ca="1" si="53">IF(D77="HDW",G77*F77,0)</f>
        <v>0</v>
      </c>
      <c r="J77" s="361">
        <f t="shared" ref="J77:J89" ca="1" si="54">IF(D77="JASA",G77*F77,0)</f>
        <v>0</v>
      </c>
      <c r="K77" s="362">
        <f t="shared" ref="K77:K89" ca="1" si="55">SUM(H77:J77)</f>
        <v>0</v>
      </c>
    </row>
    <row r="78" spans="1:17">
      <c r="B78" s="515" t="s">
        <v>1035</v>
      </c>
      <c r="C78" s="517" t="s">
        <v>1627</v>
      </c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>Unit</v>
      </c>
      <c r="F78" s="518">
        <f>F72</f>
        <v>5</v>
      </c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ca="1" si="52"/>
        <v>0</v>
      </c>
      <c r="I78" s="361">
        <f t="shared" ca="1" si="53"/>
        <v>0</v>
      </c>
      <c r="J78" s="361">
        <f t="shared" ca="1" si="54"/>
        <v>0</v>
      </c>
      <c r="K78" s="362">
        <f t="shared" ca="1" si="55"/>
        <v>0</v>
      </c>
    </row>
    <row r="79" spans="1:17">
      <c r="B79" s="515">
        <v>1</v>
      </c>
      <c r="C79" s="517" t="s">
        <v>115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Set</v>
      </c>
      <c r="F79" s="518">
        <f>F78*1</f>
        <v>5</v>
      </c>
      <c r="G79" s="360">
        <f ca="1">IF(ISERROR(OFFSET('HARGA SATUAN'!$I$6,MATCH(RAB!C79,'HARGA SATUAN'!$C$7:$C$1492,0),0)),0,OFFSET('HARGA SATUAN'!$I$6,MATCH(RAB!C79,'HARGA SATUAN'!$C$7:$C$1492,0),0))</f>
        <v>11500</v>
      </c>
      <c r="H79" s="361">
        <f t="shared" ca="1" si="52"/>
        <v>0</v>
      </c>
      <c r="I79" s="361">
        <f t="shared" ca="1" si="53"/>
        <v>57500</v>
      </c>
      <c r="J79" s="361">
        <f t="shared" ca="1" si="54"/>
        <v>0</v>
      </c>
      <c r="K79" s="362">
        <f t="shared" ca="1" si="55"/>
        <v>57500</v>
      </c>
    </row>
    <row r="80" spans="1:17">
      <c r="B80" s="515">
        <v>2</v>
      </c>
      <c r="C80" s="517" t="s">
        <v>145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Set</v>
      </c>
      <c r="F80" s="518">
        <f>F78*1</f>
        <v>5</v>
      </c>
      <c r="G80" s="360">
        <f ca="1">IF(ISERROR(OFFSET('HARGA SATUAN'!$I$6,MATCH(RAB!C80,'HARGA SATUAN'!$C$7:$C$1492,0),0)),0,OFFSET('HARGA SATUAN'!$I$6,MATCH(RAB!C80,'HARGA SATUAN'!$C$7:$C$1492,0),0))</f>
        <v>6200</v>
      </c>
      <c r="H80" s="361">
        <f t="shared" ca="1" si="52"/>
        <v>0</v>
      </c>
      <c r="I80" s="361">
        <f t="shared" ca="1" si="53"/>
        <v>31000</v>
      </c>
      <c r="J80" s="361">
        <f t="shared" ca="1" si="54"/>
        <v>0</v>
      </c>
      <c r="K80" s="362">
        <f t="shared" ca="1" si="55"/>
        <v>31000</v>
      </c>
    </row>
    <row r="81" spans="2:13">
      <c r="B81" s="515">
        <v>3</v>
      </c>
      <c r="C81" s="517" t="s">
        <v>587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Btg</v>
      </c>
      <c r="F81" s="518">
        <f>F78*1</f>
        <v>5</v>
      </c>
      <c r="G81" s="360">
        <f ca="1">IF(ISERROR(OFFSET('HARGA SATUAN'!$I$6,MATCH(RAB!C81,'HARGA SATUAN'!$C$7:$C$1492,0),0)),0,OFFSET('HARGA SATUAN'!$I$6,MATCH(RAB!C81,'HARGA SATUAN'!$C$7:$C$1492,0),0))</f>
        <v>45796</v>
      </c>
      <c r="H81" s="361">
        <f t="shared" ca="1" si="52"/>
        <v>0</v>
      </c>
      <c r="I81" s="361">
        <f t="shared" ca="1" si="53"/>
        <v>228980</v>
      </c>
      <c r="J81" s="361">
        <f t="shared" ca="1" si="54"/>
        <v>0</v>
      </c>
      <c r="K81" s="362">
        <f t="shared" ca="1" si="55"/>
        <v>228980</v>
      </c>
    </row>
    <row r="82" spans="2:13">
      <c r="B82" s="515">
        <v>4</v>
      </c>
      <c r="C82" s="517" t="s">
        <v>118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Set</v>
      </c>
      <c r="F82" s="518">
        <f>F78*1</f>
        <v>5</v>
      </c>
      <c r="G82" s="360">
        <f ca="1">IF(ISERROR(OFFSET('HARGA SATUAN'!$I$6,MATCH(RAB!C82,'HARGA SATUAN'!$C$7:$C$1492,0),0)),0,OFFSET('HARGA SATUAN'!$I$6,MATCH(RAB!C82,'HARGA SATUAN'!$C$7:$C$1492,0),0))</f>
        <v>5300</v>
      </c>
      <c r="H82" s="361">
        <f t="shared" ca="1" si="52"/>
        <v>0</v>
      </c>
      <c r="I82" s="361">
        <f t="shared" ca="1" si="53"/>
        <v>26500</v>
      </c>
      <c r="J82" s="361">
        <f t="shared" ca="1" si="54"/>
        <v>0</v>
      </c>
      <c r="K82" s="362">
        <f t="shared" ca="1" si="55"/>
        <v>26500</v>
      </c>
    </row>
    <row r="83" spans="2:13">
      <c r="B83" s="515">
        <v>5</v>
      </c>
      <c r="C83" s="517" t="s">
        <v>117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518">
        <f>F78*1</f>
        <v>5</v>
      </c>
      <c r="G83" s="360">
        <f ca="1">IF(ISERROR(OFFSET('HARGA SATUAN'!$I$6,MATCH(RAB!C83,'HARGA SATUAN'!$C$7:$C$1492,0),0)),0,OFFSET('HARGA SATUAN'!$I$6,MATCH(RAB!C83,'HARGA SATUAN'!$C$7:$C$1492,0),0))</f>
        <v>58600</v>
      </c>
      <c r="H83" s="361">
        <f t="shared" ca="1" si="52"/>
        <v>0</v>
      </c>
      <c r="I83" s="361">
        <f t="shared" ca="1" si="53"/>
        <v>293000</v>
      </c>
      <c r="J83" s="361">
        <f t="shared" ca="1" si="54"/>
        <v>0</v>
      </c>
      <c r="K83" s="362">
        <f t="shared" ca="1" si="55"/>
        <v>293000</v>
      </c>
    </row>
    <row r="84" spans="2:13">
      <c r="B84" s="515">
        <v>6</v>
      </c>
      <c r="C84" s="109" t="s">
        <v>1154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Set</v>
      </c>
      <c r="F84" s="518">
        <f>F78*1</f>
        <v>5</v>
      </c>
      <c r="G84" s="360">
        <f ca="1">IF(ISERROR(OFFSET('HARGA SATUAN'!$I$6,MATCH(RAB!C84,'HARGA SATUAN'!$C$7:$C$1492,0),0)),0,OFFSET('HARGA SATUAN'!$I$6,MATCH(RAB!C84,'HARGA SATUAN'!$C$7:$C$1492,0),0))</f>
        <v>3888</v>
      </c>
      <c r="H84" s="361">
        <f t="shared" ca="1" si="52"/>
        <v>0</v>
      </c>
      <c r="I84" s="361">
        <f t="shared" ca="1" si="53"/>
        <v>19440</v>
      </c>
      <c r="J84" s="361">
        <f t="shared" ca="1" si="54"/>
        <v>0</v>
      </c>
      <c r="K84" s="362">
        <f t="shared" ca="1" si="55"/>
        <v>19440</v>
      </c>
    </row>
    <row r="85" spans="2:13">
      <c r="B85" s="515">
        <v>7</v>
      </c>
      <c r="C85" s="517" t="s">
        <v>119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Set</v>
      </c>
      <c r="F85" s="518">
        <f>F78*2</f>
        <v>10</v>
      </c>
      <c r="G85" s="360">
        <f ca="1">IF(ISERROR(OFFSET('HARGA SATUAN'!$I$6,MATCH(RAB!C85,'HARGA SATUAN'!$C$7:$C$1492,0),0)),0,OFFSET('HARGA SATUAN'!$I$6,MATCH(RAB!C85,'HARGA SATUAN'!$C$7:$C$1492,0),0))</f>
        <v>8900</v>
      </c>
      <c r="H85" s="361">
        <f t="shared" ca="1" si="52"/>
        <v>0</v>
      </c>
      <c r="I85" s="361">
        <f t="shared" ca="1" si="53"/>
        <v>89000</v>
      </c>
      <c r="J85" s="361">
        <f t="shared" ca="1" si="54"/>
        <v>0</v>
      </c>
      <c r="K85" s="362">
        <f t="shared" ca="1" si="55"/>
        <v>89000</v>
      </c>
    </row>
    <row r="86" spans="2:13">
      <c r="B86" s="374"/>
      <c r="C86" s="505"/>
      <c r="D86" s="358" t="str">
        <f ca="1">IF(ISERROR(OFFSET('HARGA SATUAN'!$D$6,MATCH(RAB!C86,'HARGA SATUAN'!$C$7:$C$1492,0),0)),"",OFFSET('HARGA SATUAN'!$D$6,MATCH(RAB!C86,'HARGA SATUAN'!$C$7:$C$1492,0),0))</f>
        <v/>
      </c>
      <c r="E86" s="359" t="str">
        <f ca="1">IF(B86="+","Unit",IF(ISERROR(OFFSET('HARGA SATUAN'!$E$6,MATCH(RAB!C86,'HARGA SATUAN'!$C$7:$C$1492,0),0)),"",OFFSET('HARGA SATUAN'!$E$6,MATCH(RAB!C86,'HARGA SATUAN'!$C$7:$C$1492,0),0)))</f>
        <v/>
      </c>
      <c r="F86" s="368"/>
      <c r="G86" s="360">
        <f ca="1">IF(ISERROR(OFFSET('HARGA SATUAN'!$I$6,MATCH(RAB!C86,'HARGA SATUAN'!$C$7:$C$1492,0),0)),0,OFFSET('HARGA SATUAN'!$I$6,MATCH(RAB!C86,'HARGA SATUAN'!$C$7:$C$1492,0),0))</f>
        <v>0</v>
      </c>
      <c r="H86" s="361">
        <f t="shared" ca="1" si="52"/>
        <v>0</v>
      </c>
      <c r="I86" s="361">
        <f t="shared" ca="1" si="53"/>
        <v>0</v>
      </c>
      <c r="J86" s="361">
        <f t="shared" ca="1" si="54"/>
        <v>0</v>
      </c>
      <c r="K86" s="362">
        <f t="shared" ca="1" si="55"/>
        <v>0</v>
      </c>
    </row>
    <row r="87" spans="2:13">
      <c r="B87" s="366" t="s">
        <v>22</v>
      </c>
      <c r="C87" s="367" t="s">
        <v>1617</v>
      </c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IF(B87="+","Unit",IF(ISERROR(OFFSET('HARGA SATUAN'!$E$6,MATCH(RAB!C87,'HARGA SATUAN'!$C$7:$C$1492,0),0)),"",OFFSET('HARGA SATUAN'!$E$6,MATCH(RAB!C87,'HARGA SATUAN'!$C$7:$C$1492,0),0)))</f>
        <v/>
      </c>
      <c r="F87" s="368"/>
      <c r="G87" s="360">
        <f ca="1">IF(ISERROR(OFFSET('HARGA SATUAN'!$I$6,MATCH(RAB!C87,'HARGA SATUAN'!$C$7:$C$1492,0),0)),0,OFFSET('HARGA SATUAN'!$I$6,MATCH(RAB!C87,'HARGA SATUAN'!$C$7:$C$1492,0),0))</f>
        <v>0</v>
      </c>
      <c r="H87" s="361">
        <f t="shared" ca="1" si="52"/>
        <v>0</v>
      </c>
      <c r="I87" s="361">
        <f t="shared" ca="1" si="53"/>
        <v>0</v>
      </c>
      <c r="J87" s="361">
        <f t="shared" ca="1" si="54"/>
        <v>0</v>
      </c>
      <c r="K87" s="362">
        <f t="shared" ca="1" si="55"/>
        <v>0</v>
      </c>
    </row>
    <row r="88" spans="2:13">
      <c r="B88" s="374"/>
      <c r="C88" s="373"/>
      <c r="D88" s="358" t="str">
        <f ca="1">IF(ISERROR(OFFSET('HARGA SATUAN'!$D$6,MATCH(RAB!C88,'HARGA SATUAN'!$C$7:$C$1492,0),0)),"",OFFSET('HARGA SATUAN'!$D$6,MATCH(RAB!C88,'HARGA SATUAN'!$C$7:$C$1492,0),0))</f>
        <v/>
      </c>
      <c r="E88" s="359" t="str">
        <f ca="1">IF(B88="+","Unit",IF(ISERROR(OFFSET('HARGA SATUAN'!$E$6,MATCH(RAB!C88,'HARGA SATUAN'!$C$7:$C$1492,0),0)),"",OFFSET('HARGA SATUAN'!$E$6,MATCH(RAB!C88,'HARGA SATUAN'!$C$7:$C$1492,0),0)))</f>
        <v/>
      </c>
      <c r="F88" s="368"/>
      <c r="G88" s="360">
        <f ca="1">IF(ISERROR(OFFSET('HARGA SATUAN'!$I$6,MATCH(RAB!C88,'HARGA SATUAN'!$C$7:$C$1492,0),0)),0,OFFSET('HARGA SATUAN'!$I$6,MATCH(RAB!C88,'HARGA SATUAN'!$C$7:$C$1492,0),0))</f>
        <v>0</v>
      </c>
      <c r="H88" s="361">
        <f t="shared" ca="1" si="52"/>
        <v>0</v>
      </c>
      <c r="I88" s="361">
        <f t="shared" ca="1" si="53"/>
        <v>0</v>
      </c>
      <c r="J88" s="361">
        <f t="shared" ca="1" si="54"/>
        <v>0</v>
      </c>
      <c r="K88" s="362">
        <f t="shared" ca="1" si="55"/>
        <v>0</v>
      </c>
    </row>
    <row r="89" spans="2:13">
      <c r="B89" s="375"/>
      <c r="C89" s="376" t="s">
        <v>475</v>
      </c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368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52"/>
        <v>0</v>
      </c>
      <c r="I89" s="361">
        <f t="shared" ca="1" si="53"/>
        <v>0</v>
      </c>
      <c r="J89" s="361">
        <f t="shared" ca="1" si="54"/>
        <v>0</v>
      </c>
      <c r="K89" s="362">
        <f t="shared" ca="1" si="55"/>
        <v>0</v>
      </c>
    </row>
    <row r="90" spans="2:13">
      <c r="B90" s="378">
        <v>1</v>
      </c>
      <c r="C90" s="379" t="s">
        <v>1091</v>
      </c>
      <c r="D90" s="380" t="str">
        <f ca="1">IF(ISERROR(OFFSET('HARGA SATUAN'!$D$6,MATCH(RAB!C90,'HARGA SATUAN'!$C$7:$C$1492,0),0)),"",OFFSET('HARGA SATUAN'!$D$6,MATCH(RAB!C90,'HARGA SATUAN'!$C$7:$C$1492,0),0))</f>
        <v>JASA</v>
      </c>
      <c r="E90" s="381" t="str">
        <f ca="1">IF(ISERROR(OFFSET('HARGA SATUAN'!$E$6,MATCH(RAB!C90,'HARGA SATUAN'!$C$7:$C$1492,0),0)),"",OFFSET('HARGA SATUAN'!$E$6,MATCH(RAB!C90,'HARGA SATUAN'!$C$7:$C$1492,0),0))</f>
        <v>Lot</v>
      </c>
      <c r="F90" s="382">
        <v>1</v>
      </c>
      <c r="G90" s="383">
        <f ca="1">IF(ISERROR(OFFSET('HARGA SATUAN'!$I$6,MATCH(RAB!C90,'HARGA SATUAN'!$C$7:$C$1492,0),0)),0,OFFSET('HARGA SATUAN'!$I$6,MATCH(RAB!C90,'HARGA SATUAN'!$C$7:$C$1492,0),0))</f>
        <v>2.5000000000000001E-2</v>
      </c>
      <c r="H90" s="384"/>
      <c r="I90" s="384"/>
      <c r="J90" s="384">
        <f ca="1">SUM(K15:K20)*G90</f>
        <v>314130</v>
      </c>
      <c r="K90" s="385">
        <f ca="1">SUM(H90:J90)</f>
        <v>314130</v>
      </c>
    </row>
    <row r="91" spans="2:13">
      <c r="B91" s="386"/>
      <c r="C91" s="387"/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IF(ISERROR(OFFSET('HARGA SATUAN'!$E$6,MATCH(RAB!C91,'HARGA SATUAN'!$C$7:$C$1492,0),0)),"",OFFSET('HARGA SATUAN'!$E$6,MATCH(RAB!C91,'HARGA SATUAN'!$C$7:$C$1492,0),0))</f>
        <v/>
      </c>
      <c r="F91" s="377"/>
      <c r="G91" s="360" t="str">
        <f ca="1">IF(ISERROR(OFFSET('HARGA SATUAN'!$I$6,MATCH(RAB!C91,'HARGA SATUAN'!$C$7:$C$1492,0),0)),"",OFFSET('HARGA SATUAN'!$I$6,MATCH(RAB!C91,'HARGA SATUAN'!$C$7:$C$1492,0),0))</f>
        <v/>
      </c>
      <c r="H91" s="361">
        <f ca="1">IF(OR(D91="MDU",D91="MDU-KD"),IF(G91="PLN",0,G91*F91),0)</f>
        <v>0</v>
      </c>
      <c r="I91" s="361">
        <f ca="1">IF(D91="HDW",IF(G91="PLN",0,G91*F91),0)</f>
        <v>0</v>
      </c>
      <c r="J91" s="361">
        <f ca="1">IF(D91="JASA",IF(G91="PLN",0,G91*F91),0)</f>
        <v>0</v>
      </c>
      <c r="K91" s="362">
        <f ca="1">SUM(H91:J91)</f>
        <v>0</v>
      </c>
    </row>
    <row r="92" spans="2:13" ht="15.75" thickBot="1">
      <c r="B92" s="388"/>
      <c r="C92" s="389"/>
      <c r="D92" s="390"/>
      <c r="E92" s="391"/>
      <c r="F92" s="391"/>
      <c r="G92" s="391"/>
      <c r="H92" s="392"/>
      <c r="I92" s="392"/>
      <c r="J92" s="392"/>
      <c r="K92" s="393"/>
    </row>
    <row r="93" spans="2:13">
      <c r="B93" s="394"/>
      <c r="C93" s="641" t="s">
        <v>1008</v>
      </c>
      <c r="D93" s="641"/>
      <c r="E93" s="641"/>
      <c r="F93" s="641"/>
      <c r="G93" s="395" t="s">
        <v>9</v>
      </c>
      <c r="H93" s="396">
        <f ca="1">SUM(H14:H91)</f>
        <v>10258000</v>
      </c>
      <c r="I93" s="396">
        <f ca="1">SUM(I14:I91)</f>
        <v>14818123.24</v>
      </c>
      <c r="J93" s="396">
        <f ca="1">SUM(J14:J91)</f>
        <v>1149330</v>
      </c>
      <c r="K93" s="396">
        <f ca="1">SUM(K14:K91)</f>
        <v>26225453.240000002</v>
      </c>
    </row>
    <row r="94" spans="2:13">
      <c r="B94" s="398"/>
      <c r="C94" s="624" t="s">
        <v>1457</v>
      </c>
      <c r="D94" s="624"/>
      <c r="E94" s="624"/>
      <c r="F94" s="624"/>
      <c r="G94" s="399" t="s">
        <v>9</v>
      </c>
      <c r="H94" s="400">
        <f ca="1">H93*0.11</f>
        <v>1128380</v>
      </c>
      <c r="I94" s="400">
        <f ca="1">I93*0.11</f>
        <v>1629993.5564000001</v>
      </c>
      <c r="J94" s="400">
        <f ca="1">J93*0.11</f>
        <v>126426.3</v>
      </c>
      <c r="K94" s="400">
        <f ca="1">K93*0.11</f>
        <v>2884799.8564000004</v>
      </c>
    </row>
    <row r="95" spans="2:13" ht="15.75" thickBot="1">
      <c r="B95" s="398"/>
      <c r="C95" s="622" t="s">
        <v>463</v>
      </c>
      <c r="D95" s="622"/>
      <c r="E95" s="622"/>
      <c r="F95" s="622"/>
      <c r="G95" s="401" t="s">
        <v>9</v>
      </c>
      <c r="H95" s="402">
        <f ca="1">SUM(H93:H94)</f>
        <v>11386380</v>
      </c>
      <c r="I95" s="402">
        <f ca="1">SUM(I93:I94)</f>
        <v>16448116.796399999</v>
      </c>
      <c r="J95" s="401">
        <f ca="1">SUM(J93:J94)</f>
        <v>1275756.3</v>
      </c>
      <c r="K95" s="401">
        <f ca="1">SUM(K93:K94)</f>
        <v>29110253.096400004</v>
      </c>
      <c r="M95" s="484"/>
    </row>
    <row r="96" spans="2:13">
      <c r="B96" s="625" t="str">
        <f ca="1">"Terbilang : "&amp;PROPER(IF(K95=0,"nol",IF(K95&lt;0,"minus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IF(--MID(TEXT(ABS(K95),"000000000000000"),1,3)=0,"",MID(TEXT(ABS(K95),"000000000000000"),1,1)&amp;" ratus "&amp;MID(TEXT(ABS(K95),"000000000000000"),2,1)&amp;" puluh "&amp;MID(TEXT(ABS(K95),"000000000000000"),3,1)&amp;" trilyun ")&amp; IF(--MID(TEXT(ABS(K95),"000000000000000"),4,3)=0,"",MID(TEXT(ABS(K95),"000000000000000"),4,1)&amp;" ratus "&amp;MID(TEXT(ABS(K95),"000000000000000"),5,1)&amp;" puluh "&amp;MID(TEXT(ABS(K95),"000000000000000"),6,1)&amp;" milyar ")&amp; IF(--MID(TEXT(ABS(K95),"000000000000000"),7,3)=0,"",MID(TEXT(ABS(K95),"000000000000000"),7,1)&amp;" ratus "&amp;MID(TEXT(ABS(K95),"000000000000000"),8,1)&amp;" puluh "&amp;MID(TEXT(ABS(K95),"000000000000000"),9,1)&amp;" juta ")&amp; IF(--MID(TEXT(ABS(K95),"000000000000000"),10,3)=0,"",IF(--MID(TEXT(ABS(K95),"000000000000000"),10,3)=1,"*",MID(TEXT(ABS(K95),"000000000000000"),10,1)&amp;" ratus "&amp;MID(TEXT(ABS(K95),"000000000000000"),11,1)&amp;" puluh ")&amp;MID(TEXT(ABS(K95),"000000000000000"),12,1)&amp;" ribu ")&amp; IF(--MID(TEXT(ABS(K95),"000000000000000"),13,3)=0,"",MID(TEXT(ABS(K95),"000000000000000"),13,1)&amp;" ratus "&amp;MID(TEXT(ABS(K95),"000000000000000"),14,1)&amp;" puluh "&amp;MID(TEXT(ABS(K95),"000000000000000"),15,1)),1,"satu"),2,"dua"),3,"tiga"),4,"empat"),5,"lima"),6,"enam"),7,"tujuh"),8,"delapan"),9,"sembilan"),"0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Sembilan Juta Seratus Sepuluh Ribu Dua Ratus Lima Puluh Tiga Rupiah</v>
      </c>
      <c r="C96" s="626"/>
      <c r="D96" s="626"/>
      <c r="E96" s="626"/>
      <c r="F96" s="626"/>
      <c r="G96" s="626"/>
      <c r="H96" s="626"/>
      <c r="I96" s="626"/>
      <c r="J96" s="626"/>
      <c r="K96" s="627"/>
    </row>
    <row r="97" spans="2:11">
      <c r="B97" s="628"/>
      <c r="C97" s="629"/>
      <c r="D97" s="629"/>
      <c r="E97" s="629"/>
      <c r="F97" s="629"/>
      <c r="G97" s="629"/>
      <c r="H97" s="629"/>
      <c r="I97" s="629"/>
      <c r="J97" s="629"/>
      <c r="K97" s="630"/>
    </row>
    <row r="98" spans="2:11" ht="15.75" thickBot="1">
      <c r="B98" s="403" t="str">
        <f>"Harga yang dipakai adalah "&amp;'HARGA SATUAN'!I5&amp;""</f>
        <v>Harga yang dipakai adalah RAB HSS 2023</v>
      </c>
      <c r="C98" s="404"/>
      <c r="D98" s="405"/>
      <c r="E98" s="405"/>
      <c r="F98" s="405"/>
      <c r="G98" s="406"/>
      <c r="H98" s="406"/>
      <c r="I98" s="406"/>
      <c r="J98" s="406"/>
      <c r="K98" s="407"/>
    </row>
    <row r="99" spans="2:11">
      <c r="C99" s="408"/>
      <c r="E99" s="410"/>
      <c r="F99" s="410"/>
      <c r="G99" s="410"/>
    </row>
    <row r="100" spans="2:11">
      <c r="C100" s="337"/>
      <c r="E100" s="410"/>
      <c r="F100" s="410"/>
      <c r="G100" s="410"/>
      <c r="H100" s="631"/>
      <c r="I100" s="631"/>
      <c r="J100" s="632"/>
      <c r="K100" s="632"/>
    </row>
    <row r="101" spans="2:11">
      <c r="C101" s="337"/>
      <c r="E101" s="410"/>
      <c r="F101" s="410"/>
      <c r="G101" s="410"/>
      <c r="H101" s="411"/>
      <c r="I101" s="621" t="s">
        <v>1610</v>
      </c>
      <c r="J101" s="621"/>
      <c r="K101" s="621"/>
    </row>
    <row r="102" spans="2:11">
      <c r="C102" s="337"/>
      <c r="E102" s="410"/>
      <c r="F102" s="410"/>
      <c r="G102" s="410"/>
      <c r="H102" s="411"/>
      <c r="I102" s="621" t="s">
        <v>1546</v>
      </c>
      <c r="J102" s="621"/>
      <c r="K102" s="621"/>
    </row>
    <row r="103" spans="2:11">
      <c r="C103" s="337"/>
      <c r="E103" s="410"/>
      <c r="F103" s="410"/>
      <c r="G103" s="410"/>
      <c r="H103" s="412"/>
      <c r="I103" s="413"/>
      <c r="J103" s="413"/>
      <c r="K103" s="413"/>
    </row>
    <row r="104" spans="2:11">
      <c r="C104" s="337"/>
      <c r="E104" s="410"/>
      <c r="F104" s="410"/>
      <c r="G104" s="410"/>
      <c r="H104" s="412"/>
      <c r="I104" s="412"/>
      <c r="J104" s="412"/>
      <c r="K104" s="412"/>
    </row>
    <row r="105" spans="2:11">
      <c r="C105" s="337"/>
      <c r="E105" s="410"/>
      <c r="F105" s="410"/>
      <c r="G105" s="410"/>
      <c r="H105" s="412"/>
      <c r="I105" s="412"/>
      <c r="J105" s="412"/>
      <c r="K105" s="412"/>
    </row>
    <row r="106" spans="2:11">
      <c r="C106" s="337"/>
      <c r="E106" s="410"/>
      <c r="F106" s="410"/>
      <c r="G106" s="410"/>
      <c r="H106" s="412"/>
      <c r="I106" s="412"/>
      <c r="J106" s="412"/>
      <c r="K106" s="412"/>
    </row>
    <row r="107" spans="2:11">
      <c r="C107" s="337"/>
      <c r="E107" s="410"/>
      <c r="F107" s="410"/>
      <c r="G107" s="410"/>
      <c r="H107" s="414"/>
      <c r="I107" s="621" t="s">
        <v>1547</v>
      </c>
      <c r="J107" s="621"/>
      <c r="K107" s="621"/>
    </row>
    <row r="108" spans="2:11">
      <c r="C108" s="408"/>
      <c r="E108" s="410"/>
      <c r="F108" s="410"/>
      <c r="G108" s="410"/>
      <c r="H108" s="412"/>
      <c r="I108" s="412"/>
      <c r="J108" s="412"/>
      <c r="K108" s="412"/>
    </row>
    <row r="109" spans="2:11">
      <c r="C109" s="408"/>
      <c r="E109" s="410"/>
      <c r="F109" s="410"/>
      <c r="G109" s="410"/>
      <c r="H109" s="412"/>
      <c r="I109" s="412"/>
      <c r="J109" s="412"/>
      <c r="K109" s="412"/>
    </row>
    <row r="110" spans="2:11">
      <c r="C110" s="408"/>
      <c r="E110" s="410"/>
      <c r="F110" s="410"/>
      <c r="G110" s="410"/>
      <c r="H110" s="412"/>
      <c r="I110" s="412"/>
      <c r="J110" s="412"/>
      <c r="K110" s="412"/>
    </row>
  </sheetData>
  <sheetProtection sort="0" autoFilter="0"/>
  <protectedRanges>
    <protectedRange sqref="B88 B71:B86" name="Range1_1"/>
    <protectedRange sqref="F46:F61 F14:F44 F67:F89" name="Range1_1_2_2"/>
    <protectedRange sqref="C88 C71:C74 C76:C86" name="Range1_1_1"/>
    <protectedRange sqref="B69:C70" name="Range1_6_2"/>
    <protectedRange sqref="C75" name="Range1_1_3_13"/>
    <protectedRange sqref="C17:C18" name="Range1_1_3_14"/>
    <protectedRange sqref="C19" name="Range1_1_3"/>
    <protectedRange sqref="G45" name="Range1_3_7"/>
    <protectedRange sqref="C45" name="Range1_1_3_5"/>
    <protectedRange sqref="C44" name="Range1_1_3_4"/>
  </protectedRanges>
  <mergeCells count="22">
    <mergeCell ref="O3:P4"/>
    <mergeCell ref="B4:K4"/>
    <mergeCell ref="C93:F93"/>
    <mergeCell ref="B11:B13"/>
    <mergeCell ref="C11:C13"/>
    <mergeCell ref="D11:D13"/>
    <mergeCell ref="E11:E13"/>
    <mergeCell ref="F11:F13"/>
    <mergeCell ref="G11:G13"/>
    <mergeCell ref="I12:I13"/>
    <mergeCell ref="I102:K102"/>
    <mergeCell ref="I107:K107"/>
    <mergeCell ref="C95:F95"/>
    <mergeCell ref="G6:K6"/>
    <mergeCell ref="I101:K101"/>
    <mergeCell ref="C94:F94"/>
    <mergeCell ref="B96:K97"/>
    <mergeCell ref="H100:K100"/>
    <mergeCell ref="H11:K11"/>
    <mergeCell ref="H12:H13"/>
    <mergeCell ref="J12:J13"/>
    <mergeCell ref="K12:K13"/>
  </mergeCells>
  <phoneticPr fontId="141" type="noConversion"/>
  <conditionalFormatting sqref="C15 C17:C20">
    <cfRule type="cellIs" dxfId="10" priority="507" operator="equal">
      <formula>0</formula>
    </cfRule>
  </conditionalFormatting>
  <conditionalFormatting sqref="C68">
    <cfRule type="cellIs" dxfId="9" priority="132" operator="equal">
      <formula>0</formula>
    </cfRule>
  </conditionalFormatting>
  <conditionalFormatting sqref="C73">
    <cfRule type="cellIs" dxfId="8" priority="2" operator="equal">
      <formula>0</formula>
    </cfRule>
  </conditionalFormatting>
  <conditionalFormatting sqref="C84">
    <cfRule type="cellIs" dxfId="7" priority="23" operator="equal">
      <formula>0</formula>
    </cfRule>
  </conditionalFormatting>
  <conditionalFormatting sqref="C87">
    <cfRule type="cellIs" dxfId="6" priority="130" operator="equal">
      <formula>0</formula>
    </cfRule>
  </conditionalFormatting>
  <conditionalFormatting sqref="C45:G45">
    <cfRule type="cellIs" dxfId="5" priority="25" operator="equal">
      <formula>0</formula>
    </cfRule>
  </conditionalFormatting>
  <conditionalFormatting sqref="E1:E3 G1:G13 E5:E13 H12:I12 O13 S14:V20 H45:K45 E90:G90 H90:K92 E91:H91 E92:F92 E70:K89">
    <cfRule type="cellIs" dxfId="4" priority="1087" stopIfTrue="1" operator="equal">
      <formula>0</formula>
    </cfRule>
  </conditionalFormatting>
  <conditionalFormatting sqref="E14:K44">
    <cfRule type="cellIs" dxfId="3" priority="12" stopIfTrue="1" operator="equal">
      <formula>0</formula>
    </cfRule>
  </conditionalFormatting>
  <conditionalFormatting sqref="E46:K69">
    <cfRule type="cellIs" dxfId="2" priority="14" stopIfTrue="1" operator="equal">
      <formula>0</formula>
    </cfRule>
  </conditionalFormatting>
  <conditionalFormatting sqref="G91:G65557 E96:E65557">
    <cfRule type="cellIs" dxfId="1" priority="221" stopIfTrue="1" operator="equal">
      <formula>0</formula>
    </cfRule>
  </conditionalFormatting>
  <conditionalFormatting sqref="C44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F46:F58 F22:F44 H14:K92 F60:F7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45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zoomScale="115" zoomScaleNormal="115" zoomScaleSheetLayoutView="115" workbookViewId="0">
      <selection activeCell="T37" sqref="T37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4" t="s">
        <v>1439</v>
      </c>
      <c r="X2" s="705"/>
      <c r="Y2" s="705"/>
      <c r="Z2" s="705"/>
      <c r="AA2" s="705"/>
      <c r="AB2" s="705"/>
      <c r="AC2" s="705"/>
      <c r="AD2" s="706"/>
    </row>
    <row r="3" spans="3:30">
      <c r="C3" s="238"/>
      <c r="W3" s="707"/>
      <c r="X3" s="708"/>
      <c r="Y3" s="708"/>
      <c r="Z3" s="708"/>
      <c r="AA3" s="708"/>
      <c r="AB3" s="708"/>
      <c r="AC3" s="708"/>
      <c r="AD3" s="709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3" t="s">
        <v>990</v>
      </c>
      <c r="Y5" s="653"/>
      <c r="Z5" s="653"/>
      <c r="AA5" s="653" t="s">
        <v>988</v>
      </c>
      <c r="AB5" s="653"/>
      <c r="AC5" s="653" t="s">
        <v>989</v>
      </c>
      <c r="AD5" s="654"/>
    </row>
    <row r="6" spans="3:30">
      <c r="C6" s="238"/>
      <c r="W6" s="241">
        <v>1</v>
      </c>
      <c r="X6" s="653" t="s">
        <v>993</v>
      </c>
      <c r="Y6" s="653"/>
      <c r="Z6" s="653"/>
      <c r="AA6" s="653"/>
      <c r="AB6" s="653"/>
      <c r="AC6" s="653"/>
      <c r="AD6" s="654"/>
    </row>
    <row r="7" spans="3:30">
      <c r="C7" s="238"/>
      <c r="E7" s="490" t="str">
        <f>PETA!C6</f>
        <v>KOORDINAT : -6.910503, 110.635580</v>
      </c>
      <c r="W7" s="241">
        <v>2</v>
      </c>
      <c r="X7" s="653" t="s">
        <v>994</v>
      </c>
      <c r="Y7" s="653"/>
      <c r="Z7" s="653"/>
      <c r="AA7" s="653"/>
      <c r="AB7" s="653"/>
      <c r="AC7" s="653"/>
      <c r="AD7" s="654"/>
    </row>
    <row r="8" spans="3:30">
      <c r="C8" s="238"/>
      <c r="W8" s="241">
        <v>3</v>
      </c>
      <c r="X8" s="653" t="s">
        <v>995</v>
      </c>
      <c r="Y8" s="653"/>
      <c r="Z8" s="653"/>
      <c r="AA8" s="653"/>
      <c r="AB8" s="653"/>
      <c r="AC8" s="653"/>
      <c r="AD8" s="654"/>
    </row>
    <row r="9" spans="3:30">
      <c r="C9" s="238"/>
      <c r="W9" s="241">
        <v>4</v>
      </c>
      <c r="X9" s="653" t="s">
        <v>996</v>
      </c>
      <c r="Y9" s="653"/>
      <c r="Z9" s="653"/>
      <c r="AA9" s="653"/>
      <c r="AB9" s="653"/>
      <c r="AC9" s="653"/>
      <c r="AD9" s="654"/>
    </row>
    <row r="10" spans="3:30">
      <c r="C10" s="238"/>
      <c r="W10" s="241">
        <v>5</v>
      </c>
      <c r="X10" s="653" t="s">
        <v>997</v>
      </c>
      <c r="Y10" s="653"/>
      <c r="Z10" s="653"/>
      <c r="AA10" s="653"/>
      <c r="AB10" s="653"/>
      <c r="AC10" s="653"/>
      <c r="AD10" s="654"/>
    </row>
    <row r="11" spans="3:30">
      <c r="C11" s="238"/>
      <c r="W11" s="241">
        <v>6</v>
      </c>
      <c r="X11" s="653" t="s">
        <v>998</v>
      </c>
      <c r="Y11" s="653"/>
      <c r="Z11" s="653"/>
      <c r="AA11" s="653"/>
      <c r="AB11" s="653"/>
      <c r="AC11" s="653"/>
      <c r="AD11" s="654"/>
    </row>
    <row r="12" spans="3:30">
      <c r="C12" s="238"/>
      <c r="W12" s="241">
        <v>7</v>
      </c>
      <c r="X12" s="653" t="s">
        <v>999</v>
      </c>
      <c r="Y12" s="653"/>
      <c r="Z12" s="653"/>
      <c r="AA12" s="653"/>
      <c r="AB12" s="653"/>
      <c r="AC12" s="653"/>
      <c r="AD12" s="654"/>
    </row>
    <row r="13" spans="3:30" ht="12.75" customHeight="1">
      <c r="C13" s="238"/>
      <c r="W13" s="241">
        <v>8</v>
      </c>
      <c r="X13" s="653" t="s">
        <v>1000</v>
      </c>
      <c r="Y13" s="653"/>
      <c r="Z13" s="653"/>
      <c r="AA13" s="653"/>
      <c r="AB13" s="653"/>
      <c r="AC13" s="653"/>
      <c r="AD13" s="654"/>
    </row>
    <row r="14" spans="3:30">
      <c r="C14" s="238"/>
      <c r="W14" s="241">
        <v>9</v>
      </c>
      <c r="X14" s="653" t="s">
        <v>1001</v>
      </c>
      <c r="Y14" s="653"/>
      <c r="Z14" s="653"/>
      <c r="AA14" s="653"/>
      <c r="AB14" s="653"/>
      <c r="AC14" s="653"/>
      <c r="AD14" s="654"/>
    </row>
    <row r="15" spans="3:30">
      <c r="C15" s="238"/>
      <c r="W15" s="241">
        <v>10</v>
      </c>
      <c r="X15" s="653" t="s">
        <v>1010</v>
      </c>
      <c r="Y15" s="653"/>
      <c r="Z15" s="653"/>
      <c r="AA15" s="653"/>
      <c r="AB15" s="653"/>
      <c r="AC15" s="653"/>
      <c r="AD15" s="654"/>
    </row>
    <row r="16" spans="3:30">
      <c r="C16" s="238"/>
      <c r="W16" s="241">
        <v>11</v>
      </c>
      <c r="X16" s="653" t="s">
        <v>1455</v>
      </c>
      <c r="Y16" s="653"/>
      <c r="Z16" s="653"/>
      <c r="AA16" s="653"/>
      <c r="AB16" s="653"/>
      <c r="AC16" s="653"/>
      <c r="AD16" s="654"/>
    </row>
    <row r="17" spans="3:30">
      <c r="C17" s="238"/>
      <c r="S17" s="242"/>
      <c r="W17" s="241">
        <v>12</v>
      </c>
      <c r="X17" s="653" t="s">
        <v>1011</v>
      </c>
      <c r="Y17" s="653"/>
      <c r="Z17" s="653"/>
      <c r="AA17" s="653"/>
      <c r="AB17" s="653"/>
      <c r="AC17" s="653"/>
      <c r="AD17" s="654"/>
    </row>
    <row r="18" spans="3:30">
      <c r="C18" s="243"/>
      <c r="D18" s="244"/>
      <c r="E18" s="244"/>
      <c r="W18" s="241">
        <v>13</v>
      </c>
      <c r="X18" s="653"/>
      <c r="Y18" s="653"/>
      <c r="Z18" s="653"/>
      <c r="AA18" s="653"/>
      <c r="AB18" s="653"/>
      <c r="AC18" s="653"/>
      <c r="AD18" s="654"/>
    </row>
    <row r="19" spans="3:30">
      <c r="C19" s="238"/>
      <c r="W19" s="245"/>
      <c r="X19" s="702"/>
      <c r="Y19" s="702"/>
      <c r="Z19" s="702"/>
      <c r="AA19" s="702"/>
      <c r="AB19" s="702"/>
      <c r="AC19" s="702"/>
      <c r="AD19" s="703"/>
    </row>
    <row r="20" spans="3:30">
      <c r="C20" s="238"/>
      <c r="W20" s="689" t="s">
        <v>992</v>
      </c>
      <c r="X20" s="690"/>
      <c r="Y20" s="690"/>
      <c r="Z20" s="690"/>
      <c r="AA20" s="690"/>
      <c r="AB20" s="690"/>
      <c r="AC20" s="690"/>
      <c r="AD20" s="691"/>
    </row>
    <row r="21" spans="3:30">
      <c r="C21" s="238"/>
      <c r="W21" s="692" t="s">
        <v>985</v>
      </c>
      <c r="X21" s="693"/>
      <c r="Y21" s="693"/>
      <c r="Z21" s="694"/>
      <c r="AA21" s="695" t="s">
        <v>986</v>
      </c>
      <c r="AB21" s="696"/>
      <c r="AC21" s="696"/>
      <c r="AD21" s="697"/>
    </row>
    <row r="22" spans="3:30">
      <c r="C22" s="238"/>
      <c r="W22" s="698"/>
      <c r="X22" s="699"/>
      <c r="Y22" s="492"/>
      <c r="Z22" s="493"/>
      <c r="AA22" s="700"/>
      <c r="AB22" s="701"/>
      <c r="AC22" s="248"/>
      <c r="AD22" s="249"/>
    </row>
    <row r="23" spans="3:30">
      <c r="C23" s="238"/>
      <c r="W23" s="698"/>
      <c r="X23" s="699"/>
      <c r="Y23" s="492"/>
      <c r="Z23" s="493"/>
      <c r="AA23" s="687"/>
      <c r="AB23" s="688"/>
      <c r="AC23" s="248"/>
      <c r="AD23" s="249"/>
    </row>
    <row r="24" spans="3:30">
      <c r="C24" s="238"/>
      <c r="W24" s="682"/>
      <c r="X24" s="684"/>
      <c r="Y24" s="246"/>
      <c r="Z24" s="247"/>
      <c r="AA24" s="685"/>
      <c r="AB24" s="686"/>
      <c r="AC24" s="248"/>
      <c r="AD24" s="249"/>
    </row>
    <row r="25" spans="3:30">
      <c r="C25" s="238"/>
      <c r="W25" s="682"/>
      <c r="X25" s="684"/>
      <c r="Y25" s="246"/>
      <c r="Z25" s="247"/>
      <c r="AA25" s="687"/>
      <c r="AB25" s="688"/>
      <c r="AC25" s="248"/>
      <c r="AD25" s="249"/>
    </row>
    <row r="26" spans="3:30">
      <c r="C26" s="238"/>
      <c r="W26" s="480"/>
      <c r="X26" s="481"/>
      <c r="Y26" s="246"/>
      <c r="Z26" s="247"/>
      <c r="AA26" s="687"/>
      <c r="AB26" s="688"/>
      <c r="AC26" s="248"/>
      <c r="AD26" s="249"/>
    </row>
    <row r="27" spans="3:30">
      <c r="C27" s="238"/>
      <c r="W27" s="480"/>
      <c r="X27" s="481"/>
      <c r="Y27" s="246"/>
      <c r="Z27" s="247"/>
      <c r="AA27" s="681"/>
      <c r="AB27" s="676"/>
      <c r="AC27" s="248"/>
      <c r="AD27" s="249"/>
    </row>
    <row r="28" spans="3:30">
      <c r="C28" s="238"/>
      <c r="W28" s="480"/>
      <c r="X28" s="481"/>
      <c r="Y28" s="246"/>
      <c r="Z28" s="247"/>
      <c r="AA28" s="681"/>
      <c r="AB28" s="676"/>
      <c r="AC28" s="248"/>
      <c r="AD28" s="249"/>
    </row>
    <row r="29" spans="3:30">
      <c r="C29" s="238"/>
      <c r="W29" s="480"/>
      <c r="X29" s="481"/>
      <c r="Y29" s="246"/>
      <c r="Z29" s="247"/>
      <c r="AA29" s="681"/>
      <c r="AB29" s="676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81"/>
      <c r="AB30" s="676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81"/>
      <c r="AB31" s="676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81"/>
      <c r="AB32" s="676"/>
      <c r="AC32" s="248"/>
      <c r="AD32" s="249"/>
    </row>
    <row r="33" spans="3:30">
      <c r="C33" s="238"/>
      <c r="W33" s="480"/>
      <c r="X33" s="481"/>
      <c r="Y33" s="246"/>
      <c r="Z33" s="247"/>
      <c r="AA33" s="681"/>
      <c r="AB33" s="676"/>
      <c r="AC33" s="248"/>
      <c r="AD33" s="249"/>
    </row>
    <row r="34" spans="3:30">
      <c r="C34" s="238"/>
      <c r="W34" s="480"/>
      <c r="X34" s="481"/>
      <c r="Y34" s="246"/>
      <c r="Z34" s="247"/>
      <c r="AA34" s="681"/>
      <c r="AB34" s="676"/>
      <c r="AC34" s="248"/>
      <c r="AD34" s="249"/>
    </row>
    <row r="35" spans="3:30">
      <c r="C35" s="238"/>
      <c r="W35" s="682"/>
      <c r="X35" s="683"/>
      <c r="Y35" s="246"/>
      <c r="Z35" s="247"/>
      <c r="AA35" s="681"/>
      <c r="AB35" s="676"/>
      <c r="AC35" s="248"/>
      <c r="AD35" s="249"/>
    </row>
    <row r="36" spans="3:30">
      <c r="C36" s="238"/>
      <c r="W36" s="673"/>
      <c r="X36" s="674"/>
      <c r="Y36" s="246"/>
      <c r="Z36" s="251"/>
      <c r="AA36" s="675"/>
      <c r="AB36" s="676"/>
      <c r="AC36" s="248"/>
      <c r="AD36" s="249"/>
    </row>
    <row r="37" spans="3:30" ht="12.75" customHeight="1">
      <c r="C37" s="238"/>
      <c r="W37" s="677"/>
      <c r="X37" s="678"/>
      <c r="Y37" s="246"/>
      <c r="Z37" s="251"/>
      <c r="AA37" s="679"/>
      <c r="AB37" s="680"/>
      <c r="AC37" s="252"/>
      <c r="AD37" s="253"/>
    </row>
    <row r="38" spans="3:30" ht="12.75" customHeight="1">
      <c r="C38" s="238"/>
      <c r="W38" s="677"/>
      <c r="X38" s="678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7"/>
      <c r="X39" s="678"/>
      <c r="Y39" s="254"/>
      <c r="Z39" s="257"/>
      <c r="AA39" s="669"/>
      <c r="AB39" s="670"/>
      <c r="AC39" s="252"/>
      <c r="AD39" s="253"/>
    </row>
    <row r="40" spans="3:30" ht="12" customHeight="1">
      <c r="C40" s="238"/>
      <c r="W40" s="665"/>
      <c r="X40" s="666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7"/>
      <c r="X41" s="668"/>
      <c r="Y41" s="260"/>
      <c r="Z41" s="261"/>
      <c r="AA41" s="669"/>
      <c r="AB41" s="670"/>
      <c r="AC41" s="252"/>
      <c r="AD41" s="253"/>
    </row>
    <row r="42" spans="3:30" ht="12" customHeight="1">
      <c r="C42" s="238"/>
      <c r="W42" s="671" t="s">
        <v>1456</v>
      </c>
      <c r="X42" s="672"/>
      <c r="Y42" s="672"/>
      <c r="Z42" s="672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50" t="s">
        <v>11</v>
      </c>
      <c r="X44" s="651"/>
      <c r="Y44" s="653"/>
      <c r="Z44" s="653"/>
      <c r="AA44" s="653"/>
      <c r="AB44" s="653"/>
      <c r="AC44" s="653"/>
      <c r="AD44" s="654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50" t="s">
        <v>984</v>
      </c>
      <c r="X45" s="651"/>
      <c r="Y45" s="653">
        <v>1</v>
      </c>
      <c r="Z45" s="653"/>
      <c r="AA45" s="653"/>
      <c r="AB45" s="653" t="s">
        <v>12</v>
      </c>
      <c r="AC45" s="653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50" t="s">
        <v>15</v>
      </c>
      <c r="X46" s="651"/>
      <c r="Y46" s="664"/>
      <c r="Z46" s="664"/>
      <c r="AA46" s="664"/>
      <c r="AB46" s="653" t="s">
        <v>16</v>
      </c>
      <c r="AC46" s="653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8" t="s">
        <v>17</v>
      </c>
      <c r="X47" s="658"/>
      <c r="Y47" s="658"/>
      <c r="Z47" s="658"/>
      <c r="AA47" s="658"/>
      <c r="AB47" s="658"/>
      <c r="AC47" s="658"/>
      <c r="AD47" s="65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60" t="str">
        <f>RAB!G6</f>
        <v>KOS JOKO PRABOWO</v>
      </c>
      <c r="X48" s="660"/>
      <c r="Y48" s="660"/>
      <c r="Z48" s="660"/>
      <c r="AA48" s="660"/>
      <c r="AB48" s="660"/>
      <c r="AC48" s="660"/>
      <c r="AD48" s="661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60"/>
      <c r="X49" s="660"/>
      <c r="Y49" s="660"/>
      <c r="Z49" s="660"/>
      <c r="AA49" s="660"/>
      <c r="AB49" s="660"/>
      <c r="AC49" s="660"/>
      <c r="AD49" s="661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60"/>
      <c r="X50" s="660"/>
      <c r="Y50" s="660"/>
      <c r="Z50" s="660"/>
      <c r="AA50" s="660"/>
      <c r="AB50" s="660"/>
      <c r="AC50" s="660"/>
      <c r="AD50" s="66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2"/>
      <c r="X51" s="662"/>
      <c r="Y51" s="662"/>
      <c r="Z51" s="662"/>
      <c r="AA51" s="662"/>
      <c r="AB51" s="662"/>
      <c r="AC51" s="662"/>
      <c r="AD51" s="66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50" t="s">
        <v>18</v>
      </c>
      <c r="X52" s="651"/>
      <c r="Y52" s="653" t="s">
        <v>1549</v>
      </c>
      <c r="Z52" s="653"/>
      <c r="AA52" s="653"/>
      <c r="AB52" s="653"/>
      <c r="AC52" s="653"/>
      <c r="AD52" s="654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50" t="s">
        <v>19</v>
      </c>
      <c r="X53" s="651"/>
      <c r="Y53" s="653" t="s">
        <v>1549</v>
      </c>
      <c r="Z53" s="653"/>
      <c r="AA53" s="653"/>
      <c r="AB53" s="653"/>
      <c r="AC53" s="653"/>
      <c r="AD53" s="654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50" t="s">
        <v>20</v>
      </c>
      <c r="X54" s="651"/>
      <c r="Y54" s="652" t="s">
        <v>1550</v>
      </c>
      <c r="Z54" s="652"/>
      <c r="AA54" s="652"/>
      <c r="AB54" s="653"/>
      <c r="AC54" s="653"/>
      <c r="AD54" s="654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5" t="s">
        <v>21</v>
      </c>
      <c r="X55" s="656"/>
      <c r="Y55" s="652" t="s">
        <v>1551</v>
      </c>
      <c r="Z55" s="652"/>
      <c r="AA55" s="652"/>
      <c r="AB55" s="652"/>
      <c r="AC55" s="652"/>
      <c r="AD55" s="657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T46" sqref="T4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0" t="s">
        <v>1528</v>
      </c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2"/>
      <c r="AD4" s="217"/>
      <c r="AE4" s="216"/>
      <c r="AF4" s="216"/>
    </row>
    <row r="5" spans="2:32" ht="13.5" customHeight="1">
      <c r="B5" s="215"/>
      <c r="C5" s="215"/>
      <c r="D5" s="713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  <c r="AB5" s="714"/>
      <c r="AC5" s="715"/>
      <c r="AD5" s="217"/>
      <c r="AE5" s="216"/>
      <c r="AF5" s="216"/>
    </row>
    <row r="6" spans="2:32" ht="12.75" customHeight="1">
      <c r="B6" s="215"/>
      <c r="C6" s="215"/>
      <c r="D6" s="713"/>
      <c r="E6" s="714"/>
      <c r="F6" s="714"/>
      <c r="G6" s="714"/>
      <c r="H6" s="714"/>
      <c r="I6" s="714"/>
      <c r="J6" s="714"/>
      <c r="K6" s="714"/>
      <c r="L6" s="714"/>
      <c r="M6" s="714"/>
      <c r="N6" s="714"/>
      <c r="O6" s="714"/>
      <c r="P6" s="714"/>
      <c r="Q6" s="714"/>
      <c r="R6" s="714"/>
      <c r="S6" s="714"/>
      <c r="T6" s="714"/>
      <c r="U6" s="714"/>
      <c r="V6" s="714"/>
      <c r="W6" s="714"/>
      <c r="X6" s="714"/>
      <c r="Y6" s="714"/>
      <c r="Z6" s="714"/>
      <c r="AA6" s="714"/>
      <c r="AB6" s="714"/>
      <c r="AC6" s="715"/>
      <c r="AE6" s="216"/>
      <c r="AF6" s="216"/>
    </row>
    <row r="7" spans="2:32" ht="12.75" customHeight="1" thickBot="1">
      <c r="B7" s="215"/>
      <c r="C7" s="215"/>
      <c r="D7" s="716"/>
      <c r="E7" s="717"/>
      <c r="F7" s="717"/>
      <c r="G7" s="717"/>
      <c r="H7" s="717"/>
      <c r="I7" s="717"/>
      <c r="J7" s="717"/>
      <c r="K7" s="717"/>
      <c r="L7" s="717"/>
      <c r="M7" s="717"/>
      <c r="N7" s="717"/>
      <c r="O7" s="717"/>
      <c r="P7" s="717"/>
      <c r="Q7" s="717"/>
      <c r="R7" s="717"/>
      <c r="S7" s="717"/>
      <c r="T7" s="717"/>
      <c r="U7" s="717"/>
      <c r="V7" s="717"/>
      <c r="W7" s="717"/>
      <c r="X7" s="717"/>
      <c r="Y7" s="717"/>
      <c r="Z7" s="717"/>
      <c r="AA7" s="717"/>
      <c r="AB7" s="717"/>
      <c r="AC7" s="718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70" zoomScaleNormal="40" zoomScaleSheetLayoutView="70" workbookViewId="0">
      <selection activeCell="W45" sqref="W45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4" t="s">
        <v>1527</v>
      </c>
      <c r="D3" s="714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4"/>
      <c r="D4" s="714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9" t="s">
        <v>1630</v>
      </c>
      <c r="D6" s="719"/>
      <c r="E6" s="719"/>
      <c r="F6" s="719"/>
      <c r="G6" s="719"/>
      <c r="H6" s="719"/>
      <c r="I6" s="719"/>
      <c r="J6" s="719"/>
      <c r="K6" s="719"/>
      <c r="L6" s="719"/>
      <c r="M6" s="719"/>
      <c r="W6" s="182"/>
      <c r="Y6" s="428"/>
      <c r="Z6" s="428"/>
      <c r="AA6" s="428"/>
      <c r="AB6" s="429"/>
      <c r="AC6" s="429"/>
    </row>
    <row r="7" spans="1:29" ht="18" customHeight="1">
      <c r="A7" s="181"/>
      <c r="C7" s="719"/>
      <c r="D7" s="719"/>
      <c r="E7" s="719"/>
      <c r="F7" s="719"/>
      <c r="G7" s="719"/>
      <c r="H7" s="719"/>
      <c r="I7" s="719"/>
      <c r="J7" s="719"/>
      <c r="K7" s="719"/>
      <c r="L7" s="719"/>
      <c r="M7" s="719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2024-04-26T07:34:45Z</dcterms:modified>
</cp:coreProperties>
</file>