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4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TEKNIK\RAB\RAB BUAT BARU\2024\"/>
    </mc:Choice>
  </mc:AlternateContent>
  <xr:revisionPtr revIDLastSave="0" documentId="13_ncr:1_{33FE9A1F-C74B-45D0-AA13-88A9A7184479}" xr6:coauthVersionLast="47" xr6:coauthVersionMax="47" xr10:uidLastSave="{00000000-0000-0000-0000-000000000000}"/>
  <bookViews>
    <workbookView xWindow="-120" yWindow="-120" windowWidth="29040" windowHeight="15720" tabRatio="859" firstSheet="1" activeTab="9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RAB!$A$1:$K$202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6" i="11" l="1"/>
  <c r="F160" i="11"/>
  <c r="F159" i="11"/>
  <c r="F158" i="11"/>
  <c r="F157" i="11"/>
  <c r="F156" i="11"/>
  <c r="F153" i="11"/>
  <c r="F152" i="11"/>
  <c r="F151" i="11"/>
  <c r="F150" i="11"/>
  <c r="F149" i="11"/>
  <c r="F148" i="11"/>
  <c r="F147" i="11"/>
  <c r="F146" i="11"/>
  <c r="F145" i="11"/>
  <c r="F144" i="11"/>
  <c r="F143" i="11"/>
  <c r="F142" i="11"/>
  <c r="F141" i="11"/>
  <c r="F140" i="11"/>
  <c r="F139" i="11"/>
  <c r="F138" i="11"/>
  <c r="F137" i="11"/>
  <c r="F136" i="11"/>
  <c r="D135" i="11"/>
  <c r="J135" i="11" s="1"/>
  <c r="E135" i="11"/>
  <c r="G135" i="11"/>
  <c r="D136" i="11"/>
  <c r="J136" i="11" s="1"/>
  <c r="E136" i="11"/>
  <c r="G136" i="11"/>
  <c r="D137" i="11"/>
  <c r="I137" i="11" s="1"/>
  <c r="E137" i="11"/>
  <c r="G137" i="11"/>
  <c r="D138" i="11"/>
  <c r="H138" i="11" s="1"/>
  <c r="E138" i="11"/>
  <c r="G138" i="11"/>
  <c r="D139" i="11"/>
  <c r="H139" i="11" s="1"/>
  <c r="E139" i="11"/>
  <c r="G139" i="11"/>
  <c r="D140" i="11"/>
  <c r="J140" i="11" s="1"/>
  <c r="E140" i="11"/>
  <c r="G140" i="11"/>
  <c r="D141" i="11"/>
  <c r="H141" i="11" s="1"/>
  <c r="E141" i="11"/>
  <c r="G141" i="11"/>
  <c r="D142" i="11"/>
  <c r="H142" i="11" s="1"/>
  <c r="E142" i="11"/>
  <c r="G142" i="11"/>
  <c r="D143" i="11"/>
  <c r="J143" i="11" s="1"/>
  <c r="E143" i="11"/>
  <c r="G143" i="11"/>
  <c r="D144" i="11"/>
  <c r="J144" i="11" s="1"/>
  <c r="E144" i="11"/>
  <c r="G144" i="11"/>
  <c r="D145" i="11"/>
  <c r="H145" i="11" s="1"/>
  <c r="E145" i="11"/>
  <c r="G145" i="11"/>
  <c r="D146" i="11"/>
  <c r="H146" i="11" s="1"/>
  <c r="E146" i="11"/>
  <c r="G146" i="11"/>
  <c r="D147" i="11"/>
  <c r="J147" i="11" s="1"/>
  <c r="E147" i="11"/>
  <c r="G147" i="11"/>
  <c r="D148" i="11"/>
  <c r="J148" i="11" s="1"/>
  <c r="E148" i="11"/>
  <c r="G148" i="11"/>
  <c r="D149" i="11"/>
  <c r="H149" i="11" s="1"/>
  <c r="E149" i="11"/>
  <c r="G149" i="11"/>
  <c r="D150" i="11"/>
  <c r="H150" i="11" s="1"/>
  <c r="E150" i="11"/>
  <c r="G150" i="11"/>
  <c r="D151" i="11"/>
  <c r="H151" i="11" s="1"/>
  <c r="E151" i="11"/>
  <c r="G151" i="11"/>
  <c r="D152" i="11"/>
  <c r="J152" i="11" s="1"/>
  <c r="E152" i="11"/>
  <c r="G152" i="11"/>
  <c r="D153" i="11"/>
  <c r="H153" i="11" s="1"/>
  <c r="E153" i="11"/>
  <c r="G153" i="11"/>
  <c r="D154" i="11"/>
  <c r="H154" i="11" s="1"/>
  <c r="E154" i="11"/>
  <c r="G154" i="11"/>
  <c r="D155" i="11"/>
  <c r="J155" i="11" s="1"/>
  <c r="E155" i="11"/>
  <c r="G155" i="11"/>
  <c r="D156" i="11"/>
  <c r="J156" i="11" s="1"/>
  <c r="E156" i="11"/>
  <c r="G156" i="11"/>
  <c r="D157" i="11"/>
  <c r="H157" i="11" s="1"/>
  <c r="E157" i="11"/>
  <c r="G157" i="11"/>
  <c r="D158" i="11"/>
  <c r="H158" i="11" s="1"/>
  <c r="E158" i="11"/>
  <c r="G158" i="11"/>
  <c r="D159" i="11"/>
  <c r="J159" i="11" s="1"/>
  <c r="E159" i="11"/>
  <c r="G159" i="11"/>
  <c r="D160" i="11"/>
  <c r="E160" i="11"/>
  <c r="G160" i="11"/>
  <c r="D161" i="11"/>
  <c r="J161" i="11" s="1"/>
  <c r="E161" i="11"/>
  <c r="G161" i="11"/>
  <c r="D162" i="11"/>
  <c r="J162" i="11" s="1"/>
  <c r="E162" i="11"/>
  <c r="G162" i="11"/>
  <c r="D163" i="11"/>
  <c r="H163" i="11" s="1"/>
  <c r="E163" i="11"/>
  <c r="G163" i="11"/>
  <c r="F72" i="11"/>
  <c r="D70" i="11"/>
  <c r="H70" i="11" s="1"/>
  <c r="E70" i="11"/>
  <c r="G70" i="11"/>
  <c r="D71" i="11"/>
  <c r="J71" i="11" s="1"/>
  <c r="E71" i="11"/>
  <c r="G71" i="11"/>
  <c r="D72" i="11"/>
  <c r="H72" i="11" s="1"/>
  <c r="E72" i="11"/>
  <c r="G72" i="11"/>
  <c r="D73" i="11"/>
  <c r="H73" i="11" s="1"/>
  <c r="E73" i="11"/>
  <c r="G73" i="11"/>
  <c r="D74" i="11"/>
  <c r="J74" i="11" s="1"/>
  <c r="E74" i="11"/>
  <c r="G74" i="11"/>
  <c r="F68" i="11"/>
  <c r="F67" i="11"/>
  <c r="F66" i="11"/>
  <c r="F65" i="11"/>
  <c r="F64" i="11"/>
  <c r="F61" i="11"/>
  <c r="F60" i="11"/>
  <c r="F59" i="11"/>
  <c r="F58" i="11"/>
  <c r="F57" i="11"/>
  <c r="F54" i="11"/>
  <c r="F53" i="11"/>
  <c r="F52" i="11"/>
  <c r="F51" i="11"/>
  <c r="F50" i="11"/>
  <c r="F47" i="11"/>
  <c r="F46" i="11"/>
  <c r="F45" i="11"/>
  <c r="F44" i="11"/>
  <c r="F43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5" i="11"/>
  <c r="D39" i="11"/>
  <c r="H39" i="11" s="1"/>
  <c r="E39" i="11"/>
  <c r="D40" i="11"/>
  <c r="J40" i="11" s="1"/>
  <c r="E40" i="11"/>
  <c r="D41" i="11"/>
  <c r="I41" i="11" s="1"/>
  <c r="E41" i="11"/>
  <c r="D42" i="11"/>
  <c r="H42" i="11" s="1"/>
  <c r="E42" i="11"/>
  <c r="D43" i="11"/>
  <c r="H43" i="11" s="1"/>
  <c r="E43" i="11"/>
  <c r="D44" i="11"/>
  <c r="J44" i="11" s="1"/>
  <c r="E44" i="11"/>
  <c r="D45" i="11"/>
  <c r="E45" i="11"/>
  <c r="D46" i="11"/>
  <c r="H46" i="11" s="1"/>
  <c r="E46" i="11"/>
  <c r="D47" i="11"/>
  <c r="H47" i="11" s="1"/>
  <c r="E47" i="11"/>
  <c r="D48" i="11"/>
  <c r="J48" i="11" s="1"/>
  <c r="E48" i="11"/>
  <c r="D49" i="11"/>
  <c r="I49" i="11" s="1"/>
  <c r="E49" i="11"/>
  <c r="D50" i="11"/>
  <c r="H50" i="11" s="1"/>
  <c r="E50" i="11"/>
  <c r="D51" i="11"/>
  <c r="H51" i="11" s="1"/>
  <c r="E51" i="11"/>
  <c r="D52" i="11"/>
  <c r="J52" i="11" s="1"/>
  <c r="E52" i="11"/>
  <c r="D53" i="11"/>
  <c r="E53" i="11"/>
  <c r="D54" i="11"/>
  <c r="H54" i="11" s="1"/>
  <c r="E54" i="11"/>
  <c r="D55" i="11"/>
  <c r="H55" i="11" s="1"/>
  <c r="E55" i="11"/>
  <c r="D56" i="11"/>
  <c r="J56" i="11" s="1"/>
  <c r="E56" i="11"/>
  <c r="D57" i="11"/>
  <c r="E57" i="11"/>
  <c r="D58" i="11"/>
  <c r="H58" i="11" s="1"/>
  <c r="E58" i="11"/>
  <c r="D59" i="11"/>
  <c r="H59" i="11" s="1"/>
  <c r="E59" i="11"/>
  <c r="D60" i="11"/>
  <c r="J60" i="11" s="1"/>
  <c r="E60" i="11"/>
  <c r="D61" i="11"/>
  <c r="I61" i="11" s="1"/>
  <c r="E61" i="11"/>
  <c r="D62" i="11"/>
  <c r="H62" i="11" s="1"/>
  <c r="E62" i="11"/>
  <c r="D63" i="11"/>
  <c r="H63" i="11" s="1"/>
  <c r="E63" i="11"/>
  <c r="D64" i="11"/>
  <c r="J64" i="11" s="1"/>
  <c r="E64" i="11"/>
  <c r="D65" i="11"/>
  <c r="E65" i="11"/>
  <c r="D66" i="11"/>
  <c r="H66" i="11" s="1"/>
  <c r="E66" i="11"/>
  <c r="D67" i="11"/>
  <c r="H67" i="11" s="1"/>
  <c r="E67" i="11"/>
  <c r="D68" i="11"/>
  <c r="E68" i="11"/>
  <c r="D69" i="11"/>
  <c r="I69" i="11" s="1"/>
  <c r="E69" i="11"/>
  <c r="F83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G22" i="11"/>
  <c r="G23" i="11"/>
  <c r="G18" i="11"/>
  <c r="G19" i="11"/>
  <c r="G20" i="11"/>
  <c r="G21" i="11"/>
  <c r="H21" i="11"/>
  <c r="I21" i="11"/>
  <c r="J21" i="11"/>
  <c r="D18" i="11"/>
  <c r="H18" i="11" s="1"/>
  <c r="E18" i="11"/>
  <c r="D19" i="11"/>
  <c r="E19" i="11"/>
  <c r="D20" i="11"/>
  <c r="E20" i="11"/>
  <c r="G94" i="11"/>
  <c r="G95" i="11"/>
  <c r="G100" i="11"/>
  <c r="D93" i="11"/>
  <c r="I93" i="11" s="1"/>
  <c r="E93" i="11"/>
  <c r="D94" i="11"/>
  <c r="H94" i="11" s="1"/>
  <c r="E94" i="11"/>
  <c r="D95" i="11"/>
  <c r="H95" i="11" s="1"/>
  <c r="E95" i="11"/>
  <c r="D96" i="11"/>
  <c r="H96" i="11" s="1"/>
  <c r="E96" i="11"/>
  <c r="D97" i="11"/>
  <c r="J97" i="11" s="1"/>
  <c r="E97" i="11"/>
  <c r="D98" i="11"/>
  <c r="H98" i="11" s="1"/>
  <c r="E98" i="11"/>
  <c r="D99" i="11"/>
  <c r="H99" i="11" s="1"/>
  <c r="E99" i="11"/>
  <c r="D100" i="11"/>
  <c r="J100" i="11" s="1"/>
  <c r="E100" i="11"/>
  <c r="F99" i="11"/>
  <c r="F98" i="11"/>
  <c r="F97" i="11"/>
  <c r="F96" i="11"/>
  <c r="J160" i="11" l="1"/>
  <c r="J139" i="11"/>
  <c r="I139" i="11"/>
  <c r="K139" i="11" s="1"/>
  <c r="J141" i="11"/>
  <c r="J138" i="11"/>
  <c r="J137" i="11"/>
  <c r="J158" i="11"/>
  <c r="J154" i="11"/>
  <c r="J149" i="11"/>
  <c r="I135" i="11"/>
  <c r="I145" i="11"/>
  <c r="H143" i="11"/>
  <c r="K143" i="11" s="1"/>
  <c r="I138" i="11"/>
  <c r="K138" i="11" s="1"/>
  <c r="J151" i="11"/>
  <c r="J150" i="11"/>
  <c r="K150" i="11" s="1"/>
  <c r="I155" i="11"/>
  <c r="I150" i="11"/>
  <c r="I149" i="11"/>
  <c r="I154" i="11"/>
  <c r="J145" i="11"/>
  <c r="I143" i="11"/>
  <c r="H135" i="11"/>
  <c r="I142" i="11"/>
  <c r="J153" i="11"/>
  <c r="I147" i="11"/>
  <c r="J142" i="11"/>
  <c r="I158" i="11"/>
  <c r="K158" i="11" s="1"/>
  <c r="I151" i="11"/>
  <c r="H147" i="11"/>
  <c r="J146" i="11"/>
  <c r="I161" i="11"/>
  <c r="J157" i="11"/>
  <c r="I146" i="11"/>
  <c r="I141" i="11"/>
  <c r="H137" i="11"/>
  <c r="K137" i="11" s="1"/>
  <c r="I153" i="11"/>
  <c r="I159" i="11"/>
  <c r="J163" i="11"/>
  <c r="H161" i="11"/>
  <c r="H159" i="11"/>
  <c r="I157" i="11"/>
  <c r="H155" i="11"/>
  <c r="H152" i="11"/>
  <c r="H148" i="11"/>
  <c r="H144" i="11"/>
  <c r="H140" i="11"/>
  <c r="H136" i="11"/>
  <c r="I162" i="11"/>
  <c r="I160" i="11"/>
  <c r="I163" i="11"/>
  <c r="H160" i="11"/>
  <c r="H156" i="11"/>
  <c r="I156" i="11"/>
  <c r="I152" i="11"/>
  <c r="I148" i="11"/>
  <c r="I144" i="11"/>
  <c r="I140" i="11"/>
  <c r="I136" i="11"/>
  <c r="H162" i="11"/>
  <c r="I74" i="11"/>
  <c r="J70" i="11"/>
  <c r="I70" i="11"/>
  <c r="J72" i="11"/>
  <c r="H74" i="11"/>
  <c r="K74" i="11" s="1"/>
  <c r="I73" i="11"/>
  <c r="J73" i="11"/>
  <c r="I57" i="11"/>
  <c r="I45" i="11"/>
  <c r="I72" i="11"/>
  <c r="I71" i="11"/>
  <c r="H71" i="11"/>
  <c r="J68" i="11"/>
  <c r="I65" i="11"/>
  <c r="I53" i="11"/>
  <c r="K21" i="11"/>
  <c r="I56" i="11"/>
  <c r="H69" i="11"/>
  <c r="J67" i="11"/>
  <c r="I60" i="11"/>
  <c r="H53" i="11"/>
  <c r="J51" i="11"/>
  <c r="H49" i="11"/>
  <c r="J47" i="11"/>
  <c r="H45" i="11"/>
  <c r="J43" i="11"/>
  <c r="H41" i="11"/>
  <c r="J39" i="11"/>
  <c r="H65" i="11"/>
  <c r="J63" i="11"/>
  <c r="I64" i="11"/>
  <c r="H57" i="11"/>
  <c r="J55" i="11"/>
  <c r="I51" i="11"/>
  <c r="K51" i="11" s="1"/>
  <c r="I47" i="11"/>
  <c r="I43" i="11"/>
  <c r="I39" i="11"/>
  <c r="I68" i="11"/>
  <c r="H61" i="11"/>
  <c r="J59" i="11"/>
  <c r="I52" i="11"/>
  <c r="I48" i="11"/>
  <c r="I44" i="11"/>
  <c r="I40" i="11"/>
  <c r="H68" i="11"/>
  <c r="I67" i="11"/>
  <c r="J66" i="11"/>
  <c r="H64" i="11"/>
  <c r="I63" i="11"/>
  <c r="J62" i="11"/>
  <c r="H60" i="11"/>
  <c r="I59" i="11"/>
  <c r="J58" i="11"/>
  <c r="H56" i="11"/>
  <c r="I55" i="11"/>
  <c r="J54" i="11"/>
  <c r="H52" i="11"/>
  <c r="K52" i="11" s="1"/>
  <c r="J50" i="11"/>
  <c r="H48" i="11"/>
  <c r="J46" i="11"/>
  <c r="H44" i="11"/>
  <c r="J42" i="11"/>
  <c r="H40" i="11"/>
  <c r="J69" i="11"/>
  <c r="I66" i="11"/>
  <c r="J65" i="11"/>
  <c r="I62" i="11"/>
  <c r="J61" i="11"/>
  <c r="I58" i="11"/>
  <c r="K58" i="11" s="1"/>
  <c r="J57" i="11"/>
  <c r="I54" i="11"/>
  <c r="J53" i="11"/>
  <c r="I50" i="11"/>
  <c r="J49" i="11"/>
  <c r="I46" i="11"/>
  <c r="J45" i="11"/>
  <c r="I42" i="11"/>
  <c r="J41" i="11"/>
  <c r="I20" i="11"/>
  <c r="J18" i="11"/>
  <c r="J19" i="11"/>
  <c r="H20" i="11"/>
  <c r="I19" i="11"/>
  <c r="H19" i="11"/>
  <c r="I18" i="11"/>
  <c r="J20" i="11"/>
  <c r="H97" i="11"/>
  <c r="J94" i="11"/>
  <c r="I94" i="11"/>
  <c r="J95" i="11"/>
  <c r="H93" i="11"/>
  <c r="I100" i="11"/>
  <c r="I95" i="11"/>
  <c r="H100" i="11"/>
  <c r="J96" i="11"/>
  <c r="J98" i="11"/>
  <c r="I99" i="11"/>
  <c r="K145" i="11" l="1"/>
  <c r="K141" i="11"/>
  <c r="K146" i="11"/>
  <c r="K159" i="11"/>
  <c r="K153" i="11"/>
  <c r="K155" i="11"/>
  <c r="K135" i="11"/>
  <c r="K151" i="11"/>
  <c r="K149" i="11"/>
  <c r="K162" i="11"/>
  <c r="K70" i="11"/>
  <c r="K161" i="11"/>
  <c r="K154" i="11"/>
  <c r="K157" i="11"/>
  <c r="K147" i="11"/>
  <c r="K142" i="11"/>
  <c r="K163" i="11"/>
  <c r="K140" i="11"/>
  <c r="K144" i="11"/>
  <c r="K156" i="11"/>
  <c r="K148" i="11"/>
  <c r="K71" i="11"/>
  <c r="K160" i="11"/>
  <c r="K136" i="11"/>
  <c r="K152" i="11"/>
  <c r="K72" i="11"/>
  <c r="K73" i="11"/>
  <c r="K55" i="11"/>
  <c r="K45" i="11"/>
  <c r="K53" i="11"/>
  <c r="K65" i="11"/>
  <c r="K56" i="11"/>
  <c r="K63" i="11"/>
  <c r="K49" i="11"/>
  <c r="K67" i="11"/>
  <c r="K41" i="11"/>
  <c r="K69" i="11"/>
  <c r="K43" i="11"/>
  <c r="K39" i="11"/>
  <c r="K47" i="11"/>
  <c r="K57" i="11"/>
  <c r="K66" i="11"/>
  <c r="K44" i="11"/>
  <c r="K61" i="11"/>
  <c r="K68" i="11"/>
  <c r="K64" i="11"/>
  <c r="K46" i="11"/>
  <c r="K54" i="11"/>
  <c r="K48" i="11"/>
  <c r="K62" i="11"/>
  <c r="K40" i="11"/>
  <c r="K60" i="11"/>
  <c r="K42" i="11"/>
  <c r="K50" i="11"/>
  <c r="K59" i="11"/>
  <c r="K18" i="11"/>
  <c r="K20" i="11"/>
  <c r="K19" i="11"/>
  <c r="K95" i="11"/>
  <c r="K94" i="11"/>
  <c r="K100" i="11"/>
  <c r="F93" i="11" l="1"/>
  <c r="F92" i="11"/>
  <c r="F91" i="11"/>
  <c r="F90" i="11"/>
  <c r="F87" i="11"/>
  <c r="F86" i="11"/>
  <c r="F85" i="11"/>
  <c r="F84" i="11"/>
  <c r="F81" i="11"/>
  <c r="F80" i="11"/>
  <c r="F79" i="11"/>
  <c r="F78" i="11"/>
  <c r="F77" i="11"/>
  <c r="F76" i="11"/>
  <c r="E92" i="11"/>
  <c r="D92" i="11"/>
  <c r="E91" i="11"/>
  <c r="D91" i="11"/>
  <c r="E90" i="11"/>
  <c r="D90" i="11"/>
  <c r="J90" i="11" s="1"/>
  <c r="G89" i="11"/>
  <c r="E89" i="11"/>
  <c r="D89" i="11"/>
  <c r="J89" i="11" s="1"/>
  <c r="G88" i="11"/>
  <c r="E88" i="11"/>
  <c r="D88" i="11"/>
  <c r="J88" i="11" s="1"/>
  <c r="E87" i="11"/>
  <c r="D87" i="11"/>
  <c r="E86" i="11"/>
  <c r="D86" i="11"/>
  <c r="J86" i="11" s="1"/>
  <c r="E85" i="11"/>
  <c r="D85" i="11"/>
  <c r="J85" i="11" s="1"/>
  <c r="E84" i="11"/>
  <c r="D84" i="11"/>
  <c r="J84" i="11" s="1"/>
  <c r="G83" i="11"/>
  <c r="E83" i="11"/>
  <c r="D83" i="11"/>
  <c r="J83" i="11" s="1"/>
  <c r="G82" i="11"/>
  <c r="E82" i="11"/>
  <c r="D82" i="11"/>
  <c r="J82" i="11" s="1"/>
  <c r="E81" i="11"/>
  <c r="D81" i="11"/>
  <c r="H81" i="11" s="1"/>
  <c r="E80" i="11"/>
  <c r="D80" i="11"/>
  <c r="J80" i="11" s="1"/>
  <c r="E79" i="11"/>
  <c r="D79" i="11"/>
  <c r="J79" i="11" s="1"/>
  <c r="E78" i="11"/>
  <c r="D78" i="11"/>
  <c r="H78" i="11" s="1"/>
  <c r="E77" i="11"/>
  <c r="D77" i="11"/>
  <c r="J77" i="11" s="1"/>
  <c r="E76" i="11"/>
  <c r="D76" i="11"/>
  <c r="J76" i="11" s="1"/>
  <c r="E75" i="11"/>
  <c r="D75" i="11"/>
  <c r="E37" i="11"/>
  <c r="D37" i="11"/>
  <c r="E36" i="11"/>
  <c r="D36" i="11"/>
  <c r="H36" i="11" s="1"/>
  <c r="E35" i="11"/>
  <c r="D35" i="11"/>
  <c r="J35" i="11" s="1"/>
  <c r="E34" i="11"/>
  <c r="D34" i="11"/>
  <c r="J34" i="11" s="1"/>
  <c r="E33" i="11"/>
  <c r="D33" i="11"/>
  <c r="J33" i="11" s="1"/>
  <c r="E32" i="11"/>
  <c r="D32" i="11"/>
  <c r="J32" i="11" s="1"/>
  <c r="E31" i="11"/>
  <c r="D31" i="11"/>
  <c r="J31" i="11" s="1"/>
  <c r="H75" i="11" l="1"/>
  <c r="I75" i="11"/>
  <c r="J75" i="11"/>
  <c r="H91" i="11"/>
  <c r="J91" i="11"/>
  <c r="H92" i="11"/>
  <c r="J92" i="11"/>
  <c r="J78" i="11"/>
  <c r="I81" i="11"/>
  <c r="H84" i="11"/>
  <c r="I87" i="11"/>
  <c r="H87" i="11"/>
  <c r="H90" i="11"/>
  <c r="H77" i="11"/>
  <c r="H80" i="11"/>
  <c r="H83" i="11"/>
  <c r="H86" i="11"/>
  <c r="H89" i="11"/>
  <c r="I83" i="11"/>
  <c r="I89" i="11"/>
  <c r="H76" i="11"/>
  <c r="H79" i="11"/>
  <c r="H82" i="11"/>
  <c r="H85" i="11"/>
  <c r="H88" i="11"/>
  <c r="I82" i="11"/>
  <c r="I88" i="11"/>
  <c r="J36" i="11"/>
  <c r="H33" i="11"/>
  <c r="H31" i="11"/>
  <c r="H37" i="11"/>
  <c r="H32" i="11"/>
  <c r="H35" i="11"/>
  <c r="H34" i="11"/>
  <c r="J37" i="11"/>
  <c r="F177" i="11"/>
  <c r="F176" i="11"/>
  <c r="F175" i="11"/>
  <c r="F174" i="11"/>
  <c r="F173" i="11"/>
  <c r="F172" i="11"/>
  <c r="F171" i="11"/>
  <c r="F122" i="11"/>
  <c r="F121" i="11"/>
  <c r="F120" i="11"/>
  <c r="F119" i="11"/>
  <c r="F118" i="11"/>
  <c r="F117" i="11"/>
  <c r="F116" i="11"/>
  <c r="F115" i="11"/>
  <c r="F114" i="11"/>
  <c r="F113" i="11"/>
  <c r="F112" i="11"/>
  <c r="F111" i="11"/>
  <c r="F110" i="11"/>
  <c r="F109" i="11"/>
  <c r="F108" i="11"/>
  <c r="F107" i="11"/>
  <c r="F106" i="11"/>
  <c r="F104" i="11"/>
  <c r="G101" i="11"/>
  <c r="D30" i="11"/>
  <c r="H30" i="11" s="1"/>
  <c r="E30" i="11"/>
  <c r="D38" i="11"/>
  <c r="E38" i="11"/>
  <c r="D23" i="11"/>
  <c r="E23" i="11"/>
  <c r="D24" i="11"/>
  <c r="J24" i="11" s="1"/>
  <c r="E24" i="11"/>
  <c r="G24" i="11"/>
  <c r="D25" i="11"/>
  <c r="J25" i="11" s="1"/>
  <c r="E25" i="11"/>
  <c r="D26" i="11"/>
  <c r="E26" i="11"/>
  <c r="D27" i="11"/>
  <c r="H27" i="11" s="1"/>
  <c r="E27" i="11"/>
  <c r="D28" i="11"/>
  <c r="J28" i="11" s="1"/>
  <c r="E28" i="11"/>
  <c r="D29" i="11"/>
  <c r="E29" i="11"/>
  <c r="D17" i="11"/>
  <c r="H17" i="11" s="1"/>
  <c r="E17" i="11"/>
  <c r="K75" i="11" l="1"/>
  <c r="J23" i="11"/>
  <c r="I23" i="11"/>
  <c r="H23" i="11"/>
  <c r="K82" i="11"/>
  <c r="K83" i="11"/>
  <c r="K88" i="11"/>
  <c r="K89" i="11"/>
  <c r="J30" i="11"/>
  <c r="H38" i="11"/>
  <c r="I24" i="11"/>
  <c r="H28" i="11"/>
  <c r="J26" i="11"/>
  <c r="H24" i="11"/>
  <c r="J29" i="11"/>
  <c r="I25" i="11"/>
  <c r="H29" i="11"/>
  <c r="J27" i="11"/>
  <c r="J17" i="11"/>
  <c r="D103" i="11"/>
  <c r="J103" i="11" s="1"/>
  <c r="E103" i="11"/>
  <c r="G103" i="11"/>
  <c r="J104" i="11"/>
  <c r="E104" i="11"/>
  <c r="D105" i="11"/>
  <c r="H105" i="11" s="1"/>
  <c r="E105" i="11"/>
  <c r="G105" i="11"/>
  <c r="D106" i="11"/>
  <c r="E106" i="11"/>
  <c r="D107" i="11"/>
  <c r="J107" i="11" s="1"/>
  <c r="E107" i="11"/>
  <c r="D108" i="11"/>
  <c r="E108" i="11"/>
  <c r="D109" i="11"/>
  <c r="E109" i="11"/>
  <c r="F168" i="11"/>
  <c r="F166" i="11"/>
  <c r="F165" i="11"/>
  <c r="K23" i="11" l="1"/>
  <c r="K24" i="11"/>
  <c r="I106" i="11"/>
  <c r="J105" i="11"/>
  <c r="J108" i="11"/>
  <c r="I103" i="11"/>
  <c r="I109" i="11"/>
  <c r="I107" i="11"/>
  <c r="I105" i="11"/>
  <c r="H103" i="11"/>
  <c r="I108" i="11"/>
  <c r="I104" i="11"/>
  <c r="J109" i="11"/>
  <c r="J106" i="11"/>
  <c r="K105" i="11" l="1"/>
  <c r="K103" i="11"/>
  <c r="G169" i="11" l="1"/>
  <c r="G170" i="11"/>
  <c r="G178" i="11"/>
  <c r="G179" i="11"/>
  <c r="G180" i="11"/>
  <c r="G181" i="11"/>
  <c r="D169" i="11"/>
  <c r="H169" i="11" s="1"/>
  <c r="E169" i="11"/>
  <c r="D170" i="11"/>
  <c r="J170" i="11" s="1"/>
  <c r="E170" i="11"/>
  <c r="D171" i="11"/>
  <c r="E171" i="11"/>
  <c r="D172" i="11"/>
  <c r="H172" i="11" s="1"/>
  <c r="E172" i="11"/>
  <c r="D173" i="11"/>
  <c r="H173" i="11" s="1"/>
  <c r="E173" i="11"/>
  <c r="D174" i="11"/>
  <c r="J174" i="11" s="1"/>
  <c r="E174" i="11"/>
  <c r="D175" i="11"/>
  <c r="E175" i="11"/>
  <c r="D176" i="11"/>
  <c r="H176" i="11" s="1"/>
  <c r="E176" i="11"/>
  <c r="D177" i="11"/>
  <c r="H177" i="11" s="1"/>
  <c r="E177" i="11"/>
  <c r="D178" i="11"/>
  <c r="J178" i="11" s="1"/>
  <c r="E178" i="11"/>
  <c r="D179" i="11"/>
  <c r="J179" i="11" s="1"/>
  <c r="E179" i="11"/>
  <c r="D180" i="11"/>
  <c r="I180" i="11" s="1"/>
  <c r="E180" i="11"/>
  <c r="D181" i="11"/>
  <c r="H181" i="11" s="1"/>
  <c r="E181" i="11"/>
  <c r="D101" i="11"/>
  <c r="E101" i="11"/>
  <c r="D102" i="11"/>
  <c r="J102" i="11" s="1"/>
  <c r="E102" i="11"/>
  <c r="G102" i="11"/>
  <c r="H101" i="11" l="1"/>
  <c r="I101" i="11"/>
  <c r="J101" i="11"/>
  <c r="J169" i="11"/>
  <c r="H180" i="11"/>
  <c r="J173" i="11"/>
  <c r="H171" i="11"/>
  <c r="I169" i="11"/>
  <c r="J177" i="11"/>
  <c r="H175" i="11"/>
  <c r="I179" i="11"/>
  <c r="I178" i="11"/>
  <c r="I170" i="11"/>
  <c r="J181" i="11"/>
  <c r="H179" i="11"/>
  <c r="H178" i="11"/>
  <c r="J176" i="11"/>
  <c r="H174" i="11"/>
  <c r="J172" i="11"/>
  <c r="H170" i="11"/>
  <c r="I181" i="11"/>
  <c r="J180" i="11"/>
  <c r="J175" i="11"/>
  <c r="J171" i="11"/>
  <c r="I102" i="11"/>
  <c r="H102" i="11"/>
  <c r="K101" i="11" l="1"/>
  <c r="K178" i="11"/>
  <c r="K181" i="11"/>
  <c r="K170" i="11"/>
  <c r="K179" i="11"/>
  <c r="K169" i="11"/>
  <c r="K180" i="11"/>
  <c r="K102" i="11"/>
  <c r="D164" i="11" l="1"/>
  <c r="D165" i="11"/>
  <c r="D166" i="11"/>
  <c r="D167" i="11"/>
  <c r="D168" i="11"/>
  <c r="D22" i="11"/>
  <c r="E22" i="11"/>
  <c r="E7" i="64"/>
  <c r="D15" i="11"/>
  <c r="J15" i="11" s="1"/>
  <c r="E15" i="11"/>
  <c r="G15" i="11"/>
  <c r="D16" i="11"/>
  <c r="J16" i="11" s="1"/>
  <c r="E16" i="11"/>
  <c r="G16" i="11"/>
  <c r="G123" i="11"/>
  <c r="D123" i="11"/>
  <c r="J123" i="11" s="1"/>
  <c r="E123" i="11"/>
  <c r="H22" i="11" l="1"/>
  <c r="I22" i="11"/>
  <c r="J22" i="11"/>
  <c r="I15" i="11"/>
  <c r="H15" i="11"/>
  <c r="I16" i="11"/>
  <c r="H16" i="11"/>
  <c r="I123" i="11"/>
  <c r="H123" i="11"/>
  <c r="K22" i="11" l="1"/>
  <c r="K15" i="11"/>
  <c r="K123" i="11"/>
  <c r="K16" i="11"/>
  <c r="F133" i="11" l="1"/>
  <c r="F132" i="11"/>
  <c r="F131" i="11"/>
  <c r="F130" i="11"/>
  <c r="F129" i="11"/>
  <c r="F128" i="11"/>
  <c r="F127" i="11"/>
  <c r="F126" i="11"/>
  <c r="F125" i="11"/>
  <c r="D124" i="11"/>
  <c r="H124" i="11" s="1"/>
  <c r="E124" i="11"/>
  <c r="G124" i="11"/>
  <c r="D125" i="11"/>
  <c r="J125" i="11" s="1"/>
  <c r="E125" i="11"/>
  <c r="D126" i="11"/>
  <c r="J126" i="11" s="1"/>
  <c r="E126" i="11"/>
  <c r="D127" i="11"/>
  <c r="H127" i="11" s="1"/>
  <c r="E127" i="11"/>
  <c r="D128" i="11"/>
  <c r="J128" i="11" s="1"/>
  <c r="E128" i="11"/>
  <c r="D129" i="11"/>
  <c r="J129" i="11" s="1"/>
  <c r="E129" i="11"/>
  <c r="D130" i="11"/>
  <c r="J130" i="11" s="1"/>
  <c r="E130" i="11"/>
  <c r="D131" i="11"/>
  <c r="H131" i="11" s="1"/>
  <c r="E131" i="11"/>
  <c r="D132" i="11"/>
  <c r="H132" i="11" s="1"/>
  <c r="E132" i="11"/>
  <c r="D133" i="11"/>
  <c r="E133" i="11"/>
  <c r="D134" i="11"/>
  <c r="J134" i="11" s="1"/>
  <c r="E134" i="11"/>
  <c r="G134" i="11"/>
  <c r="D110" i="11"/>
  <c r="J110" i="11" s="1"/>
  <c r="E110" i="11"/>
  <c r="D111" i="11"/>
  <c r="E111" i="11"/>
  <c r="D112" i="11"/>
  <c r="J112" i="11" s="1"/>
  <c r="E112" i="11"/>
  <c r="D113" i="11"/>
  <c r="J113" i="11" s="1"/>
  <c r="E113" i="11"/>
  <c r="D114" i="11"/>
  <c r="J114" i="11" s="1"/>
  <c r="E114" i="11"/>
  <c r="D115" i="11"/>
  <c r="E115" i="11"/>
  <c r="D116" i="11"/>
  <c r="J116" i="11" s="1"/>
  <c r="E116" i="11"/>
  <c r="D117" i="11"/>
  <c r="J117" i="11" s="1"/>
  <c r="E117" i="11"/>
  <c r="D118" i="11"/>
  <c r="J118" i="11" s="1"/>
  <c r="E118" i="11"/>
  <c r="D119" i="11"/>
  <c r="J119" i="11" s="1"/>
  <c r="E119" i="11"/>
  <c r="D120" i="11"/>
  <c r="H120" i="11" s="1"/>
  <c r="E120" i="11"/>
  <c r="D121" i="11"/>
  <c r="J121" i="11" s="1"/>
  <c r="E121" i="11"/>
  <c r="D122" i="11"/>
  <c r="E122" i="11"/>
  <c r="E164" i="11"/>
  <c r="G164" i="11"/>
  <c r="J165" i="11"/>
  <c r="E165" i="11"/>
  <c r="J166" i="11"/>
  <c r="E166" i="11"/>
  <c r="E167" i="11"/>
  <c r="H168" i="11"/>
  <c r="E168" i="11"/>
  <c r="J132" i="11" l="1"/>
  <c r="J124" i="11"/>
  <c r="I124" i="11"/>
  <c r="H130" i="11"/>
  <c r="H126" i="11"/>
  <c r="I134" i="11"/>
  <c r="J111" i="11"/>
  <c r="H134" i="11"/>
  <c r="H128" i="11"/>
  <c r="I133" i="11"/>
  <c r="H133" i="11"/>
  <c r="J131" i="11"/>
  <c r="H129" i="11"/>
  <c r="J127" i="11"/>
  <c r="H125" i="11"/>
  <c r="J115" i="11"/>
  <c r="H115" i="11"/>
  <c r="H119" i="11"/>
  <c r="J120" i="11"/>
  <c r="H116" i="11"/>
  <c r="H111" i="11"/>
  <c r="H121" i="11"/>
  <c r="H117" i="11"/>
  <c r="H112" i="11"/>
  <c r="H113" i="11"/>
  <c r="H122" i="11"/>
  <c r="H118" i="11"/>
  <c r="H114" i="11"/>
  <c r="H110" i="11"/>
  <c r="I122" i="11"/>
  <c r="H164" i="11"/>
  <c r="J167" i="11"/>
  <c r="I165" i="11"/>
  <c r="J164" i="11"/>
  <c r="I167" i="11"/>
  <c r="I166" i="11"/>
  <c r="I168" i="11"/>
  <c r="I164" i="11"/>
  <c r="D14" i="11"/>
  <c r="J14" i="11" s="1"/>
  <c r="E14" i="11"/>
  <c r="G14" i="11"/>
  <c r="K19" i="60"/>
  <c r="D19" i="60"/>
  <c r="K124" i="11" l="1"/>
  <c r="K134" i="11"/>
  <c r="K164" i="11"/>
  <c r="H14" i="1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D20" i="60" s="1"/>
  <c r="K9" i="60" l="1"/>
  <c r="K16" i="60" s="1"/>
  <c r="D6" i="60"/>
  <c r="D9" i="60" s="1"/>
  <c r="K20" i="60" l="1"/>
  <c r="A16" i="11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A15" i="11" l="1"/>
  <c r="D182" i="11" l="1"/>
  <c r="I88" i="10"/>
  <c r="I92" i="10"/>
  <c r="G166" i="11" s="1"/>
  <c r="H166" i="11" s="1"/>
  <c r="K166" i="11" s="1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182" i="11"/>
  <c r="D183" i="11"/>
  <c r="H183" i="11" s="1"/>
  <c r="E183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L90" i="10" s="1"/>
  <c r="N90" i="10" s="1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P13" i="10" s="1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L31" i="10" s="1"/>
  <c r="N31" i="10" s="1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L91" i="10" s="1"/>
  <c r="N91" i="10" s="1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N122" i="10" s="1"/>
  <c r="K122" i="10"/>
  <c r="M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 s="1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M141" i="10" s="1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L177" i="10" s="1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P189" i="10" s="1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L207" i="10" s="1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 s="1"/>
  <c r="J245" i="10"/>
  <c r="K245" i="10"/>
  <c r="M245" i="10" s="1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L256" i="10" s="1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 s="1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 s="1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 s="1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 s="1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 s="1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M557" i="10" s="1"/>
  <c r="N557" i="10" s="1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 s="1"/>
  <c r="K580" i="10"/>
  <c r="O580" i="10"/>
  <c r="P580" i="10" s="1"/>
  <c r="J581" i="10"/>
  <c r="L581" i="10" s="1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N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O636" i="10"/>
  <c r="P636" i="10" s="1"/>
  <c r="J637" i="10"/>
  <c r="L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N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N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N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N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N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N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 s="1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N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N698" i="10" s="1"/>
  <c r="K698" i="10"/>
  <c r="M698" i="10" s="1"/>
  <c r="O698" i="10"/>
  <c r="P698" i="10" s="1"/>
  <c r="J699" i="10"/>
  <c r="L699" i="10" s="1"/>
  <c r="K699" i="10"/>
  <c r="M699" i="10" s="1"/>
  <c r="N699" i="10" s="1"/>
  <c r="O699" i="10"/>
  <c r="P699" i="10" s="1"/>
  <c r="J700" i="10"/>
  <c r="L700" i="10" s="1"/>
  <c r="K700" i="10"/>
  <c r="M700" i="10" s="1"/>
  <c r="O700" i="10"/>
  <c r="P700" i="10" s="1"/>
  <c r="J701" i="10"/>
  <c r="L701" i="10" s="1"/>
  <c r="N701" i="10" s="1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 s="1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N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 s="1"/>
  <c r="N777" i="10" s="1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N790" i="10" s="1"/>
  <c r="K790" i="10"/>
  <c r="M790" i="10" s="1"/>
  <c r="O790" i="10"/>
  <c r="P790" i="10" s="1"/>
  <c r="J791" i="10"/>
  <c r="L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 s="1"/>
  <c r="J794" i="10"/>
  <c r="L794" i="10" s="1"/>
  <c r="K794" i="10"/>
  <c r="M794" i="10" s="1"/>
  <c r="O794" i="10"/>
  <c r="P794" i="10" s="1"/>
  <c r="J795" i="10"/>
  <c r="L795" i="10" s="1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N797" i="10" s="1"/>
  <c r="K797" i="10"/>
  <c r="M797" i="10" s="1"/>
  <c r="O797" i="10"/>
  <c r="P797" i="10" s="1"/>
  <c r="J798" i="10"/>
  <c r="L798" i="10" s="1"/>
  <c r="K798" i="10"/>
  <c r="M798" i="10" s="1"/>
  <c r="N798" i="10" s="1"/>
  <c r="O798" i="10"/>
  <c r="P798" i="10" s="1"/>
  <c r="J799" i="10"/>
  <c r="L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N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N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N819" i="10" s="1"/>
  <c r="K819" i="10"/>
  <c r="M819" i="10" s="1"/>
  <c r="O819" i="10"/>
  <c r="P819" i="10" s="1"/>
  <c r="J820" i="10"/>
  <c r="L820" i="10" s="1"/>
  <c r="K820" i="10"/>
  <c r="M820" i="10" s="1"/>
  <c r="N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N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N827" i="10" s="1"/>
  <c r="K827" i="10"/>
  <c r="M827" i="10" s="1"/>
  <c r="O827" i="10"/>
  <c r="P827" i="10" s="1"/>
  <c r="J828" i="10"/>
  <c r="L828" i="10"/>
  <c r="N828" i="10" s="1"/>
  <c r="K828" i="10"/>
  <c r="M828" i="10" s="1"/>
  <c r="O828" i="10"/>
  <c r="P828" i="10" s="1"/>
  <c r="J829" i="10"/>
  <c r="L829" i="10" s="1"/>
  <c r="K829" i="10"/>
  <c r="M829" i="10" s="1"/>
  <c r="N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N832" i="10" s="1"/>
  <c r="K832" i="10"/>
  <c r="M832" i="10" s="1"/>
  <c r="O832" i="10"/>
  <c r="P832" i="10" s="1"/>
  <c r="J833" i="10"/>
  <c r="L833" i="10" s="1"/>
  <c r="K833" i="10"/>
  <c r="M833" i="10" s="1"/>
  <c r="N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K837" i="10"/>
  <c r="M837" i="10" s="1"/>
  <c r="O837" i="10"/>
  <c r="P837" i="10" s="1"/>
  <c r="J838" i="10"/>
  <c r="L838" i="10" s="1"/>
  <c r="K838" i="10"/>
  <c r="M838" i="10" s="1"/>
  <c r="O838" i="10"/>
  <c r="P838" i="10" s="1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N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N855" i="10" s="1"/>
  <c r="O855" i="10"/>
  <c r="P855" i="10" s="1"/>
  <c r="J856" i="10"/>
  <c r="L856" i="10" s="1"/>
  <c r="K856" i="10"/>
  <c r="M856" i="10" s="1"/>
  <c r="N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N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N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N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N876" i="10" s="1"/>
  <c r="K876" i="10"/>
  <c r="M876" i="10" s="1"/>
  <c r="O876" i="10"/>
  <c r="P876" i="10" s="1"/>
  <c r="J877" i="10"/>
  <c r="L877" i="10" s="1"/>
  <c r="K877" i="10"/>
  <c r="M877" i="10" s="1"/>
  <c r="N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N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N884" i="10" s="1"/>
  <c r="K884" i="10"/>
  <c r="M884" i="10" s="1"/>
  <c r="O884" i="10"/>
  <c r="P884" i="10" s="1"/>
  <c r="J885" i="10"/>
  <c r="L885" i="10" s="1"/>
  <c r="N885" i="10" s="1"/>
  <c r="K885" i="10"/>
  <c r="M885" i="10" s="1"/>
  <c r="O885" i="10"/>
  <c r="P885" i="10" s="1"/>
  <c r="J886" i="10"/>
  <c r="L886" i="10" s="1"/>
  <c r="K886" i="10"/>
  <c r="M886" i="10" s="1"/>
  <c r="N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N889" i="10" s="1"/>
  <c r="K889" i="10"/>
  <c r="M889" i="10" s="1"/>
  <c r="O889" i="10"/>
  <c r="P889" i="10" s="1"/>
  <c r="J890" i="10"/>
  <c r="L890" i="10" s="1"/>
  <c r="K890" i="10"/>
  <c r="M890" i="10" s="1"/>
  <c r="N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N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N897" i="10" s="1"/>
  <c r="K897" i="10"/>
  <c r="M897" i="10" s="1"/>
  <c r="O897" i="10"/>
  <c r="P897" i="10" s="1"/>
  <c r="J898" i="10"/>
  <c r="L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N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 s="1"/>
  <c r="J909" i="10"/>
  <c r="L909" i="10" s="1"/>
  <c r="K909" i="10"/>
  <c r="M909" i="10" s="1"/>
  <c r="O909" i="10"/>
  <c r="P909" i="10" s="1"/>
  <c r="J910" i="10"/>
  <c r="L910" i="10" s="1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 s="1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N928" i="10" s="1"/>
  <c r="K928" i="10"/>
  <c r="M928" i="10" s="1"/>
  <c r="O928" i="10"/>
  <c r="P928" i="10" s="1"/>
  <c r="J929" i="10"/>
  <c r="L929" i="10" s="1"/>
  <c r="K929" i="10"/>
  <c r="M929" i="10" s="1"/>
  <c r="N929" i="10" s="1"/>
  <c r="O929" i="10"/>
  <c r="P929" i="10" s="1"/>
  <c r="J930" i="10"/>
  <c r="L930" i="10" s="1"/>
  <c r="K930" i="10"/>
  <c r="M930" i="10" s="1"/>
  <c r="O930" i="10"/>
  <c r="P930" i="10" s="1"/>
  <c r="J931" i="10"/>
  <c r="L931" i="10" s="1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N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N939" i="10" s="1"/>
  <c r="K939" i="10"/>
  <c r="M939" i="10" s="1"/>
  <c r="O939" i="10"/>
  <c r="P939" i="10" s="1"/>
  <c r="J940" i="10"/>
  <c r="L940" i="10" s="1"/>
  <c r="N940" i="10" s="1"/>
  <c r="K940" i="10"/>
  <c r="M940" i="10" s="1"/>
  <c r="O940" i="10"/>
  <c r="P940" i="10" s="1"/>
  <c r="J941" i="10"/>
  <c r="L941" i="10" s="1"/>
  <c r="K941" i="10"/>
  <c r="M941" i="10" s="1"/>
  <c r="N941" i="10" s="1"/>
  <c r="O941" i="10"/>
  <c r="P941" i="10" s="1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N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N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N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N966" i="10" s="1"/>
  <c r="K966" i="10"/>
  <c r="M966" i="10" s="1"/>
  <c r="O966" i="10"/>
  <c r="P966" i="10" s="1"/>
  <c r="J967" i="10"/>
  <c r="L967" i="10" s="1"/>
  <c r="K967" i="10"/>
  <c r="M967" i="10" s="1"/>
  <c r="N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N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 s="1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N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N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N1020" i="10" s="1"/>
  <c r="K1020" i="10"/>
  <c r="M1020" i="10" s="1"/>
  <c r="O1020" i="10"/>
  <c r="P1020" i="10" s="1"/>
  <c r="J1021" i="10"/>
  <c r="L1021" i="10" s="1"/>
  <c r="K1021" i="10"/>
  <c r="M1021" i="10" s="1"/>
  <c r="N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 s="1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 s="1"/>
  <c r="O1040" i="10"/>
  <c r="P1040" i="10" s="1"/>
  <c r="J1041" i="10"/>
  <c r="L1041" i="10" s="1"/>
  <c r="K1041" i="10"/>
  <c r="M1041" i="10" s="1"/>
  <c r="N1041" i="10" s="1"/>
  <c r="O1041" i="10"/>
  <c r="P1041" i="10" s="1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N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N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N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 s="1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N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 s="1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N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N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N1133" i="10" s="1"/>
  <c r="K1133" i="10"/>
  <c r="M1133" i="10" s="1"/>
  <c r="O1133" i="10"/>
  <c r="P1133" i="10" s="1"/>
  <c r="J1134" i="10"/>
  <c r="L1134" i="10" s="1"/>
  <c r="K1134" i="10"/>
  <c r="M1134" i="10" s="1"/>
  <c r="N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N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N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N1155" i="10" s="1"/>
  <c r="O1155" i="10"/>
  <c r="P1155" i="10" s="1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K1167" i="10"/>
  <c r="M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N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 s="1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 s="1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 s="1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N1226" i="10" s="1"/>
  <c r="O1226" i="10"/>
  <c r="P1226" i="10" s="1"/>
  <c r="J1227" i="10"/>
  <c r="L1227" i="10" s="1"/>
  <c r="K1227" i="10"/>
  <c r="M1227" i="10" s="1"/>
  <c r="O1227" i="10"/>
  <c r="P1227" i="10" s="1"/>
  <c r="J1228" i="10"/>
  <c r="L1228" i="10" s="1"/>
  <c r="K1228" i="10"/>
  <c r="M1228" i="10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 s="1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K1235" i="10"/>
  <c r="M1235" i="10" s="1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N1245" i="10" s="1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 s="1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 s="1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N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N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 s="1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 s="1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 s="1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 s="1"/>
  <c r="K1287" i="10"/>
  <c r="M1287" i="10" s="1"/>
  <c r="O1287" i="10"/>
  <c r="P1287" i="10" s="1"/>
  <c r="J1288" i="10"/>
  <c r="L1288" i="10" s="1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 s="1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 s="1"/>
  <c r="N1312" i="10" s="1"/>
  <c r="K1312" i="10"/>
  <c r="M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 s="1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 s="1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K1335" i="10"/>
  <c r="M1335" i="10" s="1"/>
  <c r="O1335" i="10"/>
  <c r="P1335" i="10" s="1"/>
  <c r="J1336" i="10"/>
  <c r="L1336" i="10" s="1"/>
  <c r="K1336" i="10"/>
  <c r="M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N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N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 s="1"/>
  <c r="O1374" i="10"/>
  <c r="P1374" i="10" s="1"/>
  <c r="J1375" i="10"/>
  <c r="L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739" i="10"/>
  <c r="N1113" i="10"/>
  <c r="N874" i="10"/>
  <c r="N1073" i="10"/>
  <c r="N857" i="10"/>
  <c r="N1081" i="10"/>
  <c r="N700" i="10"/>
  <c r="N775" i="10"/>
  <c r="N971" i="10"/>
  <c r="N905" i="10"/>
  <c r="N983" i="10"/>
  <c r="N965" i="10"/>
  <c r="N960" i="10"/>
  <c r="N944" i="10"/>
  <c r="N676" i="10"/>
  <c r="N822" i="10"/>
  <c r="N723" i="10"/>
  <c r="N973" i="10"/>
  <c r="N968" i="10"/>
  <c r="N963" i="10"/>
  <c r="N956" i="10"/>
  <c r="N751" i="10"/>
  <c r="N1143" i="10"/>
  <c r="N912" i="10"/>
  <c r="N1132" i="10"/>
  <c r="N1124" i="10"/>
  <c r="N952" i="10"/>
  <c r="N863" i="10"/>
  <c r="N838" i="10"/>
  <c r="N831" i="10"/>
  <c r="N664" i="10"/>
  <c r="N986" i="10"/>
  <c r="N922" i="10"/>
  <c r="N921" i="10"/>
  <c r="N908" i="10"/>
  <c r="N892" i="10"/>
  <c r="N868" i="10"/>
  <c r="N763" i="10"/>
  <c r="N993" i="10"/>
  <c r="N964" i="10"/>
  <c r="N1072" i="10"/>
  <c r="N1040" i="10"/>
  <c r="N1085" i="10"/>
  <c r="N1077" i="10"/>
  <c r="N1053" i="10"/>
  <c r="N1045" i="10"/>
  <c r="N977" i="10"/>
  <c r="N945" i="10"/>
  <c r="N937" i="10"/>
  <c r="N845" i="10"/>
  <c r="N813" i="10"/>
  <c r="N925" i="10"/>
  <c r="N911" i="10"/>
  <c r="N909" i="10"/>
  <c r="N896" i="10"/>
  <c r="N840" i="10"/>
  <c r="N689" i="10"/>
  <c r="N681" i="10"/>
  <c r="N693" i="10"/>
  <c r="N668" i="10"/>
  <c r="P184" i="10"/>
  <c r="O7" i="10"/>
  <c r="P188" i="10"/>
  <c r="G9" i="39"/>
  <c r="G6" i="39"/>
  <c r="C2" i="41"/>
  <c r="J7" i="10"/>
  <c r="L112" i="10"/>
  <c r="K7" i="10"/>
  <c r="M7" i="10" s="1"/>
  <c r="L172" i="10"/>
  <c r="L201" i="10"/>
  <c r="L202" i="10"/>
  <c r="L109" i="10"/>
  <c r="L171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G130" i="11" s="1"/>
  <c r="I130" i="11" s="1"/>
  <c r="K130" i="11" s="1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183" i="11"/>
  <c r="I14" i="10"/>
  <c r="G165" i="11" s="1"/>
  <c r="H165" i="11" s="1"/>
  <c r="K165" i="11" s="1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G31" i="11" s="1"/>
  <c r="I31" i="11" s="1"/>
  <c r="K31" i="11" s="1"/>
  <c r="I414" i="10"/>
  <c r="I430" i="10"/>
  <c r="I446" i="10"/>
  <c r="I462" i="10"/>
  <c r="I478" i="10"/>
  <c r="I494" i="10"/>
  <c r="I510" i="10"/>
  <c r="I526" i="10"/>
  <c r="G121" i="11" s="1"/>
  <c r="I121" i="11" s="1"/>
  <c r="K121" i="11" s="1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G117" i="11" s="1"/>
  <c r="I117" i="11" s="1"/>
  <c r="K117" i="11" s="1"/>
  <c r="I465" i="10"/>
  <c r="G35" i="11" s="1"/>
  <c r="I35" i="11" s="1"/>
  <c r="K35" i="11" s="1"/>
  <c r="I487" i="10"/>
  <c r="G119" i="11" s="1"/>
  <c r="I119" i="11" s="1"/>
  <c r="K119" i="11" s="1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G125" i="11" s="1"/>
  <c r="I125" i="11" s="1"/>
  <c r="K125" i="11" s="1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G173" i="11" s="1"/>
  <c r="I173" i="11" s="1"/>
  <c r="K173" i="11" s="1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G172" i="11" s="1"/>
  <c r="I172" i="11" s="1"/>
  <c r="K172" i="11" s="1"/>
  <c r="I377" i="10"/>
  <c r="I402" i="10"/>
  <c r="G114" i="11" s="1"/>
  <c r="I114" i="11" s="1"/>
  <c r="K114" i="11" s="1"/>
  <c r="I422" i="10"/>
  <c r="I442" i="10"/>
  <c r="I466" i="10"/>
  <c r="I486" i="10"/>
  <c r="G37" i="11" s="1"/>
  <c r="I37" i="11" s="1"/>
  <c r="K37" i="11" s="1"/>
  <c r="I506" i="10"/>
  <c r="I530" i="10"/>
  <c r="I551" i="10"/>
  <c r="G79" i="11" s="1"/>
  <c r="I79" i="11" s="1"/>
  <c r="K79" i="11" s="1"/>
  <c r="I571" i="10"/>
  <c r="I634" i="10"/>
  <c r="I654" i="10"/>
  <c r="I673" i="10"/>
  <c r="I697" i="10"/>
  <c r="I717" i="10"/>
  <c r="I737" i="10"/>
  <c r="I771" i="10"/>
  <c r="I791" i="10"/>
  <c r="I815" i="10"/>
  <c r="G99" i="11" s="1"/>
  <c r="J99" i="11" s="1"/>
  <c r="K99" i="11" s="1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G108" i="11" s="1"/>
  <c r="H108" i="11" s="1"/>
  <c r="K108" i="11" s="1"/>
  <c r="I203" i="10"/>
  <c r="I222" i="10"/>
  <c r="I248" i="10"/>
  <c r="I273" i="10"/>
  <c r="I302" i="10"/>
  <c r="I334" i="10"/>
  <c r="I360" i="10"/>
  <c r="I393" i="10"/>
  <c r="I436" i="10"/>
  <c r="G127" i="11" s="1"/>
  <c r="I127" i="11" s="1"/>
  <c r="K127" i="11" s="1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G120" i="11" s="1"/>
  <c r="I120" i="11" s="1"/>
  <c r="K120" i="11" s="1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G87" i="11" s="1"/>
  <c r="J87" i="11" s="1"/>
  <c r="K87" i="11" s="1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G27" i="11" s="1"/>
  <c r="I27" i="11" s="1"/>
  <c r="K27" i="11" s="1"/>
  <c r="I394" i="10"/>
  <c r="G113" i="11" s="1"/>
  <c r="I113" i="11" s="1"/>
  <c r="K113" i="11" s="1"/>
  <c r="I418" i="10"/>
  <c r="I438" i="10"/>
  <c r="G77" i="11" s="1"/>
  <c r="I77" i="11" s="1"/>
  <c r="K77" i="11" s="1"/>
  <c r="I458" i="10"/>
  <c r="I482" i="10"/>
  <c r="I502" i="10"/>
  <c r="I522" i="10"/>
  <c r="G132" i="11" s="1"/>
  <c r="I132" i="11" s="1"/>
  <c r="K132" i="11" s="1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G104" i="11" s="1"/>
  <c r="H104" i="11" s="1"/>
  <c r="K104" i="11" s="1"/>
  <c r="I164" i="10"/>
  <c r="I186" i="10"/>
  <c r="I220" i="10"/>
  <c r="I242" i="10"/>
  <c r="I265" i="10"/>
  <c r="I299" i="10"/>
  <c r="I326" i="10"/>
  <c r="G177" i="11" s="1"/>
  <c r="I177" i="11" s="1"/>
  <c r="K177" i="11" s="1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G25" i="11" s="1"/>
  <c r="H25" i="11" s="1"/>
  <c r="K25" i="11" s="1"/>
  <c r="I240" i="10"/>
  <c r="I268" i="10"/>
  <c r="I297" i="10"/>
  <c r="I323" i="10"/>
  <c r="G175" i="11" s="1"/>
  <c r="I175" i="11" s="1"/>
  <c r="K175" i="11" s="1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G93" i="11" s="1"/>
  <c r="J93" i="11" s="1"/>
  <c r="K93" i="11" s="1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G174" i="11" s="1"/>
  <c r="I174" i="11" s="1"/>
  <c r="K174" i="11" s="1"/>
  <c r="I369" i="10"/>
  <c r="I410" i="10"/>
  <c r="G115" i="11" s="1"/>
  <c r="I115" i="11" s="1"/>
  <c r="K115" i="11" s="1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G176" i="11" s="1"/>
  <c r="I176" i="11" s="1"/>
  <c r="K176" i="11" s="1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G86" i="11" s="1"/>
  <c r="I86" i="11" s="1"/>
  <c r="K86" i="11" s="1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G78" i="11" s="1"/>
  <c r="I78" i="11" s="1"/>
  <c r="K78" i="11" s="1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G122" i="11" s="1"/>
  <c r="J122" i="11" s="1"/>
  <c r="K122" i="11" s="1"/>
  <c r="I1137" i="10"/>
  <c r="I1258" i="10"/>
  <c r="I1442" i="10"/>
  <c r="I773" i="10"/>
  <c r="I947" i="10"/>
  <c r="I1086" i="10"/>
  <c r="I1158" i="10"/>
  <c r="I1230" i="10"/>
  <c r="I1329" i="10"/>
  <c r="I79" i="10"/>
  <c r="I277" i="10"/>
  <c r="G111" i="11" s="1"/>
  <c r="I111" i="11" s="1"/>
  <c r="K111" i="11" s="1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G33" i="11" s="1"/>
  <c r="I33" i="11" s="1"/>
  <c r="K33" i="11" s="1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G171" i="11" s="1"/>
  <c r="I171" i="11" s="1"/>
  <c r="K171" i="11" s="1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G81" i="11" s="1"/>
  <c r="J81" i="11" s="1"/>
  <c r="K81" i="11" s="1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G36" i="11" s="1"/>
  <c r="I36" i="11" s="1"/>
  <c r="K36" i="11" s="1"/>
  <c r="I531" i="10"/>
  <c r="G131" i="11" s="1"/>
  <c r="I131" i="11" s="1"/>
  <c r="K131" i="11" s="1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G30" i="11" s="1"/>
  <c r="I30" i="11" s="1"/>
  <c r="K30" i="11" s="1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G110" i="11" s="1"/>
  <c r="I110" i="11" s="1"/>
  <c r="K110" i="11" s="1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G167" i="11" s="1"/>
  <c r="H167" i="11" s="1"/>
  <c r="K167" i="11" s="1"/>
  <c r="I291" i="10"/>
  <c r="I344" i="10"/>
  <c r="I415" i="10"/>
  <c r="I26" i="10"/>
  <c r="I115" i="10"/>
  <c r="I173" i="10"/>
  <c r="I308" i="10"/>
  <c r="I367" i="10"/>
  <c r="G26" i="11" s="1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G34" i="11" s="1"/>
  <c r="I34" i="11" s="1"/>
  <c r="K34" i="11" s="1"/>
  <c r="I515" i="10"/>
  <c r="G85" i="11" s="1"/>
  <c r="I85" i="11" s="1"/>
  <c r="K85" i="11" s="1"/>
  <c r="I580" i="10"/>
  <c r="I671" i="10"/>
  <c r="I724" i="10"/>
  <c r="I813" i="10"/>
  <c r="G133" i="11" s="1"/>
  <c r="J133" i="11" s="1"/>
  <c r="K133" i="11" s="1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G109" i="11" s="1"/>
  <c r="H109" i="11" s="1"/>
  <c r="K109" i="11" s="1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G168" i="11" s="1"/>
  <c r="J168" i="11" s="1"/>
  <c r="K168" i="11" s="1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G107" i="11" s="1"/>
  <c r="H107" i="11" s="1"/>
  <c r="K107" i="11" s="1"/>
  <c r="I278" i="10"/>
  <c r="I339" i="10"/>
  <c r="I404" i="10"/>
  <c r="I110" i="10"/>
  <c r="I168" i="10"/>
  <c r="I198" i="10"/>
  <c r="I245" i="10"/>
  <c r="I304" i="10"/>
  <c r="I356" i="10"/>
  <c r="I416" i="10"/>
  <c r="G84" i="11" s="1"/>
  <c r="I84" i="11" s="1"/>
  <c r="K84" i="11" s="1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G17" i="11" s="1"/>
  <c r="I17" i="11" s="1"/>
  <c r="K17" i="11" s="1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190" i="11"/>
  <c r="I1220" i="10"/>
  <c r="I1219" i="10"/>
  <c r="I9" i="10"/>
  <c r="P191" i="10"/>
  <c r="P193" i="10"/>
  <c r="P190" i="10"/>
  <c r="P7" i="10"/>
  <c r="P192" i="10"/>
  <c r="P195" i="10"/>
  <c r="P194" i="10"/>
  <c r="L237" i="10"/>
  <c r="L108" i="10"/>
  <c r="L111" i="10"/>
  <c r="L204" i="10"/>
  <c r="L203" i="10"/>
  <c r="L126" i="10"/>
  <c r="L200" i="10"/>
  <c r="L176" i="10"/>
  <c r="L205" i="10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192" i="10"/>
  <c r="N1131" i="10"/>
  <c r="N1099" i="10"/>
  <c r="N1059" i="10"/>
  <c r="G8" i="39"/>
  <c r="I107" i="10"/>
  <c r="I1408" i="10"/>
  <c r="I1411" i="10"/>
  <c r="I1414" i="10"/>
  <c r="M120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G8" i="29"/>
  <c r="K14" i="29"/>
  <c r="N1359" i="10"/>
  <c r="N1209" i="10"/>
  <c r="N1208" i="10"/>
  <c r="N1060" i="10"/>
  <c r="N1003" i="10"/>
  <c r="N1370" i="10"/>
  <c r="N1091" i="10"/>
  <c r="N1052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23" i="10"/>
  <c r="N916" i="10"/>
  <c r="N887" i="10"/>
  <c r="N867" i="10"/>
  <c r="N835" i="10"/>
  <c r="N870" i="10"/>
  <c r="N869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1" i="10"/>
  <c r="N894" i="10"/>
  <c r="N882" i="10"/>
  <c r="N850" i="10"/>
  <c r="N849" i="10"/>
  <c r="N844" i="10"/>
  <c r="N830" i="10"/>
  <c r="N826" i="10"/>
  <c r="N934" i="10"/>
  <c r="N932" i="10"/>
  <c r="N931" i="10"/>
  <c r="N930" i="10"/>
  <c r="N839" i="10"/>
  <c r="N814" i="10"/>
  <c r="N695" i="10"/>
  <c r="N683" i="10"/>
  <c r="N675" i="10"/>
  <c r="N671" i="10"/>
  <c r="N667" i="10"/>
  <c r="N663" i="10"/>
  <c r="N655" i="10"/>
  <c r="N651" i="10"/>
  <c r="N647" i="10"/>
  <c r="N1210" i="10"/>
  <c r="N1306" i="10"/>
  <c r="P202" i="10"/>
  <c r="N1252" i="10"/>
  <c r="N1238" i="10"/>
  <c r="L9" i="10"/>
  <c r="N1386" i="10"/>
  <c r="N1326" i="10"/>
  <c r="N1276" i="10"/>
  <c r="N1260" i="10"/>
  <c r="N1218" i="10"/>
  <c r="N1139" i="10"/>
  <c r="N1454" i="10"/>
  <c r="N1319" i="10"/>
  <c r="L86" i="10"/>
  <c r="N86" i="10" s="1"/>
  <c r="L45" i="10"/>
  <c r="L29" i="10"/>
  <c r="N29" i="10" s="1"/>
  <c r="N1237" i="10"/>
  <c r="N1211" i="10"/>
  <c r="N1164" i="10"/>
  <c r="N1144" i="10"/>
  <c r="N972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18" i="10"/>
  <c r="N817" i="10"/>
  <c r="N812" i="10"/>
  <c r="N1112" i="10"/>
  <c r="N1079" i="10"/>
  <c r="N947" i="10"/>
  <c r="N918" i="10"/>
  <c r="N917" i="10"/>
  <c r="N915" i="10"/>
  <c r="N883" i="10"/>
  <c r="N864" i="10"/>
  <c r="N843" i="10"/>
  <c r="N834" i="10"/>
  <c r="N802" i="10"/>
  <c r="N794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25" i="10"/>
  <c r="N821" i="10"/>
  <c r="N816" i="10"/>
  <c r="N805" i="10"/>
  <c r="N804" i="10"/>
  <c r="N801" i="10"/>
  <c r="N800" i="10"/>
  <c r="N796" i="10"/>
  <c r="N793" i="10"/>
  <c r="N792" i="10"/>
  <c r="N789" i="10"/>
  <c r="N788" i="10"/>
  <c r="N785" i="10"/>
  <c r="N784" i="10"/>
  <c r="N781" i="10"/>
  <c r="N780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296" i="10"/>
  <c r="N1168" i="10"/>
  <c r="N1158" i="10"/>
  <c r="N1157" i="10"/>
  <c r="N1141" i="10"/>
  <c r="N1140" i="10"/>
  <c r="N1136" i="10"/>
  <c r="N1135" i="10"/>
  <c r="N1090" i="10"/>
  <c r="N1071" i="10"/>
  <c r="N1056" i="10"/>
  <c r="N997" i="10"/>
  <c r="N1214" i="10"/>
  <c r="N1207" i="10"/>
  <c r="N1186" i="10"/>
  <c r="N1166" i="10"/>
  <c r="L208" i="10"/>
  <c r="L257" i="10"/>
  <c r="L242" i="10"/>
  <c r="L246" i="10"/>
  <c r="L269" i="10"/>
  <c r="L240" i="10"/>
  <c r="L137" i="10"/>
  <c r="N137" i="10" s="1"/>
  <c r="L217" i="10"/>
  <c r="N217" i="10" s="1"/>
  <c r="L233" i="10"/>
  <c r="L225" i="10"/>
  <c r="N225" i="10" s="1"/>
  <c r="L241" i="10"/>
  <c r="L268" i="10"/>
  <c r="L222" i="10"/>
  <c r="N222" i="10" s="1"/>
  <c r="L181" i="10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10" i="10"/>
  <c r="N1076" i="10"/>
  <c r="N1063" i="10"/>
  <c r="N1002" i="10"/>
  <c r="N1302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M147" i="10"/>
  <c r="M259" i="10"/>
  <c r="M1451" i="10"/>
  <c r="N1451" i="10" s="1"/>
  <c r="M101" i="10"/>
  <c r="M107" i="10"/>
  <c r="N107" i="10" s="1"/>
  <c r="M273" i="10"/>
  <c r="N273" i="10" s="1"/>
  <c r="M198" i="10"/>
  <c r="N198" i="10" s="1"/>
  <c r="M1435" i="10"/>
  <c r="M244" i="10"/>
  <c r="M231" i="10"/>
  <c r="I26" i="11" l="1"/>
  <c r="H26" i="11"/>
  <c r="G76" i="11"/>
  <c r="I76" i="11" s="1"/>
  <c r="K76" i="11" s="1"/>
  <c r="G28" i="11"/>
  <c r="I28" i="11" s="1"/>
  <c r="K28" i="11" s="1"/>
  <c r="L141" i="10"/>
  <c r="N141" i="10" s="1"/>
  <c r="L146" i="10"/>
  <c r="N146" i="10" s="1"/>
  <c r="L120" i="10"/>
  <c r="N120" i="10" s="1"/>
  <c r="L85" i="10"/>
  <c r="N85" i="10" s="1"/>
  <c r="L186" i="10"/>
  <c r="N186" i="10" s="1"/>
  <c r="L80" i="10"/>
  <c r="N80" i="10" s="1"/>
  <c r="L224" i="10"/>
  <c r="N224" i="10" s="1"/>
  <c r="L123" i="10"/>
  <c r="N123" i="10" s="1"/>
  <c r="N1235" i="10"/>
  <c r="L127" i="10"/>
  <c r="N556" i="10"/>
  <c r="L70" i="10"/>
  <c r="N70" i="10" s="1"/>
  <c r="L135" i="10"/>
  <c r="N135" i="10" s="1"/>
  <c r="L235" i="10"/>
  <c r="L93" i="10"/>
  <c r="N93" i="10" s="1"/>
  <c r="L117" i="10"/>
  <c r="N117" i="10" s="1"/>
  <c r="L128" i="10"/>
  <c r="G38" i="11"/>
  <c r="G118" i="11"/>
  <c r="I118" i="11" s="1"/>
  <c r="K118" i="11" s="1"/>
  <c r="G96" i="11"/>
  <c r="I96" i="11" s="1"/>
  <c r="K96" i="11" s="1"/>
  <c r="G90" i="11"/>
  <c r="I90" i="11" s="1"/>
  <c r="K90" i="11" s="1"/>
  <c r="G126" i="11"/>
  <c r="I126" i="11" s="1"/>
  <c r="K126" i="11" s="1"/>
  <c r="G106" i="11"/>
  <c r="H106" i="11" s="1"/>
  <c r="K106" i="11" s="1"/>
  <c r="G92" i="11"/>
  <c r="I92" i="11" s="1"/>
  <c r="K92" i="11" s="1"/>
  <c r="G98" i="11"/>
  <c r="I98" i="11" s="1"/>
  <c r="K98" i="11" s="1"/>
  <c r="G129" i="11"/>
  <c r="I129" i="11" s="1"/>
  <c r="K129" i="11" s="1"/>
  <c r="N1394" i="10"/>
  <c r="N1375" i="10"/>
  <c r="N1347" i="10"/>
  <c r="N1329" i="10"/>
  <c r="N1304" i="10"/>
  <c r="N1285" i="10"/>
  <c r="N1269" i="10"/>
  <c r="N1228" i="10"/>
  <c r="N1215" i="10"/>
  <c r="N1122" i="10"/>
  <c r="N898" i="10"/>
  <c r="N846" i="10"/>
  <c r="N837" i="10"/>
  <c r="N807" i="10"/>
  <c r="N791" i="10"/>
  <c r="N765" i="10"/>
  <c r="N761" i="10"/>
  <c r="N757" i="10"/>
  <c r="N745" i="10"/>
  <c r="N637" i="10"/>
  <c r="G80" i="11"/>
  <c r="I80" i="11" s="1"/>
  <c r="K80" i="11" s="1"/>
  <c r="G91" i="11"/>
  <c r="I91" i="11" s="1"/>
  <c r="K91" i="11" s="1"/>
  <c r="G97" i="11"/>
  <c r="I97" i="11" s="1"/>
  <c r="K97" i="11" s="1"/>
  <c r="G128" i="11"/>
  <c r="I128" i="11" s="1"/>
  <c r="K128" i="11" s="1"/>
  <c r="L232" i="10"/>
  <c r="N1449" i="10"/>
  <c r="N1419" i="10"/>
  <c r="N1336" i="10"/>
  <c r="N1335" i="10"/>
  <c r="N1327" i="10"/>
  <c r="N1300" i="10"/>
  <c r="N1241" i="10"/>
  <c r="N1227" i="10"/>
  <c r="N1220" i="10"/>
  <c r="N1167" i="10"/>
  <c r="N1088" i="10"/>
  <c r="N1000" i="10"/>
  <c r="N799" i="10"/>
  <c r="N706" i="10"/>
  <c r="G32" i="11"/>
  <c r="I32" i="11" s="1"/>
  <c r="K32" i="11" s="1"/>
  <c r="G116" i="11"/>
  <c r="I116" i="11" s="1"/>
  <c r="K116" i="11" s="1"/>
  <c r="G29" i="11"/>
  <c r="I29" i="11" s="1"/>
  <c r="K29" i="11" s="1"/>
  <c r="G112" i="11"/>
  <c r="I112" i="11" s="1"/>
  <c r="K112" i="11" s="1"/>
  <c r="N1365" i="10"/>
  <c r="N1361" i="10"/>
  <c r="N1313" i="10"/>
  <c r="N1303" i="10"/>
  <c r="N1284" i="10"/>
  <c r="N685" i="10"/>
  <c r="N636" i="10"/>
  <c r="N1374" i="10"/>
  <c r="N907" i="10"/>
  <c r="L7" i="10"/>
  <c r="C310" i="29" s="1"/>
  <c r="D310" i="29" s="1"/>
  <c r="E310" i="29" s="1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182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N1435" i="10"/>
  <c r="C313" i="29"/>
  <c r="D313" i="29" s="1"/>
  <c r="C256" i="29"/>
  <c r="D256" i="29" s="1"/>
  <c r="E256" i="29" s="1"/>
  <c r="C247" i="29"/>
  <c r="D247" i="29" s="1"/>
  <c r="F247" i="29" s="1"/>
  <c r="C271" i="29"/>
  <c r="D271" i="29" s="1"/>
  <c r="E271" i="29" s="1"/>
  <c r="C308" i="29"/>
  <c r="D308" i="29" s="1"/>
  <c r="E308" i="29" s="1"/>
  <c r="C273" i="29"/>
  <c r="D273" i="29" s="1"/>
  <c r="F273" i="29" s="1"/>
  <c r="C245" i="29"/>
  <c r="D245" i="29" s="1"/>
  <c r="F245" i="29" s="1"/>
  <c r="C289" i="29"/>
  <c r="D289" i="29" s="1"/>
  <c r="E289" i="29" s="1"/>
  <c r="C284" i="29"/>
  <c r="D284" i="29" s="1"/>
  <c r="E284" i="29" s="1"/>
  <c r="C266" i="29"/>
  <c r="D266" i="29" s="1"/>
  <c r="E266" i="29" s="1"/>
  <c r="C268" i="29"/>
  <c r="D268" i="29" s="1"/>
  <c r="F268" i="29" s="1"/>
  <c r="C302" i="29"/>
  <c r="D302" i="29" s="1"/>
  <c r="E302" i="29" s="1"/>
  <c r="N9" i="10"/>
  <c r="C299" i="29"/>
  <c r="D299" i="29" s="1"/>
  <c r="C250" i="29"/>
  <c r="D250" i="29" s="1"/>
  <c r="E250" i="29" s="1"/>
  <c r="C264" i="29"/>
  <c r="D264" i="29" s="1"/>
  <c r="F264" i="29" s="1"/>
  <c r="C298" i="29"/>
  <c r="D298" i="29" s="1"/>
  <c r="E298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183" i="11"/>
  <c r="I183" i="11"/>
  <c r="I38" i="11" l="1"/>
  <c r="J38" i="11"/>
  <c r="J182" i="11" s="1"/>
  <c r="K26" i="11"/>
  <c r="C246" i="29"/>
  <c r="D246" i="29" s="1"/>
  <c r="E246" i="29" s="1"/>
  <c r="C317" i="29"/>
  <c r="D317" i="29" s="1"/>
  <c r="E317" i="29" s="1"/>
  <c r="C277" i="29"/>
  <c r="D277" i="29" s="1"/>
  <c r="F277" i="29" s="1"/>
  <c r="C227" i="29"/>
  <c r="D227" i="29" s="1"/>
  <c r="F227" i="29" s="1"/>
  <c r="C244" i="29"/>
  <c r="D244" i="29" s="1"/>
  <c r="E244" i="29" s="1"/>
  <c r="C292" i="29"/>
  <c r="D292" i="29" s="1"/>
  <c r="E292" i="29" s="1"/>
  <c r="C236" i="29"/>
  <c r="D236" i="29" s="1"/>
  <c r="F236" i="29" s="1"/>
  <c r="C296" i="29"/>
  <c r="D296" i="29" s="1"/>
  <c r="E296" i="29" s="1"/>
  <c r="C243" i="29"/>
  <c r="D243" i="29" s="1"/>
  <c r="F243" i="29" s="1"/>
  <c r="C279" i="29"/>
  <c r="D279" i="29" s="1"/>
  <c r="E279" i="29" s="1"/>
  <c r="C280" i="29"/>
  <c r="D280" i="29" s="1"/>
  <c r="F280" i="29" s="1"/>
  <c r="C300" i="29"/>
  <c r="D300" i="29" s="1"/>
  <c r="F300" i="29" s="1"/>
  <c r="C274" i="29"/>
  <c r="D274" i="29" s="1"/>
  <c r="E274" i="29" s="1"/>
  <c r="C324" i="29"/>
  <c r="D324" i="29" s="1"/>
  <c r="C263" i="29"/>
  <c r="D263" i="29" s="1"/>
  <c r="E263" i="29" s="1"/>
  <c r="C287" i="29"/>
  <c r="D287" i="29" s="1"/>
  <c r="E287" i="29" s="1"/>
  <c r="C278" i="29"/>
  <c r="D278" i="29" s="1"/>
  <c r="E278" i="29" s="1"/>
  <c r="C275" i="29"/>
  <c r="D275" i="29" s="1"/>
  <c r="E275" i="29" s="1"/>
  <c r="C252" i="29"/>
  <c r="D252" i="29" s="1"/>
  <c r="F252" i="29" s="1"/>
  <c r="C315" i="29"/>
  <c r="D315" i="29" s="1"/>
  <c r="E315" i="29" s="1"/>
  <c r="C253" i="29"/>
  <c r="D253" i="29" s="1"/>
  <c r="E253" i="29" s="1"/>
  <c r="C290" i="29"/>
  <c r="D290" i="29" s="1"/>
  <c r="E290" i="29" s="1"/>
  <c r="C318" i="29"/>
  <c r="D318" i="29" s="1"/>
  <c r="E318" i="29" s="1"/>
  <c r="C309" i="29"/>
  <c r="D309" i="29" s="1"/>
  <c r="F309" i="29" s="1"/>
  <c r="C283" i="29"/>
  <c r="D283" i="29" s="1"/>
  <c r="E283" i="29" s="1"/>
  <c r="C240" i="29"/>
  <c r="D240" i="29" s="1"/>
  <c r="E240" i="29" s="1"/>
  <c r="C281" i="29"/>
  <c r="D281" i="29" s="1"/>
  <c r="F281" i="29" s="1"/>
  <c r="C249" i="29"/>
  <c r="D249" i="29" s="1"/>
  <c r="E249" i="29" s="1"/>
  <c r="C303" i="29"/>
  <c r="D303" i="29" s="1"/>
  <c r="E303" i="29" s="1"/>
  <c r="C321" i="29"/>
  <c r="D321" i="29" s="1"/>
  <c r="F321" i="29" s="1"/>
  <c r="C229" i="29"/>
  <c r="D229" i="29" s="1"/>
  <c r="E229" i="29" s="1"/>
  <c r="C294" i="29"/>
  <c r="D294" i="29" s="1"/>
  <c r="E294" i="29" s="1"/>
  <c r="C235" i="29"/>
  <c r="D235" i="29" s="1"/>
  <c r="E235" i="29" s="1"/>
  <c r="C314" i="29"/>
  <c r="D314" i="29" s="1"/>
  <c r="E314" i="29" s="1"/>
  <c r="C267" i="29"/>
  <c r="D267" i="29" s="1"/>
  <c r="F267" i="29" s="1"/>
  <c r="C254" i="29"/>
  <c r="D254" i="29" s="1"/>
  <c r="E254" i="29" s="1"/>
  <c r="C285" i="29"/>
  <c r="D285" i="29" s="1"/>
  <c r="F285" i="29" s="1"/>
  <c r="C293" i="29"/>
  <c r="D293" i="29" s="1"/>
  <c r="E293" i="29" s="1"/>
  <c r="C270" i="29"/>
  <c r="D270" i="29" s="1"/>
  <c r="E270" i="29" s="1"/>
  <c r="C261" i="29"/>
  <c r="D261" i="29" s="1"/>
  <c r="F261" i="29" s="1"/>
  <c r="C316" i="29"/>
  <c r="D316" i="29" s="1"/>
  <c r="E316" i="29" s="1"/>
  <c r="C228" i="29"/>
  <c r="D228" i="29" s="1"/>
  <c r="E228" i="29" s="1"/>
  <c r="C286" i="29"/>
  <c r="D286" i="29" s="1"/>
  <c r="E286" i="29" s="1"/>
  <c r="C234" i="29"/>
  <c r="D234" i="29" s="1"/>
  <c r="E234" i="29" s="1"/>
  <c r="C282" i="29"/>
  <c r="D282" i="29" s="1"/>
  <c r="F282" i="29" s="1"/>
  <c r="C265" i="29"/>
  <c r="D265" i="29" s="1"/>
  <c r="F265" i="29" s="1"/>
  <c r="C305" i="29"/>
  <c r="D305" i="29" s="1"/>
  <c r="E305" i="29" s="1"/>
  <c r="C260" i="29"/>
  <c r="D260" i="29" s="1"/>
  <c r="F260" i="29" s="1"/>
  <c r="C304" i="29"/>
  <c r="D304" i="29" s="1"/>
  <c r="E304" i="29" s="1"/>
  <c r="C311" i="29"/>
  <c r="D311" i="29" s="1"/>
  <c r="F311" i="29" s="1"/>
  <c r="C239" i="29"/>
  <c r="D239" i="29" s="1"/>
  <c r="E239" i="29" s="1"/>
  <c r="C233" i="29"/>
  <c r="D233" i="29" s="1"/>
  <c r="E233" i="29" s="1"/>
  <c r="C288" i="29"/>
  <c r="D288" i="29" s="1"/>
  <c r="F288" i="29" s="1"/>
  <c r="C232" i="29"/>
  <c r="D232" i="29" s="1"/>
  <c r="E232" i="29" s="1"/>
  <c r="C306" i="29"/>
  <c r="D306" i="29" s="1"/>
  <c r="F306" i="29" s="1"/>
  <c r="H182" i="11"/>
  <c r="I182" i="1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714" i="41" s="1"/>
  <c r="D714" i="41" s="1"/>
  <c r="E714" i="41" s="1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E313" i="29"/>
  <c r="E280" i="29"/>
  <c r="E247" i="29"/>
  <c r="F302" i="29"/>
  <c r="F284" i="29"/>
  <c r="F310" i="29"/>
  <c r="F266" i="29"/>
  <c r="E245" i="29"/>
  <c r="E324" i="29"/>
  <c r="E299" i="29"/>
  <c r="E268" i="29"/>
  <c r="E273" i="29"/>
  <c r="F308" i="29"/>
  <c r="F279" i="29"/>
  <c r="E264" i="29"/>
  <c r="E276" i="29"/>
  <c r="F256" i="29"/>
  <c r="E251" i="29"/>
  <c r="F250" i="29"/>
  <c r="F298" i="29"/>
  <c r="F271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E8" i="54"/>
  <c r="L8" i="54" s="1"/>
  <c r="M8" i="54" s="1"/>
  <c r="I9" i="54"/>
  <c r="H9" i="54"/>
  <c r="C10" i="54"/>
  <c r="D9" i="54"/>
  <c r="K36" i="39"/>
  <c r="K183" i="11"/>
  <c r="E277" i="29" l="1"/>
  <c r="F235" i="29"/>
  <c r="F253" i="29"/>
  <c r="E288" i="29"/>
  <c r="F283" i="29"/>
  <c r="F246" i="29"/>
  <c r="F274" i="29"/>
  <c r="F304" i="29"/>
  <c r="K38" i="11"/>
  <c r="F270" i="29"/>
  <c r="F286" i="29"/>
  <c r="F263" i="29"/>
  <c r="E267" i="29"/>
  <c r="F278" i="29"/>
  <c r="E285" i="29"/>
  <c r="E282" i="29"/>
  <c r="F303" i="29"/>
  <c r="F244" i="29"/>
  <c r="E243" i="29"/>
  <c r="E281" i="29"/>
  <c r="F305" i="29"/>
  <c r="E306" i="29"/>
  <c r="F229" i="29"/>
  <c r="E252" i="29"/>
  <c r="E236" i="29"/>
  <c r="F293" i="29"/>
  <c r="E311" i="29"/>
  <c r="E321" i="29"/>
  <c r="F240" i="29"/>
  <c r="F232" i="29"/>
  <c r="F275" i="29"/>
  <c r="E265" i="29"/>
  <c r="E309" i="29"/>
  <c r="F234" i="29"/>
  <c r="E260" i="29"/>
  <c r="F254" i="29"/>
  <c r="E261" i="29"/>
  <c r="E227" i="29"/>
  <c r="F294" i="29"/>
  <c r="E300" i="29"/>
  <c r="F249" i="29"/>
  <c r="K182" i="11"/>
  <c r="F224" i="29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185" i="11"/>
  <c r="H186" i="11" s="1"/>
  <c r="I185" i="11"/>
  <c r="I186" i="11" s="1"/>
  <c r="F330" i="29"/>
  <c r="F325" i="29"/>
  <c r="F714" i="41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E352" i="29"/>
  <c r="E9" i="54"/>
  <c r="L9" i="54" s="1"/>
  <c r="M9" i="54" s="1"/>
  <c r="I10" i="54"/>
  <c r="H10" i="54"/>
  <c r="C11" i="54"/>
  <c r="D10" i="54"/>
  <c r="F289" i="29" l="1"/>
  <c r="F337" i="29"/>
  <c r="F287" i="29"/>
  <c r="F345" i="29"/>
  <c r="F316" i="29"/>
  <c r="F292" i="29"/>
  <c r="F352" i="29"/>
  <c r="F299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187" i="11"/>
  <c r="I187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K185" i="11" l="1"/>
  <c r="K186" i="11" s="1"/>
  <c r="K187" i="11" s="1"/>
  <c r="B188" i="11" s="1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C17" i="29"/>
  <c r="F18" i="29"/>
  <c r="F17" i="29"/>
  <c r="C18" i="29"/>
  <c r="J185" i="11"/>
  <c r="J186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B16" i="29" l="1"/>
  <c r="E16" i="29" s="1"/>
  <c r="J16" i="29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187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07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779" i="41" l="1"/>
  <c r="F827" i="41"/>
  <c r="K35" i="39"/>
  <c r="F777" i="41"/>
  <c r="F835" i="41"/>
  <c r="F782" i="41"/>
  <c r="F842" i="41"/>
  <c r="F789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J14" i="54" s="1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C16" i="54"/>
  <c r="D15" i="54"/>
  <c r="E14" i="54"/>
  <c r="G13" i="41" l="1"/>
  <c r="N13" i="54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E17" i="41" l="1"/>
  <c r="I13" i="4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<sst xmlns="http://schemas.openxmlformats.org/spreadsheetml/2006/main" count="4873" uniqueCount="1648">
  <si>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</si>
  <si>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</si>
  <si>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</si>
  <si>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</si>
  <si>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</si>
  <si>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</si>
  <si>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</si>
  <si>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</si>
  <si>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</si>
  <si>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</si>
  <si>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</si>
  <si>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</si>
  <si>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</si>
  <si>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</si>
  <si>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</si>
  <si>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</si>
  <si>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</si>
  <si>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</si>
  <si>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</si>
  <si>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</si>
  <si>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</si>
  <si>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</si>
  <si>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</si>
  <si>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</si>
  <si>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</si>
  <si>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</si>
  <si>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</si>
  <si>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</si>
  <si>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</si>
  <si>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</si>
  <si>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</si>
  <si>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</si>
  <si>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</si>
  <si>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</si>
  <si>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</si>
  <si>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</si>
  <si>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</si>
  <si>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</si>
  <si>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</si>
  <si>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</si>
  <si>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</si>
  <si>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</si>
  <si>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</si>
  <si>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</si>
  <si>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</si>
  <si>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</si>
  <si>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</si>
  <si>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</si>
  <si>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</si>
  <si>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</si>
  <si>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</si>
  <si>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</si>
  <si>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</si>
  <si>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</si>
  <si>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</si>
  <si>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</si>
  <si>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</si>
  <si>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</si>
  <si>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</si>
  <si>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</si>
  <si>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</si>
  <si>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</si>
  <si>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</si>
  <si>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</si>
  <si>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</si>
  <si>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</si>
  <si>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</si>
  <si>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</si>
  <si>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</si>
  <si>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</si>
  <si>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</si>
  <si>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</si>
  <si>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</si>
  <si>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</si>
  <si>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</si>
  <si>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</si>
  <si>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</si>
  <si>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</si>
  <si>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</si>
  <si>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</si>
  <si>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</si>
  <si>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</si>
  <si>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</si>
  <si>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</si>
  <si>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</si>
  <si>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</si>
  <si>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</si>
  <si>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</si>
  <si>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</si>
  <si>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</si>
  <si>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</si>
  <si>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</si>
  <si>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</si>
  <si>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</si>
  <si>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</si>
  <si>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</si>
  <si>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</si>
  <si>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</si>
  <si>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</si>
  <si>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</si>
  <si>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</si>
  <si>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</si>
  <si>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</si>
  <si>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</si>
  <si>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</si>
  <si>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</si>
  <si>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</si>
  <si>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</si>
  <si>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</si>
  <si>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</si>
  <si>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</si>
  <si>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</si>
  <si>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</si>
  <si>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</si>
  <si>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</si>
  <si>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</si>
  <si>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</si>
  <si>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</si>
  <si>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</si>
  <si>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</si>
  <si>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</si>
  <si>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</si>
  <si>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</si>
  <si>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</si>
  <si>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</si>
  <si>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</si>
  <si>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</si>
  <si>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</si>
  <si>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</si>
  <si>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</si>
  <si>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</si>
  <si>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</si>
  <si>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</si>
  <si>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</si>
  <si>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</si>
  <si>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</si>
  <si>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</si>
  <si>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</si>
  <si>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</si>
  <si>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</si>
  <si>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</si>
  <si>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</si>
  <si>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</si>
  <si>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</si>
  <si>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</si>
  <si>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</si>
  <si>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</si>
  <si>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</si>
  <si>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</si>
  <si>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</si>
  <si>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</si>
  <si>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</si>
  <si>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</si>
  <si>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</si>
  <si>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</si>
  <si>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</si>
  <si>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</si>
  <si>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</si>
  <si>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</si>
  <si>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</si>
  <si>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</si>
  <si>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</si>
  <si>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</si>
  <si>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</si>
  <si>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</si>
  <si>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</si>
  <si>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</si>
  <si>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</si>
  <si>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</si>
  <si>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</si>
  <si>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</si>
  <si>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</si>
  <si>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</si>
  <si>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</si>
  <si>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</si>
  <si>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</si>
  <si>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</si>
  <si>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</si>
  <si>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</si>
  <si>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</si>
  <si>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</si>
  <si>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</si>
  <si>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</si>
  <si>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</si>
  <si>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</si>
  <si>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</si>
  <si>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</si>
  <si>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</si>
  <si>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</si>
  <si>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</si>
  <si>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</si>
  <si>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</si>
  <si>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</si>
  <si>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</si>
  <si>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</si>
  <si>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</si>
  <si>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</si>
  <si>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</si>
  <si>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</si>
  <si>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</si>
  <si>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</si>
  <si>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</si>
  <si>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</si>
  <si>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</si>
  <si>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</si>
  <si>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</si>
  <si>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</si>
  <si>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</si>
  <si>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</si>
  <si>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</si>
  <si>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</si>
  <si>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</si>
  <si>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</si>
  <si>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</si>
  <si>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</si>
  <si>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</si>
  <si>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</si>
  <si>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</si>
  <si>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</si>
  <si>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</si>
  <si>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</si>
  <si>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</si>
  <si>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</si>
  <si>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</si>
  <si>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</si>
  <si>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</si>
  <si>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</si>
  <si>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</si>
  <si>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</si>
  <si>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</si>
  <si>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</si>
  <si>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</si>
  <si>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</si>
  <si>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</si>
  <si>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</si>
  <si>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</si>
  <si>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</si>
  <si>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</si>
  <si>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</si>
  <si>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</si>
  <si>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</si>
  <si>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</si>
  <si>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</si>
  <si>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</si>
  <si>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</si>
  <si>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</si>
  <si>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</si>
  <si>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</si>
  <si>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</si>
  <si>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</si>
  <si>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</si>
  <si>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</si>
  <si>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</si>
  <si>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</si>
  <si>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</si>
  <si>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</si>
  <si>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</si>
  <si>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</si>
  <si>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</si>
  <si>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</si>
  <si>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</si>
  <si>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</si>
  <si>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</si>
  <si>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</si>
  <si>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</si>
  <si>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</si>
  <si>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</si>
  <si>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</si>
  <si>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</si>
  <si>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</si>
  <si>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</si>
  <si>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</si>
  <si>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</si>
  <si>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</si>
  <si>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</si>
  <si>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</si>
  <si>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</si>
  <si>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</si>
  <si>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</si>
  <si>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</si>
  <si>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</si>
  <si>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</si>
  <si>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</si>
  <si>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</si>
  <si>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</si>
  <si>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</si>
  <si>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</si>
  <si>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</si>
  <si>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</si>
  <si>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</si>
  <si>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</si>
  <si>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</si>
  <si>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</si>
  <si>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</si>
  <si>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</si>
  <si>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</si>
  <si>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</si>
  <si>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</si>
  <si>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</si>
  <si>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</si>
  <si>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</si>
  <si>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</si>
  <si>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</si>
  <si>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</si>
  <si>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</si>
  <si>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</si>
  <si>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</si>
  <si>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</si>
  <si>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</si>
  <si>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</si>
  <si>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</si>
  <si>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</si>
  <si>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</si>
  <si>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</si>
  <si>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</si>
  <si>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</si>
  <si>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</si>
  <si>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</si>
  <si>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</si>
  <si>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</si>
  <si>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</si>
  <si>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</si>
  <si>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</si>
  <si>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</si>
  <si>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</si>
  <si>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</si>
  <si>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</si>
  <si>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</si>
  <si>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</si>
  <si>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</si>
  <si>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</si>
  <si>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</si>
  <si>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</si>
  <si>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</si>
  <si>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</si>
  <si>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</si>
  <si>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</si>
  <si>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</si>
  <si>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</si>
  <si>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</si>
  <si>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</si>
  <si>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</si>
  <si>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</si>
  <si>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</si>
  <si>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</si>
  <si>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</si>
  <si>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</si>
  <si>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</si>
  <si>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</si>
  <si>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</si>
  <si>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</si>
  <si>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</si>
  <si>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</si>
  <si>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</si>
  <si>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</si>
  <si>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</si>
  <si>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</si>
  <si>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</si>
  <si>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</si>
  <si>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</si>
  <si>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</si>
  <si>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</si>
  <si>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</si>
  <si>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</si>
  <si>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</si>
  <si>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</si>
  <si>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</si>
  <si>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</si>
  <si>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</si>
  <si>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</si>
  <si>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</si>
  <si>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</si>
  <si>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</si>
  <si>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</si>
  <si>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</si>
  <si>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</si>
  <si>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</si>
  <si>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</si>
  <si>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</si>
  <si>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</si>
  <si>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</si>
  <si>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</si>
  <si>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</si>
  <si>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</si>
  <si>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</si>
  <si>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</si>
  <si>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</si>
  <si>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</si>
  <si>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</si>
  <si>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</si>
  <si>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</si>
  <si>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</si>
  <si>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</si>
  <si>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</si>
  <si>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</si>
  <si>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</si>
  <si>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</si>
  <si>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</si>
  <si>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</si>
  <si>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</si>
  <si>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</si>
  <si>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</si>
  <si>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</si>
  <si>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</si>
  <si>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</si>
  <si>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</si>
  <si>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</si>
  <si>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</si>
  <si>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</si>
  <si>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</si>
  <si>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</si>
  <si>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</si>
  <si>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</si>
  <si>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</si>
  <si>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</si>
  <si>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</si>
  <si>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</si>
  <si>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</si>
  <si>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</si>
  <si>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</si>
  <si>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</si>
  <si>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</si>
  <si>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</si>
  <si>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</si>
  <si>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</si>
  <si>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</si>
  <si>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</si>
  <si>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</si>
  <si>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</si>
  <si>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</si>
  <si>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</si>
  <si>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</si>
  <si>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</si>
  <si>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</si>
  <si>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</si>
  <si>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</si>
  <si>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</si>
  <si>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</si>
  <si>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</si>
  <si>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</si>
  <si>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</si>
  <si>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</si>
  <si>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</si>
  <si>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</si>
  <si>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</si>
  <si>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</si>
  <si>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</si>
  <si>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</si>
  <si>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</si>
  <si>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</si>
  <si>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</si>
  <si>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</si>
  <si>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</si>
  <si>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</si>
  <si>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</si>
  <si>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</si>
  <si>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</si>
  <si>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</si>
  <si>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</si>
  <si>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</si>
  <si>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</si>
  <si>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</si>
  <si>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</si>
  <si>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</si>
  <si>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</si>
  <si>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</si>
  <si>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</si>
  <si>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</si>
  <si>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</si>
  <si>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</si>
  <si>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</si>
  <si>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</si>
  <si>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</si>
  <si>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</si>
  <si>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</si>
  <si>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</si>
  <si>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</si>
  <si>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</si>
  <si>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</si>
  <si>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</si>
  <si>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</si>
  <si>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</si>
  <si>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</si>
  <si>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</si>
  <si>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</si>
  <si>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</si>
  <si>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</si>
  <si>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</si>
  <si>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</si>
  <si>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</si>
  <si>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</si>
  <si>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</si>
  <si>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</si>
  <si>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</si>
  <si>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</si>
  <si>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</si>
  <si>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</si>
  <si>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</si>
  <si>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</si>
  <si>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</si>
  <si>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</si>
  <si>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</si>
  <si>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</si>
  <si>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</si>
  <si>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</si>
  <si>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</si>
  <si>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</si>
  <si>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</si>
  <si>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</si>
  <si>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</si>
  <si>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</si>
  <si>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</si>
  <si>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</si>
  <si>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</si>
  <si>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</si>
  <si>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</si>
  <si>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</si>
  <si>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</si>
  <si>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</si>
  <si>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</si>
  <si>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</si>
  <si>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</si>
  <si>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</si>
  <si>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</si>
  <si>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</si>
  <si>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</si>
  <si>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</si>
  <si>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</si>
  <si>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</si>
  <si>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</si>
  <si>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</si>
  <si>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</si>
  <si>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</si>
  <si>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</si>
  <si>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</si>
  <si>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</si>
  <si>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</si>
  <si>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</si>
  <si>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</si>
  <si>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</si>
  <si>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</si>
  <si>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</si>
  <si>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</si>
  <si>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</si>
  <si>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</si>
  <si>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</si>
  <si>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</si>
  <si>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</si>
  <si>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</si>
  <si>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</si>
  <si>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</si>
  <si>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</si>
  <si>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</si>
  <si>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</si>
  <si>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</si>
  <si>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</si>
  <si>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</si>
  <si>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</si>
  <si>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</si>
  <si>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</si>
  <si>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</si>
  <si>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</si>
  <si>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</si>
  <si>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</si>
  <si>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</si>
  <si>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</si>
  <si>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</si>
  <si>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</si>
  <si>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</si>
  <si>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</si>
  <si>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</si>
  <si>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</si>
  <si>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</si>
  <si>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</si>
  <si>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</si>
  <si>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</si>
  <si>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</si>
  <si>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</si>
  <si>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</si>
  <si>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</si>
  <si>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</si>
  <si>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</si>
  <si>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</si>
  <si>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</si>
  <si>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</si>
  <si>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</si>
  <si>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</si>
  <si>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</si>
  <si>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</si>
  <si>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</si>
  <si>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</si>
  <si>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</si>
  <si>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</si>
  <si>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</si>
  <si>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</si>
  <si>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</si>
  <si>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</si>
  <si>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</si>
  <si>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</si>
  <si>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</si>
  <si>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</si>
  <si>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</si>
  <si>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</si>
  <si>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</si>
  <si>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</si>
  <si>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</si>
  <si>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</si>
  <si>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</si>
  <si>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</si>
  <si>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</si>
  <si>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</si>
  <si>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</si>
  <si>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</si>
  <si>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</si>
  <si>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</si>
  <si>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</si>
  <si>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</si>
  <si>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</si>
  <si>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</si>
  <si>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</si>
  <si>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</si>
  <si>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</si>
  <si>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</si>
  <si>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</si>
  <si>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</si>
  <si>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</si>
  <si>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</si>
  <si>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</si>
  <si>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</si>
  <si>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</si>
  <si>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</si>
  <si>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</si>
  <si>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</si>
  <si>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</si>
  <si>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</si>
  <si>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</si>
  <si>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</si>
  <si>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</si>
  <si>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</si>
  <si>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</si>
  <si>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</si>
  <si>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</si>
  <si>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</si>
  <si>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</si>
  <si>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</si>
  <si>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</si>
  <si>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</si>
  <si>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</si>
  <si>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</si>
  <si>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</si>
  <si>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</si>
  <si>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</si>
  <si>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</si>
  <si>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</si>
  <si>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</si>
  <si>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</si>
  <si>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</si>
  <si>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</si>
  <si>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</si>
  <si>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</si>
  <si>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</si>
  <si>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</si>
  <si>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</si>
  <si>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</si>
  <si>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</si>
  <si>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</si>
  <si>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</si>
  <si>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</si>
  <si>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</si>
  <si>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</si>
  <si>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</si>
  <si>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</si>
  <si>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</si>
  <si>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</si>
  <si>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</si>
  <si>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</si>
  <si>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</si>
  <si>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</si>
  <si>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</si>
  <si>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</si>
  <si>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</si>
  <si>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</si>
  <si>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</si>
  <si>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</si>
  <si>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</si>
  <si>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</si>
  <si>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</si>
  <si>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</si>
  <si>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</si>
  <si>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</si>
  <si>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</si>
  <si>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</si>
  <si>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</si>
  <si>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</si>
  <si>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</si>
  <si>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</si>
  <si>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</si>
  <si>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</si>
  <si>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</si>
  <si>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</si>
  <si>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</si>
  <si>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</si>
  <si>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</si>
  <si>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</si>
  <si>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</si>
  <si>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</si>
  <si>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</si>
  <si>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</si>
  <si>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</si>
  <si>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</si>
  <si>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</si>
  <si>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</si>
  <si>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</si>
  <si>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</si>
  <si>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</si>
  <si>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</si>
  <si>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</si>
  <si>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</si>
  <si>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</si>
  <si>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</si>
  <si>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</si>
  <si>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</si>
  <si>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</si>
  <si>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</si>
  <si>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</si>
  <si>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</si>
  <si>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</si>
  <si>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</si>
  <si>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</si>
  <si>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</si>
  <si>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</si>
  <si>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</si>
  <si>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</si>
  <si>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</si>
  <si>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</si>
  <si>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</si>
  <si>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</si>
  <si>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</si>
  <si>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</si>
  <si>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</si>
  <si>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</si>
  <si>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</si>
  <si>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</si>
  <si>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</si>
  <si>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</si>
  <si>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</si>
  <si>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</si>
  <si>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</si>
  <si>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</si>
  <si>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</si>
  <si>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</si>
  <si>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</si>
  <si>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</si>
  <si>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</si>
  <si>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</si>
  <si>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</si>
  <si>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</si>
  <si>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</si>
  <si>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</si>
  <si>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</si>
  <si>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</si>
  <si>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</si>
  <si>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</si>
  <si>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</si>
  <si>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</si>
  <si>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</si>
  <si>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</si>
  <si>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</si>
  <si>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</si>
  <si>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</si>
  <si>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</si>
  <si>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</si>
  <si>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</si>
  <si>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</si>
  <si>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</si>
  <si>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</si>
  <si>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</si>
  <si>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</si>
  <si>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</si>
  <si>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</si>
  <si>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</si>
  <si>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</si>
  <si>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</si>
  <si>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</si>
  <si>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</si>
  <si>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</si>
  <si>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</si>
  <si>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</si>
  <si>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</si>
  <si>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</si>
  <si>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</si>
  <si>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</si>
  <si>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</si>
  <si>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</si>
  <si>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</si>
  <si>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</si>
  <si>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</si>
  <si>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</si>
  <si>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</si>
  <si>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</si>
  <si>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</si>
  <si>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</si>
  <si>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</si>
  <si>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</si>
  <si>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</si>
  <si>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</si>
  <si>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</si>
  <si>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</si>
  <si>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</si>
  <si>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</si>
  <si>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</si>
  <si>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</si>
  <si>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</si>
  <si>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</si>
  <si>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</si>
  <si>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</si>
  <si>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</si>
  <si>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</si>
  <si>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</si>
  <si>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</si>
  <si>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</si>
  <si>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</si>
  <si>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</si>
  <si>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</si>
  <si>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</si>
  <si>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</si>
  <si>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</si>
  <si>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</si>
  <si>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</si>
  <si>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</si>
  <si>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</si>
  <si>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</si>
  <si>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</si>
  <si>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</si>
  <si>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</si>
  <si>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</si>
  <si>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</si>
  <si>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</si>
  <si>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</si>
  <si>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</si>
  <si>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</si>
  <si>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</si>
  <si>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</si>
  <si>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</si>
  <si>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</si>
  <si>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</si>
  <si>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</si>
  <si>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</si>
  <si>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</si>
  <si>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</si>
  <si>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</si>
  <si>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</si>
  <si>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</si>
  <si>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</si>
  <si>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</si>
  <si>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</si>
  <si>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</si>
  <si>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</si>
  <si>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</si>
  <si>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</si>
  <si>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</si>
  <si>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</si>
  <si>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</si>
  <si>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</si>
  <si>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</si>
  <si>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</si>
  <si>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</si>
  <si>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</si>
  <si>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</si>
  <si>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</si>
  <si>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</si>
  <si>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</si>
  <si>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</si>
  <si>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</si>
  <si>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</si>
  <si>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</si>
  <si>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</si>
  <si>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</si>
  <si>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</si>
  <si>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</si>
  <si>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</si>
  <si>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</si>
  <si>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</si>
  <si>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</si>
  <si>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</si>
  <si>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</si>
  <si>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</si>
  <si>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</si>
  <si>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</si>
  <si>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</si>
  <si>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</si>
  <si>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</si>
  <si>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</si>
  <si>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</si>
  <si>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</si>
  <si>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</si>
  <si>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</si>
  <si>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</si>
  <si>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</si>
  <si>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</si>
  <si>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</si>
  <si>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</si>
  <si>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</si>
  <si>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</si>
  <si>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</si>
  <si>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</si>
  <si>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</si>
  <si>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</si>
  <si>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</si>
  <si>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</si>
  <si>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</si>
  <si>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</si>
  <si>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</si>
  <si>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</si>
  <si>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</si>
  <si>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</si>
  <si>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</si>
  <si>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</si>
  <si>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</si>
  <si>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</si>
  <si>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</si>
  <si>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</si>
  <si>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</si>
  <si>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</si>
  <si>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</si>
  <si>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</si>
  <si>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</si>
  <si>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</si>
  <si>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</si>
  <si>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</si>
  <si>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</si>
  <si>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</si>
  <si>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</si>
  <si>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</si>
  <si>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</si>
  <si>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</si>
  <si>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</si>
  <si>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</si>
  <si>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</si>
  <si>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</si>
  <si>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</si>
  <si>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</si>
  <si>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</si>
  <si>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</si>
  <si>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</si>
  <si>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</si>
  <si>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</si>
  <si>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</si>
  <si>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</si>
  <si>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</si>
  <si>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</si>
  <si>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</si>
  <si>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</si>
  <si>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</si>
  <si>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</si>
  <si>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</si>
  <si>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</si>
  <si>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</si>
  <si>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</si>
  <si>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</si>
  <si>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</si>
  <si>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</si>
  <si>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</si>
  <si>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</si>
  <si>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</si>
  <si>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</si>
  <si>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</si>
  <si>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</si>
  <si>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</si>
  <si>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</si>
  <si>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</si>
  <si>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</si>
  <si>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</si>
  <si>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</si>
  <si>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</si>
  <si>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</si>
  <si>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</si>
  <si>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</si>
  <si>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</si>
  <si>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</si>
  <si>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</si>
  <si>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</si>
  <si>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</si>
  <si>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</si>
  <si>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</si>
  <si>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</si>
  <si>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</si>
  <si>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</si>
  <si>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</si>
  <si>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</si>
  <si>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</si>
  <si>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</si>
  <si>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</si>
  <si>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</si>
  <si>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</si>
  <si>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</si>
  <si>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</si>
  <si>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</si>
  <si>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</si>
  <si>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</si>
  <si>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</si>
  <si>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</si>
  <si>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</si>
  <si>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</si>
  <si>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</si>
  <si>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</si>
  <si>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</si>
  <si>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</si>
  <si>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</si>
  <si>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</si>
  <si>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</si>
  <si>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</si>
  <si>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</si>
  <si>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</si>
  <si>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</si>
  <si>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</si>
  <si>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</si>
  <si>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</si>
  <si>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</si>
  <si>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</si>
  <si>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</si>
  <si>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</si>
  <si>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</si>
  <si>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</si>
  <si>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</si>
  <si>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</si>
  <si>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</si>
  <si>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</si>
  <si>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</si>
  <si>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</si>
  <si>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</si>
  <si>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</si>
  <si>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</si>
  <si>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</si>
  <si>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</si>
  <si>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</si>
  <si>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</si>
  <si>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</si>
  <si>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</si>
  <si>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</si>
  <si>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</si>
  <si>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</si>
  <si>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</si>
  <si>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</si>
  <si>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</si>
  <si>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</si>
  <si>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</si>
  <si>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</si>
  <si>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</si>
  <si>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</si>
  <si>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</si>
  <si>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</si>
  <si>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</si>
  <si>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</si>
  <si>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</si>
  <si>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</si>
  <si>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</si>
  <si>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</si>
  <si>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</si>
  <si>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</si>
  <si>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</si>
  <si>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</si>
  <si>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</si>
  <si>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</si>
  <si>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</si>
  <si>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</si>
  <si>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</si>
  <si>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</si>
  <si>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</si>
  <si>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</si>
  <si>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</si>
  <si>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</si>
  <si>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</si>
  <si>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</si>
  <si>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</si>
  <si>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</si>
  <si>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</si>
  <si>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</si>
  <si>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</si>
  <si>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</si>
  <si>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</si>
  <si>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</si>
  <si>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</si>
  <si>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</si>
  <si>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</si>
  <si>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</si>
  <si>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</si>
  <si>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</si>
  <si>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</si>
  <si>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</si>
  <si>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</si>
  <si>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</si>
  <si>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</si>
  <si>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</si>
  <si>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</si>
  <si>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</si>
  <si>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</si>
  <si>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</si>
  <si>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</si>
  <si>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</si>
  <si>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</si>
  <si>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</si>
  <si>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</si>
  <si>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</si>
  <si>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</si>
  <si>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</si>
  <si>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</si>
  <si>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</si>
  <si>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</si>
  <si>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</si>
  <si>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</si>
  <si>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</si>
  <si>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</si>
  <si>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</si>
  <si>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</si>
  <si>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</si>
  <si>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</si>
  <si>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</si>
  <si>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</si>
  <si>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</si>
  <si>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</si>
  <si>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</si>
  <si>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</si>
  <si>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</si>
  <si>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</si>
  <si>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</si>
  <si>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</si>
  <si>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</si>
  <si>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</si>
  <si>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</si>
  <si>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</si>
  <si>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</si>
  <si>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</si>
  <si>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</si>
  <si>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</si>
  <si>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</si>
  <si>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</si>
  <si>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</si>
  <si>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</si>
  <si>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</si>
  <si>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</si>
  <si>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</si>
  <si>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</si>
  <si>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</si>
  <si>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</si>
  <si>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</si>
  <si>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</si>
  <si>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</si>
  <si>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</si>
  <si>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</si>
  <si>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</si>
  <si>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</si>
  <si>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</si>
  <si>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</si>
  <si>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</si>
  <si>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</si>
  <si>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</si>
  <si>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</si>
  <si>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</si>
  <si>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</si>
  <si>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</si>
  <si>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</si>
  <si>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</si>
  <si>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</si>
  <si>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</si>
  <si>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</si>
  <si>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</si>
  <si>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</si>
  <si>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</si>
  <si>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</si>
  <si>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</si>
  <si>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</si>
  <si>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</si>
  <si>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</si>
  <si>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</si>
  <si>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</si>
  <si>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</si>
  <si>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</si>
  <si>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</si>
  <si>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</si>
  <si>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</si>
  <si>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</si>
  <si>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</si>
  <si>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</si>
  <si>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</si>
  <si>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</si>
  <si>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</si>
  <si>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</si>
  <si>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</si>
  <si>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</si>
  <si>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</si>
  <si>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</si>
  <si>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</si>
  <si>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</si>
  <si>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</si>
  <si>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</si>
  <si>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</si>
  <si>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</si>
  <si>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</si>
  <si>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</si>
  <si>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</si>
  <si>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</si>
  <si>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</si>
  <si>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</si>
  <si>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</si>
  <si>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</si>
  <si>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</si>
  <si>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</si>
  <si>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</si>
  <si>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</si>
  <si>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</si>
  <si>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</si>
  <si>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</si>
  <si>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</si>
  <si>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</si>
  <si>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</si>
  <si>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</si>
  <si>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</si>
  <si>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</si>
  <si>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</si>
  <si>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</si>
  <si>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</si>
  <si>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</si>
  <si>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</si>
  <si>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</si>
  <si>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</si>
  <si>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</si>
  <si>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</si>
  <si>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</si>
  <si>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</si>
  <si>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</si>
  <si>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</si>
  <si>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</si>
  <si>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</si>
  <si>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</si>
  <si>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</si>
  <si>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</si>
  <si>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</si>
  <si>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</si>
  <si>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</si>
  <si>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</si>
  <si>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</si>
  <si>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</si>
  <si>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</si>
  <si>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</si>
  <si>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</si>
  <si>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</si>
  <si>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</si>
  <si>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</si>
  <si>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</si>
  <si>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</si>
  <si>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</si>
  <si>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</si>
  <si>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</si>
  <si>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</si>
  <si>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</si>
  <si>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</si>
  <si>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</si>
  <si>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</si>
  <si>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</si>
  <si>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</si>
  <si>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</si>
  <si>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</si>
  <si>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</si>
  <si>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</si>
  <si>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</si>
  <si>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</si>
  <si>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</si>
  <si>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</si>
  <si>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</si>
  <si>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</si>
  <si>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</si>
  <si>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</si>
  <si>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</si>
  <si>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</si>
  <si>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</si>
  <si>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</si>
  <si>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</si>
  <si>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</si>
  <si>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</si>
  <si>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</si>
  <si>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</si>
  <si>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</si>
  <si>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</si>
  <si>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</si>
  <si>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</si>
  <si>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</si>
  <si>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</si>
  <si>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</si>
  <si>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</si>
  <si>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</si>
  <si>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</si>
  <si>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</si>
  <si>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</si>
  <si>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</si>
  <si>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</si>
  <si>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</si>
  <si>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</si>
  <si>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</si>
  <si>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</si>
  <si>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</si>
  <si>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</si>
  <si>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</si>
  <si>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</si>
  <si>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</si>
  <si>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</si>
  <si>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</si>
  <si>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</si>
  <si>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</si>
  <si>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</si>
  <si>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</si>
  <si>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</si>
  <si>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</si>
  <si>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</si>
  <si>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</si>
  <si>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</si>
  <si>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</si>
  <si>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</si>
  <si>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</si>
  <si>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</si>
  <si>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</si>
  <si>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</si>
  <si>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</si>
  <si>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</si>
  <si>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</si>
  <si>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</si>
  <si>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</si>
  <si>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</si>
  <si>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</si>
  <si>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</si>
  <si>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</si>
  <si>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</si>
  <si>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</si>
  <si>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</si>
  <si>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</si>
  <si>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</si>
  <si>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</si>
  <si>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</si>
  <si>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</si>
  <si>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</si>
  <si>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</si>
  <si>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</si>
  <si>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</si>
  <si>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</si>
  <si>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</si>
  <si>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</si>
  <si>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</si>
  <si>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</si>
  <si>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</si>
  <si>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</si>
  <si>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</si>
  <si>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</si>
  <si>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</si>
  <si>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</si>
  <si>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</si>
  <si>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</si>
  <si>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</si>
  <si>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</si>
  <si>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</si>
  <si>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</si>
  <si>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</si>
  <si>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</si>
  <si>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</si>
  <si>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</si>
  <si>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</si>
  <si>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</si>
  <si>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</si>
  <si>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</si>
  <si>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</si>
  <si>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</si>
  <si>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</si>
  <si>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</si>
  <si>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</si>
  <si>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</si>
  <si>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</si>
  <si>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</si>
  <si>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</si>
  <si>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</si>
  <si>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</si>
  <si>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</si>
  <si>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</si>
  <si>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</si>
  <si>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</si>
  <si>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</si>
  <si>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</si>
  <si>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</si>
  <si>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</si>
  <si>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</si>
  <si>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</si>
  <si>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</si>
  <si>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</si>
  <si>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</si>
  <si>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</si>
  <si>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</si>
  <si>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</si>
  <si>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</si>
  <si>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</si>
  <si>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</si>
  <si>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</si>
  <si>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</si>
  <si>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</si>
  <si>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</si>
  <si>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</si>
  <si>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</si>
  <si>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</si>
  <si>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</si>
  <si>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</si>
  <si>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</si>
  <si>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</si>
  <si>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</si>
  <si>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</si>
  <si>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</si>
  <si>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</si>
  <si>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</si>
  <si>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</si>
  <si>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</si>
  <si>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</si>
  <si>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</si>
  <si>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</si>
  <si>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</si>
  <si>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</si>
  <si>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</si>
  <si>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</si>
  <si>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</si>
  <si>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</si>
  <si>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</si>
  <si>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</si>
  <si>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</si>
  <si>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</si>
  <si>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</si>
  <si>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</si>
  <si>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</si>
  <si>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</si>
  <si>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</si>
  <si>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</si>
  <si>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</si>
  <si>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</si>
  <si>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</si>
  <si>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</si>
  <si>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</si>
  <si>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</si>
  <si>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</si>
  <si>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</si>
  <si>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</si>
  <si>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</si>
  <si>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</si>
  <si>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</si>
  <si>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</si>
  <si>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</si>
  <si>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</si>
  <si>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</si>
  <si>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</si>
  <si>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</si>
  <si>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</si>
  <si>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</si>
  <si>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</si>
  <si>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</si>
  <si>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</si>
  <si>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</si>
  <si>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</si>
  <si>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</si>
  <si>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</si>
  <si>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</si>
  <si>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</si>
  <si>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</si>
  <si>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</si>
  <si>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</si>
  <si>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</si>
  <si>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</si>
  <si>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</si>
  <si>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</si>
  <si>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</si>
  <si>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</si>
  <si>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</si>
  <si>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</si>
  <si>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</si>
  <si>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</si>
  <si>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</si>
  <si>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</si>
  <si>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</si>
  <si>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</si>
  <si>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</si>
  <si>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</si>
  <si>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</si>
  <si>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</si>
  <si>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</si>
  <si>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</si>
  <si>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</si>
  <si>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</si>
  <si>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</si>
  <si>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</si>
  <si>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</si>
  <si>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</si>
  <si>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</si>
  <si>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</si>
  <si>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</si>
  <si>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</si>
  <si>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</si>
  <si>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</si>
  <si>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</si>
  <si>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</si>
  <si>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</si>
  <si>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</si>
  <si>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</si>
  <si>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</si>
  <si>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</si>
  <si>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</si>
  <si>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</si>
  <si>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</si>
  <si>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</si>
  <si>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</si>
  <si>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</si>
  <si>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</si>
  <si>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</si>
  <si>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</si>
  <si>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</si>
  <si>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</si>
  <si>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</si>
  <si>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</si>
  <si>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</si>
  <si>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</si>
  <si>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</si>
  <si>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</si>
  <si>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</si>
  <si>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</si>
  <si>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</si>
  <si>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</si>
  <si>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</si>
  <si>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</si>
  <si>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</si>
  <si>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</si>
  <si>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</si>
  <si>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</si>
  <si>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</si>
  <si>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</si>
  <si>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</si>
  <si>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</si>
  <si>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</si>
  <si>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</si>
  <si>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</si>
  <si>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</si>
  <si>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</si>
  <si>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</si>
  <si>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</si>
  <si>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</si>
  <si>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</si>
  <si>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ASMAN PERENCANAAN</t>
  </si>
  <si>
    <t>VALENTHINA EKA SABTI WONOHUSODO</t>
  </si>
  <si>
    <t>SAR 2023</t>
  </si>
  <si>
    <t>TL. Ren Sis</t>
  </si>
  <si>
    <t>Asman Perencanaan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</si>
  <si>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</si>
  <si>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</si>
  <si>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</si>
  <si>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</si>
  <si>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</si>
  <si>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</si>
  <si>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</si>
  <si>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</si>
  <si>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</si>
  <si>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</si>
  <si>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</si>
  <si>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</si>
  <si>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</si>
  <si>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</si>
  <si>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</si>
  <si>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</si>
  <si>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</si>
  <si>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</si>
  <si>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</si>
  <si>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</si>
  <si>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</si>
  <si>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</si>
  <si>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</si>
  <si>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</si>
  <si>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</si>
  <si>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</si>
  <si>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</si>
  <si>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</si>
  <si>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</si>
  <si>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</si>
  <si>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</si>
  <si>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</si>
  <si>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</si>
  <si>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</si>
  <si>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</si>
  <si>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</si>
  <si>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</si>
  <si>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</si>
  <si>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</si>
  <si>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</si>
  <si>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</si>
  <si>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</si>
  <si>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</si>
  <si>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</si>
  <si>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</si>
  <si>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</si>
  <si>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</si>
  <si>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</si>
  <si>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</si>
  <si>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</si>
  <si>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</si>
  <si>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</si>
  <si>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</si>
  <si>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</si>
  <si>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</si>
  <si>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</si>
  <si>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</si>
  <si>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</si>
  <si>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</si>
  <si>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Demak, …...........</t>
  </si>
  <si>
    <t>Marginal COST maret 2022</t>
  </si>
  <si>
    <t>PENANAMAN TIANG BETON</t>
  </si>
  <si>
    <t>II</t>
  </si>
  <si>
    <t>III</t>
  </si>
  <si>
    <t>IV</t>
  </si>
  <si>
    <t>PEMASANGAN TRAFO</t>
  </si>
  <si>
    <t>PEKERJAAN LAIN-LAIN</t>
  </si>
  <si>
    <t xml:space="preserve">Jumper Wire : </t>
  </si>
  <si>
    <t>CM2-11M</t>
  </si>
  <si>
    <t>Stainless Steel Strap 20 X 0.7 mm</t>
  </si>
  <si>
    <t xml:space="preserve">Pemasangan APP </t>
  </si>
  <si>
    <t>KONSTRUKSI JARINGAN 3 PHASE</t>
  </si>
  <si>
    <t>KONDUKTOR</t>
  </si>
  <si>
    <t>B2</t>
  </si>
  <si>
    <t>Trafo 3 Fasa 50 KVA 1 Tiang (G312-A)</t>
  </si>
  <si>
    <t>Pemasangan APP 3 Fasa Di Bangunan</t>
  </si>
  <si>
    <t>CE1-3</t>
  </si>
  <si>
    <t>F1-3</t>
  </si>
  <si>
    <t>CM2-12</t>
  </si>
  <si>
    <t>CG312A</t>
  </si>
  <si>
    <t>C12-350</t>
  </si>
  <si>
    <t>CM2-12A</t>
  </si>
  <si>
    <t>UNIT</t>
  </si>
  <si>
    <t>KOORDINAT : -6.833261, 110.596645</t>
  </si>
  <si>
    <t>C12-200</t>
  </si>
  <si>
    <t>LVCB</t>
  </si>
  <si>
    <t>CJ5-T</t>
  </si>
  <si>
    <t>CJ6-T</t>
  </si>
  <si>
    <t>MJ6-T</t>
  </si>
  <si>
    <t>CM2-11</t>
  </si>
  <si>
    <t>CJ7-T</t>
  </si>
  <si>
    <t>CC1-A</t>
  </si>
  <si>
    <t>SCHOOR</t>
  </si>
  <si>
    <t>LVCB 2 Jurusan Untuk 2 Tiang (M8-A2)</t>
  </si>
  <si>
    <t>DS JATIROGO KEC BONANG</t>
  </si>
  <si>
    <t>LULUK NASEKAH</t>
  </si>
  <si>
    <t>Daya 10.600 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</si>
</sst>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9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Rp&quot;#,##0.00;\-&quot;Rp&quot;#,##0.00"/>
    <numFmt numFmtId="165" formatCode="_-* #,##0_-;\-* #,##0_-;_-* &quot;-&quot;_-;_-@_-"/>
    <numFmt numFmtId="166" formatCode="_-* #,##0.00_-;\-* #,##0.00_-;_-* &quot;-&quot;??_-;_-@_-"/>
    <numFmt numFmtId="167" formatCode="&quot;Rp&quot;#,##0.00_);\(&quot;Rp&quot;#,##0.00\)"/>
    <numFmt numFmtId="168" formatCode="_(* #,##0_);_(* \(#,##0\);_(* &quot;-&quot;??_);_(@_)"/>
    <numFmt numFmtId="169" formatCode="_(&quot;Rp&quot;* #,##0_);_(&quot;Rp&quot;* \(#,##0\);_(&quot;Rp&quot;* &quot;-&quot;???_);_(@_)"/>
    <numFmt numFmtId="170" formatCode="_([$Rp-421]* #,##0_);_([$Rp-421]* \(#,##0\);_([$Rp-421]* &quot;-&quot;??_);_(@_)"/>
    <numFmt numFmtId="171" formatCode="General_)"/>
    <numFmt numFmtId="172" formatCode="0.000000%"/>
    <numFmt numFmtId="173" formatCode="_(&quot;$&quot;* #,##0.0_);_(&quot;$&quot;* \(#,##0.0\);_(&quot;$&quot;* &quot;-&quot;?_);_(@_)"/>
    <numFmt numFmtId="174" formatCode="00000"/>
    <numFmt numFmtId="175" formatCode="m/d"/>
    <numFmt numFmtId="176" formatCode="0.0000000000"/>
    <numFmt numFmtId="177" formatCode="d\ayy"/>
    <numFmt numFmtId="178" formatCode="dd/mm/yy;@"/>
    <numFmt numFmtId="179" formatCode="_-* #,##0.000_-;\-* #,##0.000_-;_-* &quot;-&quot;_-;_-@_-"/>
    <numFmt numFmtId="180" formatCode="0.000"/>
    <numFmt numFmtId="181" formatCode="_(* #,##0.000_);_(* \(#,##0.000\);_(* &quot;-&quot;??_);_(@_)"/>
    <numFmt numFmtId="182" formatCode="[$-409]d\-mmm\-yy;@"/>
    <numFmt numFmtId="183" formatCode="0.0"/>
    <numFmt numFmtId="184" formatCode="_(* #,##0.000_);_(* \(#,##0.000\);_(* &quot;-&quot;_);_(@_)"/>
    <numFmt numFmtId="185" formatCode="&quot;IR£&quot;#,##0.00;[Red]\-&quot;IR£&quot;#,##0.00"/>
    <numFmt numFmtId="186" formatCode="&quot;$&quot;#,##0\ ;\(&quot;$&quot;#,##0\)"/>
    <numFmt numFmtId="187" formatCode="m\o\n\th\ \D\,\ \y\y\y\y"/>
    <numFmt numFmtId="188" formatCode="#."/>
    <numFmt numFmtId="189" formatCode="#,#00"/>
    <numFmt numFmtId="190" formatCode="#,"/>
    <numFmt numFmtId="191" formatCode="_-* #,##0\ _€_-;\-* #,##0\ _€_-;_-* &quot;-&quot;\ _€_-;_-@_-"/>
    <numFmt numFmtId="192" formatCode="&quot;Rp.&quot;#,##0.00;&quot;Rp.&quot;\-#,##0.00"/>
    <numFmt numFmtId="193" formatCode="0.00_)"/>
    <numFmt numFmtId="194" formatCode="[$-421]dd\ mmmm\ yyyy;@"/>
    <numFmt numFmtId="195" formatCode="_([$Rp-421]* #,##0.00_);_([$Rp-421]* \(#,##0.00\);_([$Rp-421]* &quot;-&quot;??_);_(@_)"/>
    <numFmt numFmtId="196" formatCode="_-&quot;£&quot;* #,##0_-;\-&quot;£&quot;* #,##0_-;_-&quot;£&quot;* &quot;-&quot;_-;_-@_-"/>
    <numFmt numFmtId="197" formatCode="_(* #,##0.0000_);_(* \(#,##0.0000\);_(* &quot;-&quot;??_);_(@_)"/>
    <numFmt numFmtId="198" formatCode="[$-409]d\-mmm\-yyyy;@"/>
    <numFmt numFmtId="199" formatCode="#,##0&quot;NT$&quot;;[Red]\-#,##0&quot;NT$&quot;"/>
    <numFmt numFmtId="200" formatCode="mm/dd/yy"/>
    <numFmt numFmtId="201" formatCode="dddd"/>
    <numFmt numFmtId="202" formatCode="ddd"/>
    <numFmt numFmtId="203" formatCode="#.##0_);\(#.##\)"/>
    <numFmt numFmtId="204" formatCode="_(* #,##0.0_);_(* \(#,##0.0\);_(* &quot;-&quot;_);_(@_)"/>
    <numFmt numFmtId="205" formatCode="0.E+00"/>
    <numFmt numFmtId="206" formatCode="0.0%"/>
    <numFmt numFmtId="207" formatCode="&quot;$&quot;#,##0.00"/>
    <numFmt numFmtId="208" formatCode="_(* #,##0.0_);_(* \(#,##0.0\);_(* &quot;-&quot;??_);_(@_)"/>
  </numFmts>
  <fonts count="18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color rgb="FF202124"/>
      <name val="Inherit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1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</borders>
  <cellStyleXfs count="3389">
    <xf numFmtId="0" fontId="0" fillId="0" borderId="0"/>
    <xf numFmtId="171" fontId="45" fillId="0" borderId="0">
      <alignment horizontal="centerContinuous"/>
    </xf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67" fillId="0" borderId="0" applyFill="0" applyBorder="0" applyAlignment="0"/>
    <xf numFmtId="172" fontId="39" fillId="0" borderId="0" applyFill="0" applyBorder="0" applyAlignment="0"/>
    <xf numFmtId="172" fontId="25" fillId="0" borderId="0" applyFill="0" applyBorder="0" applyAlignment="0"/>
    <xf numFmtId="173" fontId="39" fillId="0" borderId="0" applyFill="0" applyBorder="0" applyAlignment="0"/>
    <xf numFmtId="173" fontId="25" fillId="0" borderId="0" applyFill="0" applyBorder="0" applyAlignment="0"/>
    <xf numFmtId="174" fontId="39" fillId="0" borderId="0" applyFill="0" applyBorder="0" applyAlignment="0"/>
    <xf numFmtId="174" fontId="25" fillId="0" borderId="0" applyFill="0" applyBorder="0" applyAlignment="0"/>
    <xf numFmtId="175" fontId="39" fillId="0" borderId="0" applyFill="0" applyBorder="0" applyAlignment="0"/>
    <xf numFmtId="175" fontId="25" fillId="0" borderId="0" applyFill="0" applyBorder="0" applyAlignment="0"/>
    <xf numFmtId="176" fontId="39" fillId="0" borderId="0" applyFill="0" applyBorder="0" applyAlignment="0"/>
    <xf numFmtId="176" fontId="25" fillId="0" borderId="0" applyFill="0" applyBorder="0" applyAlignment="0"/>
    <xf numFmtId="177" fontId="39" fillId="0" borderId="0" applyFill="0" applyBorder="0" applyAlignment="0"/>
    <xf numFmtId="177" fontId="25" fillId="0" borderId="0" applyFill="0" applyBorder="0" applyAlignment="0"/>
    <xf numFmtId="172" fontId="39" fillId="0" borderId="0" applyFill="0" applyBorder="0" applyAlignment="0"/>
    <xf numFmtId="172" fontId="25" fillId="0" borderId="0" applyFill="0" applyBorder="0" applyAlignment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43" fontId="108" fillId="0" borderId="0" applyFont="0" applyFill="0" applyBorder="0" applyAlignment="0" applyProtection="0"/>
    <xf numFmtId="0" fontId="68" fillId="0" borderId="0"/>
    <xf numFmtId="0" fontId="68" fillId="0" borderId="0"/>
    <xf numFmtId="0" fontId="68" fillId="0" borderId="0"/>
    <xf numFmtId="43" fontId="39" fillId="0" borderId="0" applyFont="0" applyFill="0" applyBorder="0" applyAlignment="0" applyProtection="0"/>
    <xf numFmtId="41" fontId="3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39" fillId="0" borderId="0" applyFont="0" applyFill="0" applyBorder="0" applyAlignment="0" applyProtection="0"/>
    <xf numFmtId="41" fontId="3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3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39" fillId="0" borderId="0" applyFont="0" applyFill="0" applyBorder="0" applyAlignment="0" applyProtection="0"/>
    <xf numFmtId="41" fontId="25" fillId="0" borderId="0" applyFont="0" applyFill="0" applyBorder="0" applyAlignment="0" applyProtection="0"/>
    <xf numFmtId="178" fontId="39" fillId="0" borderId="0" applyFont="0" applyFill="0" applyBorder="0" applyAlignment="0" applyProtection="0"/>
    <xf numFmtId="178" fontId="25" fillId="0" borderId="0" applyFont="0" applyFill="0" applyBorder="0" applyAlignment="0" applyProtection="0"/>
    <xf numFmtId="178" fontId="39" fillId="0" borderId="0" applyFont="0" applyFill="0" applyBorder="0" applyAlignment="0" applyProtection="0"/>
    <xf numFmtId="41" fontId="39" fillId="0" borderId="0" applyFont="0" applyFill="0" applyBorder="0" applyAlignment="0" applyProtection="0"/>
    <xf numFmtId="41" fontId="25" fillId="0" borderId="0" applyFont="0" applyFill="0" applyBorder="0" applyAlignment="0" applyProtection="0"/>
    <xf numFmtId="178" fontId="25" fillId="0" borderId="0" applyFont="0" applyFill="0" applyBorder="0" applyAlignment="0" applyProtection="0"/>
    <xf numFmtId="41" fontId="26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41" fontId="39" fillId="0" borderId="0" applyFont="0" applyFill="0" applyBorder="0" applyAlignment="0" applyProtection="0"/>
    <xf numFmtId="41" fontId="26" fillId="0" borderId="0" applyFont="0" applyFill="0" applyBorder="0" applyAlignment="0" applyProtection="0"/>
    <xf numFmtId="170" fontId="39" fillId="0" borderId="0" applyFont="0" applyFill="0" applyBorder="0" applyAlignment="0" applyProtection="0"/>
    <xf numFmtId="170" fontId="25" fillId="0" borderId="0" applyFont="0" applyFill="0" applyBorder="0" applyAlignment="0" applyProtection="0"/>
    <xf numFmtId="41" fontId="39" fillId="0" borderId="0" applyFont="0" applyFill="0" applyBorder="0" applyAlignment="0" applyProtection="0"/>
    <xf numFmtId="41" fontId="3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39" fillId="0" borderId="0" applyFont="0" applyFill="0" applyBorder="0" applyAlignment="0" applyProtection="0"/>
    <xf numFmtId="41" fontId="3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39" fillId="0" borderId="0" applyFont="0" applyFill="0" applyBorder="0" applyAlignment="0" applyProtection="0"/>
    <xf numFmtId="41" fontId="3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39" fillId="0" borderId="0" applyFont="0" applyFill="0" applyBorder="0" applyAlignment="0" applyProtection="0"/>
    <xf numFmtId="41" fontId="39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39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3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3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3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3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3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3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3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3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39" fillId="0" borderId="0" applyFont="0" applyFill="0" applyBorder="0" applyAlignment="0" applyProtection="0"/>
    <xf numFmtId="41" fontId="39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0" fontId="39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39" fillId="0" borderId="0" applyFont="0" applyFill="0" applyBorder="0" applyAlignment="0" applyProtection="0"/>
    <xf numFmtId="41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3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170" fontId="39" fillId="0" borderId="0" applyFont="0" applyFill="0" applyBorder="0" applyAlignment="0" applyProtection="0"/>
    <xf numFmtId="170" fontId="25" fillId="0" borderId="0" applyFont="0" applyFill="0" applyBorder="0" applyAlignment="0" applyProtection="0"/>
    <xf numFmtId="170" fontId="39" fillId="0" borderId="0" applyFont="0" applyFill="0" applyBorder="0" applyAlignment="0" applyProtection="0"/>
    <xf numFmtId="170" fontId="25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39" fillId="0" borderId="0" applyFont="0" applyFill="0" applyBorder="0" applyAlignment="0" applyProtection="0"/>
    <xf numFmtId="41" fontId="3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3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39" fillId="0" borderId="0" applyFont="0" applyFill="0" applyBorder="0" applyAlignment="0" applyProtection="0"/>
    <xf numFmtId="41" fontId="39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3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39" fillId="0" borderId="0" applyFont="0" applyFill="0" applyBorder="0" applyAlignment="0" applyProtection="0"/>
    <xf numFmtId="41" fontId="3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39" fillId="0" borderId="0" applyFont="0" applyFill="0" applyBorder="0" applyAlignment="0" applyProtection="0"/>
    <xf numFmtId="41" fontId="25" fillId="0" borderId="0" applyFont="0" applyFill="0" applyBorder="0" applyAlignment="0" applyProtection="0"/>
    <xf numFmtId="179" fontId="39" fillId="0" borderId="0" applyFont="0" applyFill="0" applyBorder="0" applyAlignment="0" applyProtection="0"/>
    <xf numFmtId="179" fontId="25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69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51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39" fillId="0" borderId="0" applyFont="0" applyFill="0" applyBorder="0" applyAlignment="0" applyProtection="0"/>
    <xf numFmtId="41" fontId="25" fillId="0" borderId="0" applyFont="0" applyFill="0" applyBorder="0" applyAlignment="0" applyProtection="0"/>
    <xf numFmtId="169" fontId="39" fillId="0" borderId="0" applyFont="0" applyFill="0" applyBorder="0" applyAlignment="0" applyProtection="0"/>
    <xf numFmtId="41" fontId="39" fillId="0" borderId="0" applyFont="0" applyFill="0" applyBorder="0" applyAlignment="0" applyProtection="0"/>
    <xf numFmtId="41" fontId="25" fillId="0" borderId="0" applyFont="0" applyFill="0" applyBorder="0" applyAlignment="0" applyProtection="0"/>
    <xf numFmtId="169" fontId="25" fillId="0" borderId="0" applyFont="0" applyFill="0" applyBorder="0" applyAlignment="0" applyProtection="0"/>
    <xf numFmtId="41" fontId="39" fillId="0" borderId="0" applyFont="0" applyFill="0" applyBorder="0" applyAlignment="0" applyProtection="0"/>
    <xf numFmtId="41" fontId="3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3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71" fillId="0" borderId="0" applyFont="0" applyFill="0" applyBorder="0" applyAlignment="0" applyProtection="0"/>
    <xf numFmtId="41" fontId="3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3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3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3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3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39" fillId="0" borderId="0" applyFont="0" applyFill="0" applyBorder="0" applyAlignment="0" applyProtection="0"/>
    <xf numFmtId="41" fontId="25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25" fillId="0" borderId="0" applyFont="0" applyFill="0" applyBorder="0" applyAlignment="0" applyProtection="0"/>
    <xf numFmtId="168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170" fontId="39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26" fillId="0" borderId="0" applyFont="0" applyFill="0" applyBorder="0" applyAlignment="0" applyProtection="0"/>
    <xf numFmtId="170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180" fontId="3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180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39" fillId="0" borderId="0" applyFont="0" applyFill="0" applyBorder="0" applyAlignment="0" applyProtection="0"/>
    <xf numFmtId="0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181" fontId="39" fillId="0" borderId="0" applyFont="0" applyFill="0" applyBorder="0" applyAlignment="0" applyProtection="0"/>
    <xf numFmtId="181" fontId="39" fillId="0" borderId="0" applyFont="0" applyFill="0" applyBorder="0" applyAlignment="0" applyProtection="0"/>
    <xf numFmtId="182" fontId="39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39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39" fillId="0" borderId="0" applyFont="0" applyFill="0" applyBorder="0" applyAlignment="0" applyProtection="0"/>
    <xf numFmtId="182" fontId="25" fillId="0" borderId="0" applyFont="0" applyFill="0" applyBorder="0" applyAlignment="0" applyProtection="0"/>
    <xf numFmtId="181" fontId="25" fillId="0" borderId="0" applyFont="0" applyFill="0" applyBorder="0" applyAlignment="0" applyProtection="0"/>
    <xf numFmtId="170" fontId="39" fillId="0" borderId="0" applyFont="0" applyFill="0" applyBorder="0" applyAlignment="0" applyProtection="0"/>
    <xf numFmtId="170" fontId="25" fillId="0" borderId="0" applyFont="0" applyFill="0" applyBorder="0" applyAlignment="0" applyProtection="0"/>
    <xf numFmtId="0" fontId="39" fillId="0" borderId="0" applyFont="0" applyFill="0" applyBorder="0" applyAlignment="0" applyProtection="0"/>
    <xf numFmtId="0" fontId="25" fillId="0" borderId="0" applyFont="0" applyFill="0" applyBorder="0" applyAlignment="0" applyProtection="0"/>
    <xf numFmtId="183" fontId="39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39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39" fillId="0" borderId="0" applyFont="0" applyFill="0" applyBorder="0" applyAlignment="0" applyProtection="0"/>
    <xf numFmtId="183" fontId="25" fillId="0" borderId="0" applyFont="0" applyFill="0" applyBorder="0" applyAlignment="0" applyProtection="0"/>
    <xf numFmtId="181" fontId="25" fillId="0" borderId="0" applyFont="0" applyFill="0" applyBorder="0" applyAlignment="0" applyProtection="0"/>
    <xf numFmtId="0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50" fillId="0" borderId="0" applyFont="0" applyFill="0" applyBorder="0" applyAlignment="0" applyProtection="0"/>
    <xf numFmtId="184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39" fillId="0" borderId="0" applyFont="0" applyFill="0" applyBorder="0" applyAlignment="0" applyProtection="0"/>
    <xf numFmtId="0" fontId="25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205" fontId="25" fillId="0" borderId="0" applyFont="0" applyFill="0" applyBorder="0" applyAlignment="0" applyProtection="0"/>
    <xf numFmtId="204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170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72" fillId="0" borderId="0" applyFont="0" applyFill="0" applyBorder="0" applyAlignment="0" applyProtection="0"/>
    <xf numFmtId="43" fontId="72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6" fillId="0" borderId="0" applyFont="0" applyFill="0" applyBorder="0" applyAlignment="0" applyProtection="0"/>
    <xf numFmtId="3" fontId="73" fillId="0" borderId="0" applyFont="0" applyFill="0" applyBorder="0" applyAlignment="0" applyProtection="0"/>
    <xf numFmtId="0" fontId="74" fillId="0" borderId="0" applyNumberFormat="0" applyAlignment="0">
      <alignment horizontal="left"/>
    </xf>
    <xf numFmtId="0" fontId="68" fillId="0" borderId="0"/>
    <xf numFmtId="0" fontId="68" fillId="0" borderId="0"/>
    <xf numFmtId="185" fontId="39" fillId="0" borderId="3"/>
    <xf numFmtId="185" fontId="25" fillId="0" borderId="3"/>
    <xf numFmtId="42" fontId="26" fillId="0" borderId="0" applyFont="0" applyFill="0" applyBorder="0" applyAlignment="0" applyProtection="0"/>
    <xf numFmtId="42" fontId="51" fillId="0" borderId="0" applyFont="0" applyFill="0" applyBorder="0" applyAlignment="0" applyProtection="0"/>
    <xf numFmtId="172" fontId="39" fillId="0" borderId="0" applyFont="0" applyFill="0" applyBorder="0" applyAlignment="0" applyProtection="0"/>
    <xf numFmtId="172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44" fontId="39" fillId="0" borderId="0" applyFont="0" applyFill="0" applyBorder="0" applyAlignment="0" applyProtection="0"/>
    <xf numFmtId="44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73" fillId="0" borderId="0" applyFont="0" applyFill="0" applyBorder="0" applyAlignment="0" applyProtection="0"/>
    <xf numFmtId="187" fontId="75" fillId="0" borderId="0">
      <protection locked="0"/>
    </xf>
    <xf numFmtId="14" fontId="67" fillId="0" borderId="0" applyFill="0" applyBorder="0" applyAlignment="0"/>
    <xf numFmtId="188" fontId="76" fillId="0" borderId="0">
      <protection locked="0"/>
    </xf>
    <xf numFmtId="0" fontId="77" fillId="0" borderId="0"/>
    <xf numFmtId="0" fontId="77" fillId="0" borderId="4"/>
    <xf numFmtId="0" fontId="77" fillId="0" borderId="4"/>
    <xf numFmtId="0" fontId="77" fillId="0" borderId="4"/>
    <xf numFmtId="0" fontId="77" fillId="0" borderId="4"/>
    <xf numFmtId="0" fontId="78" fillId="22" borderId="0"/>
    <xf numFmtId="176" fontId="39" fillId="0" borderId="0" applyFill="0" applyBorder="0" applyAlignment="0"/>
    <xf numFmtId="176" fontId="25" fillId="0" borderId="0" applyFill="0" applyBorder="0" applyAlignment="0"/>
    <xf numFmtId="172" fontId="39" fillId="0" borderId="0" applyFill="0" applyBorder="0" applyAlignment="0"/>
    <xf numFmtId="172" fontId="25" fillId="0" borderId="0" applyFill="0" applyBorder="0" applyAlignment="0"/>
    <xf numFmtId="176" fontId="39" fillId="0" borderId="0" applyFill="0" applyBorder="0" applyAlignment="0"/>
    <xf numFmtId="176" fontId="25" fillId="0" borderId="0" applyFill="0" applyBorder="0" applyAlignment="0"/>
    <xf numFmtId="177" fontId="39" fillId="0" borderId="0" applyFill="0" applyBorder="0" applyAlignment="0"/>
    <xf numFmtId="177" fontId="25" fillId="0" borderId="0" applyFill="0" applyBorder="0" applyAlignment="0"/>
    <xf numFmtId="172" fontId="39" fillId="0" borderId="0" applyFill="0" applyBorder="0" applyAlignment="0"/>
    <xf numFmtId="172" fontId="25" fillId="0" borderId="0" applyFill="0" applyBorder="0" applyAlignment="0"/>
    <xf numFmtId="0" fontId="79" fillId="0" borderId="0" applyNumberFormat="0" applyAlignment="0">
      <alignment horizontal="left"/>
    </xf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80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1" fillId="0" borderId="0">
      <protection locked="0"/>
    </xf>
    <xf numFmtId="189" fontId="75" fillId="0" borderId="0">
      <protection locked="0"/>
    </xf>
    <xf numFmtId="0" fontId="82" fillId="0" borderId="5"/>
    <xf numFmtId="0" fontId="82" fillId="0" borderId="5"/>
    <xf numFmtId="0" fontId="82" fillId="0" borderId="5"/>
    <xf numFmtId="0" fontId="82" fillId="0" borderId="5"/>
    <xf numFmtId="0" fontId="82" fillId="0" borderId="4"/>
    <xf numFmtId="0" fontId="82" fillId="0" borderId="4"/>
    <xf numFmtId="0" fontId="82" fillId="23" borderId="4"/>
    <xf numFmtId="0" fontId="82" fillId="23" borderId="4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83" fillId="0" borderId="0" applyNumberFormat="0"/>
    <xf numFmtId="38" fontId="44" fillId="24" borderId="0" applyNumberFormat="0" applyBorder="0" applyAlignment="0" applyProtection="0"/>
    <xf numFmtId="0" fontId="84" fillId="0" borderId="6" applyNumberFormat="0" applyAlignment="0" applyProtection="0">
      <alignment horizontal="left" vertical="center"/>
    </xf>
    <xf numFmtId="0" fontId="84" fillId="0" borderId="7">
      <alignment horizontal="left" vertical="center"/>
    </xf>
    <xf numFmtId="0" fontId="84" fillId="0" borderId="7">
      <alignment horizontal="left" vertical="center"/>
    </xf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190" fontId="80" fillId="0" borderId="0">
      <protection locked="0"/>
    </xf>
    <xf numFmtId="190" fontId="80" fillId="0" borderId="0">
      <protection locked="0"/>
    </xf>
    <xf numFmtId="0" fontId="113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3" fillId="0" borderId="0" applyNumberFormat="0" applyFill="0" applyBorder="0" applyAlignment="0" applyProtection="0">
      <alignment vertical="top"/>
      <protection locked="0"/>
    </xf>
    <xf numFmtId="0" fontId="36" fillId="7" borderId="1" applyNumberFormat="0" applyAlignment="0" applyProtection="0"/>
    <xf numFmtId="10" fontId="44" fillId="25" borderId="3" applyNumberFormat="0" applyBorder="0" applyAlignment="0" applyProtection="0"/>
    <xf numFmtId="10" fontId="44" fillId="25" borderId="3" applyNumberFormat="0" applyBorder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176" fontId="39" fillId="0" borderId="0" applyFill="0" applyBorder="0" applyAlignment="0"/>
    <xf numFmtId="176" fontId="25" fillId="0" borderId="0" applyFill="0" applyBorder="0" applyAlignment="0"/>
    <xf numFmtId="172" fontId="39" fillId="0" borderId="0" applyFill="0" applyBorder="0" applyAlignment="0"/>
    <xf numFmtId="172" fontId="25" fillId="0" borderId="0" applyFill="0" applyBorder="0" applyAlignment="0"/>
    <xf numFmtId="176" fontId="39" fillId="0" borderId="0" applyFill="0" applyBorder="0" applyAlignment="0"/>
    <xf numFmtId="176" fontId="25" fillId="0" borderId="0" applyFill="0" applyBorder="0" applyAlignment="0"/>
    <xf numFmtId="177" fontId="39" fillId="0" borderId="0" applyFill="0" applyBorder="0" applyAlignment="0"/>
    <xf numFmtId="177" fontId="25" fillId="0" borderId="0" applyFill="0" applyBorder="0" applyAlignment="0"/>
    <xf numFmtId="172" fontId="39" fillId="0" borderId="0" applyFill="0" applyBorder="0" applyAlignment="0"/>
    <xf numFmtId="172" fontId="25" fillId="0" borderId="0" applyFill="0" applyBorder="0" applyAlignment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191" fontId="39" fillId="0" borderId="0" applyFont="0" applyFill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37" fontId="85" fillId="0" borderId="0"/>
    <xf numFmtId="192" fontId="39" fillId="0" borderId="0"/>
    <xf numFmtId="0" fontId="39" fillId="0" borderId="0"/>
    <xf numFmtId="0" fontId="39" fillId="0" borderId="0"/>
    <xf numFmtId="0" fontId="25" fillId="0" borderId="0"/>
    <xf numFmtId="0" fontId="25" fillId="0" borderId="0"/>
    <xf numFmtId="0" fontId="25" fillId="0" borderId="0"/>
    <xf numFmtId="192" fontId="39" fillId="0" borderId="0"/>
    <xf numFmtId="192" fontId="25" fillId="0" borderId="0"/>
    <xf numFmtId="192" fontId="39" fillId="0" borderId="0"/>
    <xf numFmtId="192" fontId="25" fillId="0" borderId="0"/>
    <xf numFmtId="192" fontId="39" fillId="0" borderId="0"/>
    <xf numFmtId="192" fontId="25" fillId="0" borderId="0"/>
    <xf numFmtId="192" fontId="25" fillId="0" borderId="0"/>
    <xf numFmtId="192" fontId="39" fillId="0" borderId="0"/>
    <xf numFmtId="171" fontId="86" fillId="0" borderId="0"/>
    <xf numFmtId="171" fontId="87" fillId="0" borderId="0"/>
    <xf numFmtId="171" fontId="87" fillId="0" borderId="0"/>
    <xf numFmtId="0" fontId="69" fillId="0" borderId="0"/>
    <xf numFmtId="0" fontId="115" fillId="0" borderId="0"/>
    <xf numFmtId="0" fontId="39" fillId="0" borderId="0"/>
    <xf numFmtId="0" fontId="25" fillId="0" borderId="0"/>
    <xf numFmtId="0" fontId="72" fillId="0" borderId="0"/>
    <xf numFmtId="0" fontId="39" fillId="0" borderId="0"/>
    <xf numFmtId="12" fontId="39" fillId="0" borderId="0"/>
    <xf numFmtId="12" fontId="25" fillId="0" borderId="0"/>
    <xf numFmtId="0" fontId="115" fillId="0" borderId="0"/>
    <xf numFmtId="0" fontId="115" fillId="0" borderId="0"/>
    <xf numFmtId="0" fontId="115" fillId="0" borderId="0"/>
    <xf numFmtId="0" fontId="26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88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26" fillId="0" borderId="0"/>
    <xf numFmtId="0" fontId="39" fillId="0" borderId="0"/>
    <xf numFmtId="0" fontId="25" fillId="0" borderId="0"/>
    <xf numFmtId="0" fontId="39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6" fillId="0" borderId="0"/>
    <xf numFmtId="0" fontId="116" fillId="0" borderId="0"/>
    <xf numFmtId="0" fontId="115" fillId="0" borderId="0"/>
    <xf numFmtId="0" fontId="115" fillId="0" borderId="0"/>
    <xf numFmtId="0" fontId="115" fillId="0" borderId="0"/>
    <xf numFmtId="0" fontId="39" fillId="0" borderId="0"/>
    <xf numFmtId="0" fontId="39" fillId="0" borderId="0"/>
    <xf numFmtId="0" fontId="25" fillId="0" borderId="0"/>
    <xf numFmtId="0" fontId="39" fillId="0" borderId="0" applyProtection="0"/>
    <xf numFmtId="0" fontId="25" fillId="0" borderId="0" applyProtection="0"/>
    <xf numFmtId="0" fontId="25" fillId="0" borderId="0"/>
    <xf numFmtId="0" fontId="39" fillId="0" borderId="0"/>
    <xf numFmtId="0" fontId="115" fillId="0" borderId="0"/>
    <xf numFmtId="0" fontId="115" fillId="0" borderId="0"/>
    <xf numFmtId="0" fontId="115" fillId="0" borderId="0"/>
    <xf numFmtId="0" fontId="25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39" fillId="0" borderId="0"/>
    <xf numFmtId="0" fontId="72" fillId="0" borderId="0"/>
    <xf numFmtId="0" fontId="39" fillId="0" borderId="0"/>
    <xf numFmtId="0" fontId="115" fillId="0" borderId="0"/>
    <xf numFmtId="0" fontId="39" fillId="0" borderId="0"/>
    <xf numFmtId="0" fontId="115" fillId="0" borderId="0"/>
    <xf numFmtId="0" fontId="39" fillId="0" borderId="0"/>
    <xf numFmtId="0" fontId="25" fillId="0" borderId="0"/>
    <xf numFmtId="0" fontId="26" fillId="0" borderId="0"/>
    <xf numFmtId="0" fontId="25" fillId="0" borderId="0"/>
    <xf numFmtId="0" fontId="39" fillId="0" borderId="0"/>
    <xf numFmtId="0" fontId="25" fillId="0" borderId="0"/>
    <xf numFmtId="0" fontId="26" fillId="0" borderId="0"/>
    <xf numFmtId="0" fontId="115" fillId="0" borderId="0"/>
    <xf numFmtId="0" fontId="39" fillId="0" borderId="0"/>
    <xf numFmtId="0" fontId="25" fillId="0" borderId="0"/>
    <xf numFmtId="0" fontId="26" fillId="0" borderId="0"/>
    <xf numFmtId="0" fontId="25" fillId="0" borderId="0"/>
    <xf numFmtId="0" fontId="39" fillId="0" borderId="0"/>
    <xf numFmtId="0" fontId="115" fillId="0" borderId="0"/>
    <xf numFmtId="0" fontId="39" fillId="0" borderId="0"/>
    <xf numFmtId="0" fontId="25" fillId="0" borderId="0"/>
    <xf numFmtId="0" fontId="26" fillId="0" borderId="0"/>
    <xf numFmtId="0" fontId="25" fillId="0" borderId="0"/>
    <xf numFmtId="0" fontId="39" fillId="0" borderId="0"/>
    <xf numFmtId="0" fontId="25" fillId="0" borderId="0"/>
    <xf numFmtId="0" fontId="115" fillId="0" borderId="0"/>
    <xf numFmtId="0" fontId="115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6" fillId="0" borderId="0"/>
    <xf numFmtId="0" fontId="26" fillId="0" borderId="0"/>
    <xf numFmtId="0" fontId="26" fillId="0" borderId="0"/>
    <xf numFmtId="0" fontId="39" fillId="0" borderId="0"/>
    <xf numFmtId="0" fontId="25" fillId="0" borderId="0"/>
    <xf numFmtId="0" fontId="25" fillId="0" borderId="0"/>
    <xf numFmtId="0" fontId="39" fillId="0" borderId="0"/>
    <xf numFmtId="0" fontId="39" fillId="0" borderId="0"/>
    <xf numFmtId="0" fontId="70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115" fillId="0" borderId="0"/>
    <xf numFmtId="0" fontId="25" fillId="0" borderId="0"/>
    <xf numFmtId="0" fontId="26" fillId="0" borderId="0"/>
    <xf numFmtId="0" fontId="26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67" fillId="0" borderId="0">
      <alignment vertical="top"/>
    </xf>
    <xf numFmtId="0" fontId="26" fillId="0" borderId="0"/>
    <xf numFmtId="0" fontId="26" fillId="0" borderId="0"/>
    <xf numFmtId="0" fontId="39" fillId="0" borderId="0"/>
    <xf numFmtId="0" fontId="11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67" fillId="0" borderId="0">
      <alignment vertical="top"/>
    </xf>
    <xf numFmtId="0" fontId="67" fillId="0" borderId="0">
      <alignment vertical="top"/>
    </xf>
    <xf numFmtId="0" fontId="26" fillId="0" borderId="0"/>
    <xf numFmtId="193" fontId="46" fillId="0" borderId="0"/>
    <xf numFmtId="0" fontId="115" fillId="0" borderId="0"/>
    <xf numFmtId="0" fontId="11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15" fillId="0" borderId="0"/>
    <xf numFmtId="0" fontId="26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9" fillId="0" borderId="0"/>
    <xf numFmtId="0" fontId="25" fillId="0" borderId="0"/>
    <xf numFmtId="0" fontId="25" fillId="0" borderId="0"/>
    <xf numFmtId="0" fontId="25" fillId="0" borderId="0"/>
    <xf numFmtId="0" fontId="39" fillId="0" borderId="0" applyNumberFormat="0" applyFont="0" applyFill="0" applyAlignment="0" applyProtection="0"/>
    <xf numFmtId="0" fontId="39" fillId="0" borderId="0" applyNumberFormat="0" applyFont="0" applyFill="0" applyAlignment="0" applyProtection="0"/>
    <xf numFmtId="0" fontId="39" fillId="0" borderId="0"/>
    <xf numFmtId="0" fontId="2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25" fillId="0" borderId="0" applyNumberFormat="0" applyFont="0" applyFill="0" applyAlignment="0" applyProtection="0"/>
    <xf numFmtId="0" fontId="87" fillId="0" borderId="0"/>
    <xf numFmtId="0" fontId="87" fillId="0" borderId="0"/>
    <xf numFmtId="0" fontId="25" fillId="0" borderId="0" applyNumberFormat="0" applyFont="0" applyFill="0" applyAlignment="0" applyProtection="0"/>
    <xf numFmtId="0" fontId="39" fillId="0" borderId="0"/>
    <xf numFmtId="0" fontId="115" fillId="0" borderId="0"/>
    <xf numFmtId="181" fontId="87" fillId="0" borderId="0"/>
    <xf numFmtId="0" fontId="87" fillId="0" borderId="0"/>
    <xf numFmtId="194" fontId="87" fillId="0" borderId="0"/>
    <xf numFmtId="195" fontId="87" fillId="0" borderId="0"/>
    <xf numFmtId="0" fontId="87" fillId="0" borderId="0"/>
    <xf numFmtId="196" fontId="87" fillId="0" borderId="0"/>
    <xf numFmtId="196" fontId="87" fillId="0" borderId="0"/>
    <xf numFmtId="196" fontId="87" fillId="0" borderId="0"/>
    <xf numFmtId="194" fontId="87" fillId="0" borderId="0"/>
    <xf numFmtId="0" fontId="87" fillId="0" borderId="0"/>
    <xf numFmtId="0" fontId="39" fillId="0" borderId="0"/>
    <xf numFmtId="0" fontId="25" fillId="0" borderId="0"/>
    <xf numFmtId="181" fontId="8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6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11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39" fillId="0" borderId="0"/>
    <xf numFmtId="0" fontId="115" fillId="0" borderId="0"/>
    <xf numFmtId="0" fontId="25" fillId="0" borderId="0"/>
    <xf numFmtId="0" fontId="39" fillId="0" borderId="0"/>
    <xf numFmtId="0" fontId="25" fillId="0" borderId="0"/>
    <xf numFmtId="0" fontId="115" fillId="0" borderId="0"/>
    <xf numFmtId="0" fontId="25" fillId="0" borderId="0"/>
    <xf numFmtId="0" fontId="39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115" fillId="0" borderId="0"/>
    <xf numFmtId="0" fontId="115" fillId="0" borderId="0"/>
    <xf numFmtId="0" fontId="39" fillId="0" borderId="0" applyNumberFormat="0" applyFont="0" applyFill="0" applyAlignment="0" applyProtection="0"/>
    <xf numFmtId="0" fontId="39" fillId="0" borderId="0"/>
    <xf numFmtId="0" fontId="25" fillId="0" borderId="0"/>
    <xf numFmtId="0" fontId="39" fillId="0" borderId="0"/>
    <xf numFmtId="0" fontId="25" fillId="0" borderId="0"/>
    <xf numFmtId="0" fontId="25" fillId="0" borderId="0" applyNumberFormat="0" applyFont="0" applyFill="0" applyAlignment="0" applyProtection="0"/>
    <xf numFmtId="0" fontId="11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26" fillId="0" borderId="0"/>
    <xf numFmtId="197" fontId="87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26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26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196" fontId="87" fillId="0" borderId="0"/>
    <xf numFmtId="196" fontId="87" fillId="0" borderId="0"/>
    <xf numFmtId="196" fontId="87" fillId="0" borderId="0"/>
    <xf numFmtId="196" fontId="87" fillId="0" borderId="0"/>
    <xf numFmtId="198" fontId="87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26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26" fillId="0" borderId="0"/>
    <xf numFmtId="0" fontId="26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39" fillId="0" borderId="0"/>
    <xf numFmtId="0" fontId="25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26" fillId="0" borderId="0"/>
    <xf numFmtId="0" fontId="39" fillId="0" borderId="0"/>
    <xf numFmtId="0" fontId="25" fillId="0" borderId="0"/>
    <xf numFmtId="0" fontId="39" fillId="0" borderId="0"/>
    <xf numFmtId="0" fontId="26" fillId="0" borderId="0"/>
    <xf numFmtId="0" fontId="26" fillId="0" borderId="0"/>
    <xf numFmtId="0" fontId="67" fillId="0" borderId="0">
      <alignment vertical="top"/>
    </xf>
    <xf numFmtId="0" fontId="39" fillId="0" borderId="0"/>
    <xf numFmtId="0" fontId="25" fillId="0" borderId="0"/>
    <xf numFmtId="0" fontId="39" fillId="0" borderId="0"/>
    <xf numFmtId="0" fontId="25" fillId="0" borderId="0"/>
    <xf numFmtId="0" fontId="115" fillId="0" borderId="0"/>
    <xf numFmtId="0" fontId="39" fillId="0" borderId="0"/>
    <xf numFmtId="0" fontId="39" fillId="0" borderId="0"/>
    <xf numFmtId="0" fontId="25" fillId="0" borderId="0"/>
    <xf numFmtId="0" fontId="25" fillId="0" borderId="0"/>
    <xf numFmtId="0" fontId="115" fillId="0" borderId="0"/>
    <xf numFmtId="0" fontId="39" fillId="0" borderId="0"/>
    <xf numFmtId="0" fontId="25" fillId="0" borderId="0"/>
    <xf numFmtId="0" fontId="39" fillId="0" borderId="0"/>
    <xf numFmtId="0" fontId="115" fillId="0" borderId="0"/>
    <xf numFmtId="0" fontId="39" fillId="0" borderId="0"/>
    <xf numFmtId="0" fontId="46" fillId="0" borderId="0"/>
    <xf numFmtId="0" fontId="39" fillId="0" borderId="0"/>
    <xf numFmtId="0" fontId="25" fillId="0" borderId="0"/>
    <xf numFmtId="0" fontId="39" fillId="0" borderId="0"/>
    <xf numFmtId="0" fontId="39" fillId="0" borderId="0"/>
    <xf numFmtId="0" fontId="25" fillId="0" borderId="0"/>
    <xf numFmtId="0" fontId="39" fillId="0" borderId="0"/>
    <xf numFmtId="193" fontId="46" fillId="0" borderId="0"/>
    <xf numFmtId="0" fontId="25" fillId="0" borderId="0"/>
    <xf numFmtId="0" fontId="25" fillId="0" borderId="0" applyProtection="0"/>
    <xf numFmtId="0" fontId="115" fillId="0" borderId="0"/>
    <xf numFmtId="0" fontId="115" fillId="0" borderId="0"/>
    <xf numFmtId="0" fontId="115" fillId="0" borderId="0"/>
    <xf numFmtId="0" fontId="25" fillId="0" borderId="0"/>
    <xf numFmtId="0" fontId="25" fillId="0" borderId="0" applyProtection="0"/>
    <xf numFmtId="0" fontId="39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115" fillId="0" borderId="0"/>
    <xf numFmtId="0" fontId="4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116" fillId="0" borderId="0"/>
    <xf numFmtId="0" fontId="39" fillId="0" borderId="0"/>
    <xf numFmtId="0" fontId="25" fillId="0" borderId="0"/>
    <xf numFmtId="0" fontId="115" fillId="0" borderId="0"/>
    <xf numFmtId="0" fontId="116" fillId="0" borderId="0"/>
    <xf numFmtId="0" fontId="67" fillId="0" borderId="0">
      <alignment vertical="top"/>
    </xf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11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39" fillId="0" borderId="0"/>
    <xf numFmtId="0" fontId="2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25" fillId="0" borderId="0"/>
    <xf numFmtId="0" fontId="39" fillId="0" borderId="0"/>
    <xf numFmtId="0" fontId="39" fillId="0" borderId="0"/>
    <xf numFmtId="0" fontId="25" fillId="0" borderId="0"/>
    <xf numFmtId="0" fontId="11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115" fillId="0" borderId="0"/>
    <xf numFmtId="0" fontId="39" fillId="0" borderId="0"/>
    <xf numFmtId="0" fontId="25" fillId="0" borderId="0"/>
    <xf numFmtId="0" fontId="115" fillId="0" borderId="0"/>
    <xf numFmtId="0" fontId="115" fillId="0" borderId="0"/>
    <xf numFmtId="0" fontId="115" fillId="0" borderId="0"/>
    <xf numFmtId="0" fontId="39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25" fillId="0" borderId="0"/>
    <xf numFmtId="0" fontId="26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39" fillId="0" borderId="0"/>
    <xf numFmtId="0" fontId="39" fillId="0" borderId="0"/>
    <xf numFmtId="0" fontId="25" fillId="0" borderId="0"/>
    <xf numFmtId="0" fontId="117" fillId="0" borderId="0"/>
    <xf numFmtId="0" fontId="25" fillId="0" borderId="0"/>
    <xf numFmtId="0" fontId="25" fillId="0" borderId="0"/>
    <xf numFmtId="0" fontId="26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6" fillId="0" borderId="0"/>
    <xf numFmtId="0" fontId="26" fillId="0" borderId="0"/>
    <xf numFmtId="0" fontId="116" fillId="0" borderId="0"/>
    <xf numFmtId="0" fontId="70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39" fillId="0" borderId="0"/>
    <xf numFmtId="0" fontId="25" fillId="0" borderId="0"/>
    <xf numFmtId="0" fontId="39" fillId="0" borderId="0"/>
    <xf numFmtId="0" fontId="39" fillId="0" borderId="0" applyProtection="0"/>
    <xf numFmtId="0" fontId="25" fillId="0" borderId="0" applyProtection="0"/>
    <xf numFmtId="0" fontId="25" fillId="0" borderId="0"/>
    <xf numFmtId="0" fontId="39" fillId="0" borderId="0"/>
    <xf numFmtId="0" fontId="25" fillId="0" borderId="0"/>
    <xf numFmtId="193" fontId="46" fillId="0" borderId="0"/>
    <xf numFmtId="193" fontId="46" fillId="0" borderId="0"/>
    <xf numFmtId="0" fontId="11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9" fillId="0" borderId="0"/>
    <xf numFmtId="0" fontId="25" fillId="0" borderId="0"/>
    <xf numFmtId="0" fontId="116" fillId="0" borderId="0"/>
    <xf numFmtId="0" fontId="67" fillId="0" borderId="0">
      <alignment vertical="top"/>
    </xf>
    <xf numFmtId="0" fontId="39" fillId="0" borderId="0"/>
    <xf numFmtId="0" fontId="25" fillId="0" borderId="0"/>
    <xf numFmtId="0" fontId="39" fillId="0" borderId="0"/>
    <xf numFmtId="0" fontId="25" fillId="0" borderId="0"/>
    <xf numFmtId="0" fontId="115" fillId="0" borderId="0"/>
    <xf numFmtId="0" fontId="115" fillId="0" borderId="0"/>
    <xf numFmtId="0" fontId="39" fillId="0" borderId="0"/>
    <xf numFmtId="0" fontId="2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39" fillId="27" borderId="12" applyNumberFormat="0" applyFont="0" applyAlignment="0" applyProtection="0"/>
    <xf numFmtId="0" fontId="39" fillId="27" borderId="12" applyNumberFormat="0" applyFont="0" applyAlignment="0" applyProtection="0"/>
    <xf numFmtId="193" fontId="46" fillId="28" borderId="12" applyAlignment="0" applyProtection="0"/>
    <xf numFmtId="193" fontId="46" fillId="28" borderId="12" applyAlignment="0" applyProtection="0"/>
    <xf numFmtId="0" fontId="25" fillId="27" borderId="12" applyNumberFormat="0" applyFont="0" applyAlignment="0" applyProtection="0"/>
    <xf numFmtId="193" fontId="46" fillId="28" borderId="12" applyAlignment="0" applyProtection="0"/>
    <xf numFmtId="0" fontId="39" fillId="27" borderId="12" applyNumberFormat="0" applyFont="0" applyAlignment="0" applyProtection="0"/>
    <xf numFmtId="193" fontId="46" fillId="28" borderId="12" applyAlignment="0" applyProtection="0"/>
    <xf numFmtId="193" fontId="46" fillId="28" borderId="12" applyAlignment="0" applyProtection="0"/>
    <xf numFmtId="0" fontId="25" fillId="27" borderId="12" applyNumberFormat="0" applyFont="0" applyAlignment="0" applyProtection="0"/>
    <xf numFmtId="193" fontId="46" fillId="28" borderId="12" applyAlignment="0" applyProtection="0"/>
    <xf numFmtId="0" fontId="39" fillId="27" borderId="12" applyNumberFormat="0" applyFont="0" applyAlignment="0" applyProtection="0"/>
    <xf numFmtId="193" fontId="46" fillId="28" borderId="12" applyAlignment="0" applyProtection="0"/>
    <xf numFmtId="193" fontId="46" fillId="28" borderId="12" applyAlignment="0" applyProtection="0"/>
    <xf numFmtId="0" fontId="25" fillId="27" borderId="12" applyNumberFormat="0" applyFont="0" applyAlignment="0" applyProtection="0"/>
    <xf numFmtId="193" fontId="46" fillId="28" borderId="12" applyAlignment="0" applyProtection="0"/>
    <xf numFmtId="0" fontId="39" fillId="27" borderId="12" applyNumberFormat="0" applyFont="0" applyAlignment="0" applyProtection="0"/>
    <xf numFmtId="193" fontId="46" fillId="28" borderId="12" applyAlignment="0" applyProtection="0"/>
    <xf numFmtId="193" fontId="46" fillId="28" borderId="12" applyAlignment="0" applyProtection="0"/>
    <xf numFmtId="0" fontId="25" fillId="27" borderId="12" applyNumberFormat="0" applyFont="0" applyAlignment="0" applyProtection="0"/>
    <xf numFmtId="193" fontId="46" fillId="28" borderId="12" applyAlignment="0" applyProtection="0"/>
    <xf numFmtId="0" fontId="39" fillId="27" borderId="12" applyNumberFormat="0" applyFont="0" applyAlignment="0" applyProtection="0"/>
    <xf numFmtId="193" fontId="46" fillId="28" borderId="12" applyAlignment="0" applyProtection="0"/>
    <xf numFmtId="193" fontId="46" fillId="28" borderId="12" applyAlignment="0" applyProtection="0"/>
    <xf numFmtId="0" fontId="25" fillId="27" borderId="12" applyNumberFormat="0" applyFont="0" applyAlignment="0" applyProtection="0"/>
    <xf numFmtId="193" fontId="46" fillId="28" borderId="12" applyAlignment="0" applyProtection="0"/>
    <xf numFmtId="0" fontId="39" fillId="27" borderId="12" applyNumberFormat="0" applyFont="0" applyAlignment="0" applyProtection="0"/>
    <xf numFmtId="193" fontId="46" fillId="28" borderId="12" applyAlignment="0" applyProtection="0"/>
    <xf numFmtId="193" fontId="46" fillId="28" borderId="12" applyAlignment="0" applyProtection="0"/>
    <xf numFmtId="0" fontId="25" fillId="27" borderId="12" applyNumberFormat="0" applyFont="0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0" fontId="39" fillId="27" borderId="12" applyNumberFormat="0" applyFont="0" applyAlignment="0" applyProtection="0"/>
    <xf numFmtId="0" fontId="39" fillId="27" borderId="12" applyNumberFormat="0" applyFont="0" applyAlignment="0" applyProtection="0"/>
    <xf numFmtId="0" fontId="25" fillId="27" borderId="12" applyNumberFormat="0" applyFont="0" applyAlignment="0" applyProtection="0"/>
    <xf numFmtId="0" fontId="39" fillId="27" borderId="12" applyNumberFormat="0" applyFont="0" applyAlignment="0" applyProtection="0"/>
    <xf numFmtId="0" fontId="25" fillId="27" borderId="12" applyNumberFormat="0" applyFont="0" applyAlignment="0" applyProtection="0"/>
    <xf numFmtId="0" fontId="25" fillId="27" borderId="12" applyNumberFormat="0" applyFont="0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0" fontId="39" fillId="27" borderId="12" applyNumberFormat="0" applyFont="0" applyAlignment="0" applyProtection="0"/>
    <xf numFmtId="193" fontId="46" fillId="28" borderId="12" applyAlignment="0" applyProtection="0"/>
    <xf numFmtId="193" fontId="46" fillId="28" borderId="12" applyAlignment="0" applyProtection="0"/>
    <xf numFmtId="0" fontId="25" fillId="27" borderId="12" applyNumberFormat="0" applyFont="0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0" fontId="39" fillId="27" borderId="12" applyNumberFormat="0" applyFont="0" applyAlignment="0" applyProtection="0"/>
    <xf numFmtId="193" fontId="46" fillId="28" borderId="12" applyAlignment="0" applyProtection="0"/>
    <xf numFmtId="193" fontId="46" fillId="28" borderId="12" applyAlignment="0" applyProtection="0"/>
    <xf numFmtId="0" fontId="25" fillId="27" borderId="12" applyNumberFormat="0" applyFont="0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0" fontId="39" fillId="27" borderId="12" applyNumberFormat="0" applyFont="0" applyAlignment="0" applyProtection="0"/>
    <xf numFmtId="193" fontId="46" fillId="28" borderId="12" applyAlignment="0" applyProtection="0"/>
    <xf numFmtId="193" fontId="46" fillId="28" borderId="12" applyAlignment="0" applyProtection="0"/>
    <xf numFmtId="0" fontId="25" fillId="27" borderId="12" applyNumberFormat="0" applyFont="0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0" fontId="39" fillId="27" borderId="12" applyNumberFormat="0" applyFont="0" applyAlignment="0" applyProtection="0"/>
    <xf numFmtId="193" fontId="46" fillId="28" borderId="12" applyAlignment="0" applyProtection="0"/>
    <xf numFmtId="193" fontId="46" fillId="28" borderId="12" applyAlignment="0" applyProtection="0"/>
    <xf numFmtId="0" fontId="25" fillId="27" borderId="12" applyNumberFormat="0" applyFont="0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0" fontId="39" fillId="27" borderId="12" applyNumberFormat="0" applyFont="0" applyAlignment="0" applyProtection="0"/>
    <xf numFmtId="193" fontId="46" fillId="28" borderId="12" applyAlignment="0" applyProtection="0"/>
    <xf numFmtId="193" fontId="46" fillId="28" borderId="12" applyAlignment="0" applyProtection="0"/>
    <xf numFmtId="0" fontId="25" fillId="27" borderId="12" applyNumberFormat="0" applyFont="0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193" fontId="46" fillId="28" borderId="12" applyAlignment="0" applyProtection="0"/>
    <xf numFmtId="0" fontId="26" fillId="27" borderId="12" applyNumberFormat="0" applyFont="0" applyAlignment="0" applyProtection="0"/>
    <xf numFmtId="193" fontId="46" fillId="28" borderId="12" applyAlignment="0" applyProtection="0"/>
    <xf numFmtId="0" fontId="39" fillId="27" borderId="12" applyNumberFormat="0" applyFont="0" applyAlignment="0" applyProtection="0"/>
    <xf numFmtId="193" fontId="46" fillId="28" borderId="12" applyAlignment="0" applyProtection="0"/>
    <xf numFmtId="193" fontId="46" fillId="28" borderId="12" applyAlignment="0" applyProtection="0"/>
    <xf numFmtId="0" fontId="25" fillId="27" borderId="12" applyNumberFormat="0" applyFont="0" applyAlignment="0" applyProtection="0"/>
    <xf numFmtId="193" fontId="46" fillId="28" borderId="12" applyAlignment="0" applyProtection="0"/>
    <xf numFmtId="0" fontId="39" fillId="27" borderId="12" applyNumberFormat="0" applyFont="0" applyAlignment="0" applyProtection="0"/>
    <xf numFmtId="193" fontId="46" fillId="28" borderId="12" applyAlignment="0" applyProtection="0"/>
    <xf numFmtId="193" fontId="46" fillId="28" borderId="12" applyAlignment="0" applyProtection="0"/>
    <xf numFmtId="0" fontId="25" fillId="27" borderId="12" applyNumberFormat="0" applyFont="0" applyAlignment="0" applyProtection="0"/>
    <xf numFmtId="193" fontId="46" fillId="28" borderId="12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175" fontId="39" fillId="0" borderId="0" applyFont="0" applyFill="0" applyBorder="0" applyAlignment="0" applyProtection="0"/>
    <xf numFmtId="175" fontId="25" fillId="0" borderId="0" applyFont="0" applyFill="0" applyBorder="0" applyAlignment="0" applyProtection="0"/>
    <xf numFmtId="199" fontId="39" fillId="0" borderId="0" applyFont="0" applyFill="0" applyBorder="0" applyAlignment="0" applyProtection="0"/>
    <xf numFmtId="199" fontId="25" fillId="0" borderId="0" applyFont="0" applyFill="0" applyBorder="0" applyAlignment="0" applyProtection="0"/>
    <xf numFmtId="10" fontId="39" fillId="0" borderId="0" applyFont="0" applyFill="0" applyBorder="0" applyAlignment="0" applyProtection="0"/>
    <xf numFmtId="10" fontId="25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6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25" fillId="0" borderId="0" applyFont="0" applyFill="0" applyBorder="0" applyAlignment="0" applyProtection="0"/>
    <xf numFmtId="176" fontId="39" fillId="0" borderId="0" applyFill="0" applyBorder="0" applyAlignment="0"/>
    <xf numFmtId="176" fontId="25" fillId="0" borderId="0" applyFill="0" applyBorder="0" applyAlignment="0"/>
    <xf numFmtId="172" fontId="39" fillId="0" borderId="0" applyFill="0" applyBorder="0" applyAlignment="0"/>
    <xf numFmtId="172" fontId="25" fillId="0" borderId="0" applyFill="0" applyBorder="0" applyAlignment="0"/>
    <xf numFmtId="176" fontId="39" fillId="0" borderId="0" applyFill="0" applyBorder="0" applyAlignment="0"/>
    <xf numFmtId="176" fontId="25" fillId="0" borderId="0" applyFill="0" applyBorder="0" applyAlignment="0"/>
    <xf numFmtId="177" fontId="39" fillId="0" borderId="0" applyFill="0" applyBorder="0" applyAlignment="0"/>
    <xf numFmtId="177" fontId="25" fillId="0" borderId="0" applyFill="0" applyBorder="0" applyAlignment="0"/>
    <xf numFmtId="172" fontId="39" fillId="0" borderId="0" applyFill="0" applyBorder="0" applyAlignment="0"/>
    <xf numFmtId="172" fontId="25" fillId="0" borderId="0" applyFill="0" applyBorder="0" applyAlignment="0"/>
    <xf numFmtId="0" fontId="77" fillId="0" borderId="0"/>
    <xf numFmtId="200" fontId="90" fillId="0" borderId="0" applyNumberFormat="0" applyFill="0" applyBorder="0" applyAlignment="0" applyProtection="0">
      <alignment horizontal="left"/>
    </xf>
    <xf numFmtId="0" fontId="91" fillId="0" borderId="14"/>
    <xf numFmtId="0" fontId="91" fillId="0" borderId="14"/>
    <xf numFmtId="0" fontId="92" fillId="0" borderId="15"/>
    <xf numFmtId="0" fontId="92" fillId="0" borderId="15"/>
    <xf numFmtId="40" fontId="93" fillId="0" borderId="0" applyBorder="0">
      <alignment horizontal="right"/>
    </xf>
    <xf numFmtId="49" fontId="67" fillId="0" borderId="0" applyFill="0" applyBorder="0" applyAlignment="0"/>
    <xf numFmtId="201" fontId="39" fillId="0" borderId="0" applyFill="0" applyBorder="0" applyAlignment="0"/>
    <xf numFmtId="201" fontId="25" fillId="0" borderId="0" applyFill="0" applyBorder="0" applyAlignment="0"/>
    <xf numFmtId="202" fontId="39" fillId="0" borderId="0" applyFill="0" applyBorder="0" applyAlignment="0"/>
    <xf numFmtId="202" fontId="25" fillId="0" borderId="0" applyFill="0" applyBorder="0" applyAlignment="0"/>
    <xf numFmtId="203" fontId="94" fillId="0" borderId="16" applyFont="0" applyBorder="0" applyAlignment="0">
      <alignment horizontal="right"/>
    </xf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19" fillId="0" borderId="0"/>
    <xf numFmtId="0" fontId="13" fillId="0" borderId="0"/>
    <xf numFmtId="9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2" fillId="0" borderId="0"/>
    <xf numFmtId="165" fontId="25" fillId="0" borderId="0" applyFont="0" applyFill="0" applyBorder="0" applyAlignment="0" applyProtection="0"/>
    <xf numFmtId="9" fontId="166" fillId="0" borderId="0" applyFont="0" applyFill="0" applyBorder="0" applyAlignment="0" applyProtection="0"/>
    <xf numFmtId="165" fontId="178" fillId="0" borderId="0" applyFont="0" applyFill="0" applyBorder="0" applyAlignment="0" applyProtection="0"/>
    <xf numFmtId="0" fontId="25" fillId="0" borderId="0"/>
    <xf numFmtId="0" fontId="19" fillId="2" borderId="0" applyNumberFormat="0" applyBorder="0" applyAlignment="0" applyProtection="0"/>
    <xf numFmtId="0" fontId="19" fillId="3" borderId="0" applyNumberFormat="0" applyBorder="0" applyAlignment="0" applyProtection="0"/>
    <xf numFmtId="0" fontId="19" fillId="4" borderId="0" applyNumberFormat="0" applyBorder="0" applyAlignment="0" applyProtection="0"/>
    <xf numFmtId="0" fontId="19" fillId="5" borderId="0" applyNumberFormat="0" applyBorder="0" applyAlignment="0" applyProtection="0"/>
    <xf numFmtId="0" fontId="19" fillId="6" borderId="0" applyNumberFormat="0" applyBorder="0" applyAlignment="0" applyProtection="0"/>
    <xf numFmtId="0" fontId="19" fillId="7" borderId="0" applyNumberFormat="0" applyBorder="0" applyAlignment="0" applyProtection="0"/>
    <xf numFmtId="0" fontId="19" fillId="8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5" borderId="0" applyNumberFormat="0" applyBorder="0" applyAlignment="0" applyProtection="0"/>
    <xf numFmtId="0" fontId="19" fillId="8" borderId="0" applyNumberFormat="0" applyBorder="0" applyAlignment="0" applyProtection="0"/>
    <xf numFmtId="0" fontId="19" fillId="11" borderId="0" applyNumberFormat="0" applyBorder="0" applyAlignment="0" applyProtection="0"/>
    <xf numFmtId="165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8" fillId="0" borderId="0"/>
    <xf numFmtId="165" fontId="25" fillId="0" borderId="0" applyFont="0" applyFill="0" applyBorder="0" applyAlignment="0" applyProtection="0"/>
    <xf numFmtId="0" fontId="8" fillId="0" borderId="0"/>
    <xf numFmtId="166" fontId="25" fillId="0" borderId="0" applyFont="0" applyFill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11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19" fillId="0" borderId="0" applyFont="0" applyFill="0" applyBorder="0" applyAlignment="0" applyProtection="0"/>
    <xf numFmtId="164" fontId="2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11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11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11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115" fillId="0" borderId="0" applyFont="0" applyFill="0" applyBorder="0" applyAlignment="0" applyProtection="0"/>
    <xf numFmtId="165" fontId="11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115" fillId="0" borderId="0" applyFont="0" applyFill="0" applyBorder="0" applyAlignment="0" applyProtection="0"/>
    <xf numFmtId="165" fontId="115" fillId="0" borderId="0" applyFont="0" applyFill="0" applyBorder="0" applyAlignment="0" applyProtection="0"/>
    <xf numFmtId="165" fontId="11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1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15" fillId="0" borderId="0" applyFont="0" applyFill="0" applyBorder="0" applyAlignment="0" applyProtection="0"/>
    <xf numFmtId="165" fontId="11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11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69" fillId="0" borderId="0" applyFont="0" applyFill="0" applyBorder="0" applyAlignment="0" applyProtection="0"/>
    <xf numFmtId="165" fontId="7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1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71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11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11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11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115" fillId="0" borderId="0" applyFont="0" applyFill="0" applyBorder="0" applyAlignment="0" applyProtection="0"/>
    <xf numFmtId="166" fontId="11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115" fillId="0" borderId="0" applyFont="0" applyFill="0" applyBorder="0" applyAlignment="0" applyProtection="0"/>
    <xf numFmtId="166" fontId="115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11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15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11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72" fillId="0" borderId="0" applyFont="0" applyFill="0" applyBorder="0" applyAlignment="0" applyProtection="0"/>
    <xf numFmtId="166" fontId="72" fillId="0" borderId="0" applyFont="0" applyFill="0" applyBorder="0" applyAlignment="0" applyProtection="0"/>
    <xf numFmtId="166" fontId="19" fillId="0" borderId="0" applyFont="0" applyFill="0" applyBorder="0" applyAlignment="0" applyProtection="0"/>
    <xf numFmtId="42" fontId="19" fillId="0" borderId="0" applyFont="0" applyFill="0" applyBorder="0" applyAlignment="0" applyProtection="0"/>
    <xf numFmtId="42" fontId="115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8" fillId="0" borderId="0"/>
    <xf numFmtId="0" fontId="19" fillId="0" borderId="0"/>
    <xf numFmtId="0" fontId="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15" fillId="0" borderId="0" applyFont="0" applyFill="0" applyBorder="0" applyAlignment="0" applyProtection="0"/>
    <xf numFmtId="0" fontId="91" fillId="0" borderId="99"/>
    <xf numFmtId="0" fontId="92" fillId="0" borderId="100"/>
    <xf numFmtId="166" fontId="25" fillId="0" borderId="0" applyFont="0" applyFill="0" applyBorder="0" applyAlignment="0" applyProtection="0"/>
  </cellStyleXfs>
  <cellXfs count="730">
    <xf numFmtId="0" fontId="0" fillId="0" borderId="0" xfId="0"/>
    <xf numFmtId="0" fontId="48" fillId="0" borderId="0" xfId="1448" applyFont="1" applyAlignment="1">
      <alignment horizontal="center" wrapText="1"/>
    </xf>
    <xf numFmtId="0" fontId="47" fillId="0" borderId="0" xfId="1448" applyFont="1" applyAlignment="1">
      <alignment horizontal="left" vertical="center" wrapText="1"/>
    </xf>
    <xf numFmtId="0" fontId="57" fillId="0" borderId="0" xfId="1448" applyFont="1" applyAlignment="1">
      <alignment horizontal="center" wrapText="1"/>
    </xf>
    <xf numFmtId="3" fontId="48" fillId="0" borderId="0" xfId="1448" applyNumberFormat="1" applyFont="1" applyAlignment="1">
      <alignment horizontal="center" vertical="center" wrapText="1"/>
    </xf>
    <xf numFmtId="0" fontId="57" fillId="0" borderId="0" xfId="1448" applyFont="1" applyAlignment="1">
      <alignment wrapText="1"/>
    </xf>
    <xf numFmtId="0" fontId="58" fillId="0" borderId="0" xfId="1448" applyFont="1" applyAlignment="1">
      <alignment wrapText="1"/>
    </xf>
    <xf numFmtId="0" fontId="47" fillId="0" borderId="0" xfId="1448" applyFont="1" applyAlignment="1">
      <alignment horizontal="center" wrapText="1"/>
    </xf>
    <xf numFmtId="0" fontId="47" fillId="0" borderId="0" xfId="1448" applyFont="1" applyAlignment="1">
      <alignment horizontal="center" vertical="center" wrapText="1"/>
    </xf>
    <xf numFmtId="3" fontId="47" fillId="0" borderId="0" xfId="1448" applyNumberFormat="1" applyFont="1" applyAlignment="1">
      <alignment horizontal="center" vertical="center" wrapText="1"/>
    </xf>
    <xf numFmtId="0" fontId="47" fillId="0" borderId="18" xfId="1448" applyFont="1" applyBorder="1" applyAlignment="1">
      <alignment horizontal="center" vertical="center" wrapText="1"/>
    </xf>
    <xf numFmtId="0" fontId="48" fillId="0" borderId="0" xfId="1448" applyFont="1" applyAlignment="1">
      <alignment horizontal="center" vertical="center" wrapText="1"/>
    </xf>
    <xf numFmtId="0" fontId="57" fillId="0" borderId="0" xfId="1448" applyFont="1" applyAlignment="1">
      <alignment horizontal="center" vertical="center" wrapText="1"/>
    </xf>
    <xf numFmtId="0" fontId="60" fillId="0" borderId="18" xfId="1448" applyFont="1" applyBorder="1" applyAlignment="1">
      <alignment horizontal="center" wrapText="1"/>
    </xf>
    <xf numFmtId="0" fontId="61" fillId="0" borderId="0" xfId="1448" applyFont="1" applyAlignment="1">
      <alignment wrapText="1"/>
    </xf>
    <xf numFmtId="0" fontId="48" fillId="0" borderId="18" xfId="1448" applyFont="1" applyBorder="1" applyAlignment="1">
      <alignment horizontal="center" vertical="center" wrapText="1"/>
    </xf>
    <xf numFmtId="41" fontId="48" fillId="0" borderId="0" xfId="527" applyNumberFormat="1" applyFont="1" applyFill="1" applyBorder="1" applyAlignment="1">
      <alignment horizontal="center" wrapText="1"/>
    </xf>
    <xf numFmtId="0" fontId="48" fillId="0" borderId="18" xfId="1448" quotePrefix="1" applyFont="1" applyBorder="1" applyAlignment="1">
      <alignment horizontal="center" vertical="center" wrapText="1"/>
    </xf>
    <xf numFmtId="18" fontId="48" fillId="0" borderId="18" xfId="1448" quotePrefix="1" applyNumberFormat="1" applyFont="1" applyBorder="1" applyAlignment="1">
      <alignment horizontal="center" vertical="center" wrapText="1"/>
    </xf>
    <xf numFmtId="0" fontId="57" fillId="0" borderId="0" xfId="1448" applyFont="1" applyAlignment="1">
      <alignment vertical="top" wrapText="1"/>
    </xf>
    <xf numFmtId="41" fontId="48" fillId="0" borderId="18" xfId="1448" applyNumberFormat="1" applyFont="1" applyBorder="1" applyAlignment="1">
      <alignment horizontal="center" vertical="center" wrapText="1"/>
    </xf>
    <xf numFmtId="17" fontId="48" fillId="0" borderId="18" xfId="1448" quotePrefix="1" applyNumberFormat="1" applyFont="1" applyBorder="1" applyAlignment="1">
      <alignment horizontal="center" vertical="center" wrapText="1"/>
    </xf>
    <xf numFmtId="41" fontId="48" fillId="0" borderId="0" xfId="1448" applyNumberFormat="1" applyFont="1" applyAlignment="1">
      <alignment horizontal="center" wrapText="1"/>
    </xf>
    <xf numFmtId="0" fontId="115" fillId="0" borderId="0" xfId="1614" applyAlignment="1">
      <alignment horizontal="center"/>
    </xf>
    <xf numFmtId="0" fontId="52" fillId="0" borderId="0" xfId="1614" applyFont="1" applyAlignment="1">
      <alignment horizontal="center" vertical="center"/>
    </xf>
    <xf numFmtId="0" fontId="47" fillId="0" borderId="0" xfId="1614" applyFont="1" applyAlignment="1">
      <alignment vertical="center"/>
    </xf>
    <xf numFmtId="0" fontId="115" fillId="0" borderId="0" xfId="1614" applyAlignment="1">
      <alignment horizontal="center" vertical="center"/>
    </xf>
    <xf numFmtId="3" fontId="49" fillId="0" borderId="0" xfId="1614" applyNumberFormat="1" applyFont="1" applyAlignment="1">
      <alignment horizontal="center" vertical="center"/>
    </xf>
    <xf numFmtId="0" fontId="62" fillId="0" borderId="0" xfId="1614" applyFont="1" applyAlignment="1">
      <alignment horizontal="center" vertical="center"/>
    </xf>
    <xf numFmtId="0" fontId="63" fillId="0" borderId="0" xfId="1614" applyFont="1" applyAlignment="1">
      <alignment horizontal="center" vertical="center"/>
    </xf>
    <xf numFmtId="0" fontId="64" fillId="0" borderId="0" xfId="1614" applyFont="1" applyAlignment="1">
      <alignment horizontal="center"/>
    </xf>
    <xf numFmtId="43" fontId="56" fillId="0" borderId="0" xfId="1652" applyNumberFormat="1" applyFont="1"/>
    <xf numFmtId="0" fontId="115" fillId="0" borderId="19" xfId="1614" applyBorder="1" applyAlignment="1">
      <alignment horizontal="center"/>
    </xf>
    <xf numFmtId="0" fontId="56" fillId="0" borderId="0" xfId="1614" applyFont="1" applyAlignment="1">
      <alignment horizontal="center"/>
    </xf>
    <xf numFmtId="0" fontId="56" fillId="0" borderId="0" xfId="1614" applyFont="1" applyAlignment="1">
      <alignment horizontal="center" vertical="center" wrapText="1"/>
    </xf>
    <xf numFmtId="3" fontId="48" fillId="0" borderId="0" xfId="1614" applyNumberFormat="1" applyFont="1" applyAlignment="1">
      <alignment vertical="center"/>
    </xf>
    <xf numFmtId="0" fontId="24" fillId="0" borderId="0" xfId="1614" applyFont="1" applyAlignment="1">
      <alignment horizontal="center"/>
    </xf>
    <xf numFmtId="0" fontId="48" fillId="0" borderId="20" xfId="1614" applyFont="1" applyBorder="1" applyAlignment="1">
      <alignment horizontal="center" vertical="center"/>
    </xf>
    <xf numFmtId="0" fontId="48" fillId="0" borderId="21" xfId="1614" applyFont="1" applyBorder="1" applyAlignment="1">
      <alignment horizontal="left" vertical="center" wrapText="1"/>
    </xf>
    <xf numFmtId="0" fontId="48" fillId="0" borderId="21" xfId="1614" applyFont="1" applyBorder="1" applyAlignment="1">
      <alignment horizontal="center" vertical="center" wrapText="1"/>
    </xf>
    <xf numFmtId="0" fontId="50" fillId="0" borderId="21" xfId="1614" applyFont="1" applyBorder="1" applyAlignment="1">
      <alignment horizontal="center" vertical="center"/>
    </xf>
    <xf numFmtId="3" fontId="50" fillId="0" borderId="21" xfId="1614" applyNumberFormat="1" applyFont="1" applyBorder="1" applyAlignment="1">
      <alignment horizontal="center" vertical="center"/>
    </xf>
    <xf numFmtId="3" fontId="48" fillId="0" borderId="21" xfId="1614" applyNumberFormat="1" applyFont="1" applyBorder="1" applyAlignment="1">
      <alignment horizontal="center" vertical="center"/>
    </xf>
    <xf numFmtId="3" fontId="48" fillId="0" borderId="22" xfId="1614" applyNumberFormat="1" applyFont="1" applyBorder="1" applyAlignment="1">
      <alignment horizontal="center" vertical="center"/>
    </xf>
    <xf numFmtId="0" fontId="65" fillId="0" borderId="0" xfId="1614" applyFont="1" applyAlignment="1">
      <alignment horizontal="center" vertical="center"/>
    </xf>
    <xf numFmtId="3" fontId="48" fillId="0" borderId="0" xfId="1614" applyNumberFormat="1" applyFont="1" applyAlignment="1">
      <alignment horizontal="center" vertical="center"/>
    </xf>
    <xf numFmtId="3" fontId="65" fillId="0" borderId="0" xfId="1614" applyNumberFormat="1" applyFont="1" applyAlignment="1">
      <alignment horizontal="center" vertical="center"/>
    </xf>
    <xf numFmtId="0" fontId="65" fillId="0" borderId="0" xfId="1614" applyFont="1" applyAlignment="1">
      <alignment horizontal="center"/>
    </xf>
    <xf numFmtId="0" fontId="53" fillId="0" borderId="23" xfId="1614" applyFont="1" applyBorder="1" applyAlignment="1">
      <alignment horizontal="center" vertical="center"/>
    </xf>
    <xf numFmtId="0" fontId="53" fillId="0" borderId="24" xfId="1614" applyFont="1" applyBorder="1" applyAlignment="1">
      <alignment horizontal="left" vertical="center"/>
    </xf>
    <xf numFmtId="0" fontId="53" fillId="0" borderId="24" xfId="1614" applyFont="1" applyBorder="1" applyAlignment="1">
      <alignment vertical="center"/>
    </xf>
    <xf numFmtId="0" fontId="24" fillId="0" borderId="24" xfId="1614" applyFont="1" applyBorder="1" applyAlignment="1">
      <alignment horizontal="center" vertical="center"/>
    </xf>
    <xf numFmtId="3" fontId="48" fillId="0" borderId="24" xfId="1614" applyNumberFormat="1" applyFont="1" applyBorder="1" applyAlignment="1">
      <alignment horizontal="center" vertical="center"/>
    </xf>
    <xf numFmtId="3" fontId="48" fillId="0" borderId="25" xfId="1614" applyNumberFormat="1" applyFont="1" applyBorder="1" applyAlignment="1">
      <alignment horizontal="center" vertical="center"/>
    </xf>
    <xf numFmtId="0" fontId="115" fillId="0" borderId="26" xfId="1614" applyBorder="1" applyAlignment="1">
      <alignment horizontal="center" vertical="center"/>
    </xf>
    <xf numFmtId="37" fontId="115" fillId="0" borderId="27" xfId="1614" applyNumberFormat="1" applyBorder="1" applyAlignment="1">
      <alignment horizontal="center"/>
    </xf>
    <xf numFmtId="0" fontId="115" fillId="0" borderId="28" xfId="1614" applyBorder="1" applyAlignment="1">
      <alignment horizontal="center" vertical="center"/>
    </xf>
    <xf numFmtId="37" fontId="24" fillId="0" borderId="0" xfId="1614" applyNumberFormat="1" applyFont="1" applyAlignment="1">
      <alignment horizontal="center"/>
    </xf>
    <xf numFmtId="37" fontId="66" fillId="0" borderId="0" xfId="1614" applyNumberFormat="1" applyFont="1" applyAlignment="1">
      <alignment horizontal="center"/>
    </xf>
    <xf numFmtId="37" fontId="56" fillId="0" borderId="29" xfId="1614" applyNumberFormat="1" applyFont="1" applyBorder="1" applyAlignment="1">
      <alignment horizontal="center"/>
    </xf>
    <xf numFmtId="37" fontId="115" fillId="0" borderId="29" xfId="1614" applyNumberFormat="1" applyBorder="1" applyAlignment="1">
      <alignment horizontal="center"/>
    </xf>
    <xf numFmtId="37" fontId="66" fillId="0" borderId="30" xfId="1614" applyNumberFormat="1" applyFont="1" applyBorder="1" applyAlignment="1">
      <alignment horizontal="center"/>
    </xf>
    <xf numFmtId="0" fontId="55" fillId="0" borderId="0" xfId="1614" applyFont="1" applyAlignment="1">
      <alignment horizontal="center" vertical="center"/>
    </xf>
    <xf numFmtId="0" fontId="115" fillId="0" borderId="19" xfId="1614" applyBorder="1"/>
    <xf numFmtId="0" fontId="115" fillId="0" borderId="19" xfId="1614" applyBorder="1" applyAlignment="1">
      <alignment horizontal="right"/>
    </xf>
    <xf numFmtId="0" fontId="115" fillId="0" borderId="31" xfId="1614" applyBorder="1" applyAlignment="1">
      <alignment horizontal="right"/>
    </xf>
    <xf numFmtId="0" fontId="53" fillId="0" borderId="0" xfId="1614" applyFont="1" applyAlignment="1">
      <alignment horizontal="center" vertical="center"/>
    </xf>
    <xf numFmtId="0" fontId="53" fillId="0" borderId="0" xfId="1614" applyFont="1" applyAlignment="1">
      <alignment horizontal="left" vertical="center"/>
    </xf>
    <xf numFmtId="0" fontId="53" fillId="0" borderId="0" xfId="1614" applyFont="1" applyAlignment="1">
      <alignment vertical="center"/>
    </xf>
    <xf numFmtId="0" fontId="24" fillId="0" borderId="0" xfId="1614" applyFont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0" fontId="115" fillId="0" borderId="0" xfId="1652" applyAlignment="1">
      <alignment horizontal="right"/>
    </xf>
    <xf numFmtId="0" fontId="52" fillId="0" borderId="0" xfId="1614" applyFont="1" applyAlignment="1">
      <alignment vertical="center"/>
    </xf>
    <xf numFmtId="0" fontId="52" fillId="0" borderId="0" xfId="1614" applyFont="1" applyAlignment="1">
      <alignment horizontal="center"/>
    </xf>
    <xf numFmtId="0" fontId="95" fillId="0" borderId="0" xfId="1614" applyFont="1" applyAlignment="1">
      <alignment horizontal="center" vertical="center" wrapText="1"/>
    </xf>
    <xf numFmtId="0" fontId="56" fillId="0" borderId="20" xfId="1652" applyFont="1" applyBorder="1" applyAlignment="1">
      <alignment horizontal="center" vertical="center"/>
    </xf>
    <xf numFmtId="0" fontId="56" fillId="0" borderId="21" xfId="1652" applyFont="1" applyBorder="1" applyAlignment="1">
      <alignment vertical="center" wrapText="1"/>
    </xf>
    <xf numFmtId="37" fontId="56" fillId="0" borderId="27" xfId="1614" applyNumberFormat="1" applyFont="1" applyBorder="1" applyAlignment="1">
      <alignment horizontal="center"/>
    </xf>
    <xf numFmtId="37" fontId="66" fillId="0" borderId="32" xfId="1614" applyNumberFormat="1" applyFont="1" applyBorder="1" applyAlignment="1">
      <alignment horizontal="center"/>
    </xf>
    <xf numFmtId="0" fontId="24" fillId="0" borderId="21" xfId="1652" applyFont="1" applyBorder="1" applyAlignment="1">
      <alignment horizontal="center" vertical="center"/>
    </xf>
    <xf numFmtId="0" fontId="47" fillId="0" borderId="0" xfId="1448" applyFont="1" applyAlignment="1">
      <alignment horizontal="left" vertical="center"/>
    </xf>
    <xf numFmtId="0" fontId="57" fillId="0" borderId="0" xfId="1448" applyFont="1" applyAlignment="1">
      <alignment horizontal="left" wrapText="1"/>
    </xf>
    <xf numFmtId="3" fontId="64" fillId="0" borderId="0" xfId="1614" applyNumberFormat="1" applyFont="1" applyAlignment="1">
      <alignment horizontal="center"/>
    </xf>
    <xf numFmtId="0" fontId="56" fillId="0" borderId="0" xfId="1614" applyFont="1"/>
    <xf numFmtId="0" fontId="48" fillId="0" borderId="21" xfId="1448" applyFont="1" applyBorder="1" applyAlignment="1">
      <alignment horizontal="center" vertical="center"/>
    </xf>
    <xf numFmtId="0" fontId="48" fillId="0" borderId="21" xfId="1448" applyFont="1" applyBorder="1" applyAlignment="1">
      <alignment horizontal="left" wrapText="1"/>
    </xf>
    <xf numFmtId="0" fontId="57" fillId="0" borderId="21" xfId="1448" applyFont="1" applyBorder="1" applyAlignment="1">
      <alignment horizontal="center" wrapText="1"/>
    </xf>
    <xf numFmtId="0" fontId="48" fillId="0" borderId="21" xfId="1448" applyFont="1" applyBorder="1" applyAlignment="1">
      <alignment horizontal="center" vertical="center" wrapText="1"/>
    </xf>
    <xf numFmtId="3" fontId="48" fillId="0" borderId="21" xfId="1448" applyNumberFormat="1" applyFont="1" applyBorder="1" applyAlignment="1">
      <alignment horizontal="center" vertical="center" wrapText="1"/>
    </xf>
    <xf numFmtId="0" fontId="58" fillId="0" borderId="0" xfId="1448" applyFont="1" applyAlignment="1">
      <alignment horizontal="center" wrapText="1"/>
    </xf>
    <xf numFmtId="0" fontId="66" fillId="0" borderId="34" xfId="1614" applyFont="1" applyBorder="1" applyAlignment="1">
      <alignment vertical="center"/>
    </xf>
    <xf numFmtId="168" fontId="48" fillId="0" borderId="0" xfId="714" applyFont="1" applyFill="1" applyAlignment="1">
      <alignment horizontal="center" wrapText="1"/>
    </xf>
    <xf numFmtId="168" fontId="47" fillId="0" borderId="0" xfId="714" applyFont="1" applyFill="1" applyAlignment="1">
      <alignment horizontal="center" wrapText="1"/>
    </xf>
    <xf numFmtId="4" fontId="97" fillId="0" borderId="3" xfId="1448" applyNumberFormat="1" applyFont="1" applyBorder="1" applyAlignment="1">
      <alignment horizontal="center" vertical="center" wrapText="1"/>
    </xf>
    <xf numFmtId="0" fontId="48" fillId="0" borderId="0" xfId="1448" applyFont="1" applyAlignment="1">
      <alignment vertical="center" wrapText="1"/>
    </xf>
    <xf numFmtId="168" fontId="48" fillId="0" borderId="21" xfId="715" applyNumberFormat="1" applyFont="1" applyFill="1" applyBorder="1" applyAlignment="1">
      <alignment horizontal="center" vertical="center" wrapText="1"/>
    </xf>
    <xf numFmtId="168" fontId="48" fillId="0" borderId="21" xfId="714" applyFont="1" applyFill="1" applyBorder="1" applyAlignment="1">
      <alignment horizontal="center" vertical="center" wrapText="1"/>
    </xf>
    <xf numFmtId="168" fontId="48" fillId="0" borderId="33" xfId="714" applyFont="1" applyFill="1" applyBorder="1" applyAlignment="1">
      <alignment horizontal="center" vertical="center" wrapText="1"/>
    </xf>
    <xf numFmtId="43" fontId="47" fillId="0" borderId="0" xfId="1614" applyNumberFormat="1" applyFont="1" applyAlignment="1">
      <alignment horizontal="left" vertical="center"/>
    </xf>
    <xf numFmtId="37" fontId="115" fillId="0" borderId="0" xfId="1614" applyNumberFormat="1" applyAlignment="1">
      <alignment horizontal="center"/>
    </xf>
    <xf numFmtId="0" fontId="22" fillId="0" borderId="20" xfId="1652" applyFont="1" applyBorder="1" applyAlignment="1">
      <alignment horizontal="center" vertical="center"/>
    </xf>
    <xf numFmtId="0" fontId="22" fillId="0" borderId="21" xfId="1652" applyFont="1" applyBorder="1" applyAlignment="1">
      <alignment horizontal="center" vertical="center"/>
    </xf>
    <xf numFmtId="0" fontId="55" fillId="0" borderId="20" xfId="1652" applyFont="1" applyBorder="1" applyAlignment="1">
      <alignment horizontal="center" vertical="center"/>
    </xf>
    <xf numFmtId="0" fontId="55" fillId="0" borderId="21" xfId="1652" applyFont="1" applyBorder="1" applyAlignment="1">
      <alignment vertical="center" wrapText="1"/>
    </xf>
    <xf numFmtId="0" fontId="98" fillId="0" borderId="21" xfId="1614" applyFont="1" applyBorder="1" applyAlignment="1">
      <alignment horizontal="center" vertical="center" wrapText="1"/>
    </xf>
    <xf numFmtId="0" fontId="100" fillId="0" borderId="0" xfId="1652" applyFont="1" applyAlignment="1">
      <alignment horizontal="center" vertical="center"/>
    </xf>
    <xf numFmtId="0" fontId="56" fillId="0" borderId="0" xfId="1614" applyFont="1" applyAlignment="1">
      <alignment horizontal="left" vertical="center"/>
    </xf>
    <xf numFmtId="3" fontId="47" fillId="0" borderId="0" xfId="1614" applyNumberFormat="1" applyFont="1" applyAlignment="1">
      <alignment horizontal="left" vertical="center"/>
    </xf>
    <xf numFmtId="3" fontId="47" fillId="0" borderId="3" xfId="1448" applyNumberFormat="1" applyFont="1" applyBorder="1" applyAlignment="1">
      <alignment horizontal="center" vertical="center" wrapText="1"/>
    </xf>
    <xf numFmtId="0" fontId="48" fillId="0" borderId="21" xfId="1451" applyFont="1" applyBorder="1" applyAlignment="1">
      <alignment horizontal="left" vertical="center" wrapText="1"/>
    </xf>
    <xf numFmtId="0" fontId="60" fillId="0" borderId="18" xfId="1448" quotePrefix="1" applyFont="1" applyBorder="1" applyAlignment="1">
      <alignment horizontal="center" vertical="center" wrapText="1"/>
    </xf>
    <xf numFmtId="0" fontId="52" fillId="0" borderId="0" xfId="1505" applyFont="1"/>
    <xf numFmtId="0" fontId="64" fillId="0" borderId="0" xfId="1615" applyFont="1" applyAlignment="1">
      <alignment horizontal="center"/>
    </xf>
    <xf numFmtId="0" fontId="52" fillId="0" borderId="0" xfId="1615" applyFont="1" applyAlignment="1">
      <alignment horizontal="center" vertical="center"/>
    </xf>
    <xf numFmtId="0" fontId="47" fillId="0" borderId="0" xfId="1615" applyFont="1" applyAlignment="1">
      <alignment horizontal="left" vertical="center"/>
    </xf>
    <xf numFmtId="0" fontId="47" fillId="0" borderId="0" xfId="1615" applyFont="1" applyAlignment="1">
      <alignment vertical="center"/>
    </xf>
    <xf numFmtId="0" fontId="115" fillId="0" borderId="0" xfId="1615" applyAlignment="1">
      <alignment horizontal="center" vertical="center"/>
    </xf>
    <xf numFmtId="3" fontId="49" fillId="0" borderId="0" xfId="1615" applyNumberFormat="1" applyFont="1" applyAlignment="1">
      <alignment horizontal="center" vertical="center"/>
    </xf>
    <xf numFmtId="0" fontId="115" fillId="0" borderId="0" xfId="1615" applyAlignment="1">
      <alignment horizontal="center"/>
    </xf>
    <xf numFmtId="43" fontId="47" fillId="0" borderId="0" xfId="1615" applyNumberFormat="1" applyFont="1" applyAlignment="1">
      <alignment horizontal="left" vertical="center"/>
    </xf>
    <xf numFmtId="43" fontId="56" fillId="0" borderId="0" xfId="1653" applyNumberFormat="1" applyFont="1" applyAlignment="1">
      <alignment horizontal="left" vertical="center"/>
    </xf>
    <xf numFmtId="0" fontId="100" fillId="0" borderId="0" xfId="1653" applyFont="1" applyAlignment="1">
      <alignment horizontal="center" vertical="center"/>
    </xf>
    <xf numFmtId="0" fontId="48" fillId="0" borderId="35" xfId="1615" applyFont="1" applyBorder="1" applyAlignment="1">
      <alignment horizontal="center" vertical="center"/>
    </xf>
    <xf numFmtId="0" fontId="48" fillId="0" borderId="35" xfId="1615" applyFont="1" applyBorder="1" applyAlignment="1">
      <alignment horizontal="left" vertical="center" wrapText="1"/>
    </xf>
    <xf numFmtId="0" fontId="48" fillId="0" borderId="35" xfId="1615" applyFont="1" applyBorder="1" applyAlignment="1">
      <alignment horizontal="center" vertical="center" wrapText="1"/>
    </xf>
    <xf numFmtId="0" fontId="50" fillId="0" borderId="35" xfId="1615" applyFont="1" applyBorder="1" applyAlignment="1">
      <alignment horizontal="center" vertical="center"/>
    </xf>
    <xf numFmtId="0" fontId="17" fillId="0" borderId="35" xfId="1653" applyFont="1" applyBorder="1" applyAlignment="1">
      <alignment horizontal="center" vertical="center"/>
    </xf>
    <xf numFmtId="3" fontId="50" fillId="0" borderId="35" xfId="1615" applyNumberFormat="1" applyFont="1" applyBorder="1" applyAlignment="1">
      <alignment horizontal="center" vertical="center"/>
    </xf>
    <xf numFmtId="3" fontId="48" fillId="0" borderId="35" xfId="1615" applyNumberFormat="1" applyFont="1" applyBorder="1" applyAlignment="1">
      <alignment horizontal="center" vertical="center"/>
    </xf>
    <xf numFmtId="0" fontId="17" fillId="0" borderId="0" xfId="1615" applyFont="1" applyAlignment="1">
      <alignment horizontal="center"/>
    </xf>
    <xf numFmtId="0" fontId="56" fillId="0" borderId="21" xfId="1653" applyFont="1" applyBorder="1" applyAlignment="1">
      <alignment horizontal="center" vertical="center"/>
    </xf>
    <xf numFmtId="0" fontId="56" fillId="0" borderId="21" xfId="1653" applyFont="1" applyBorder="1" applyAlignment="1">
      <alignment vertical="center" wrapText="1"/>
    </xf>
    <xf numFmtId="0" fontId="48" fillId="0" borderId="21" xfId="1615" applyFont="1" applyBorder="1" applyAlignment="1">
      <alignment horizontal="center" vertical="center" wrapText="1"/>
    </xf>
    <xf numFmtId="0" fontId="50" fillId="0" borderId="21" xfId="1615" applyFont="1" applyBorder="1" applyAlignment="1">
      <alignment horizontal="center" vertical="center"/>
    </xf>
    <xf numFmtId="0" fontId="17" fillId="0" borderId="21" xfId="1653" applyFont="1" applyBorder="1" applyAlignment="1">
      <alignment horizontal="center" vertical="center"/>
    </xf>
    <xf numFmtId="3" fontId="50" fillId="0" borderId="21" xfId="1615" applyNumberFormat="1" applyFont="1" applyBorder="1" applyAlignment="1">
      <alignment horizontal="center" vertical="center"/>
    </xf>
    <xf numFmtId="3" fontId="48" fillId="0" borderId="21" xfId="1615" applyNumberFormat="1" applyFont="1" applyBorder="1" applyAlignment="1">
      <alignment horizontal="center" vertical="center"/>
    </xf>
    <xf numFmtId="0" fontId="65" fillId="0" borderId="0" xfId="1615" applyFont="1" applyAlignment="1">
      <alignment horizontal="center"/>
    </xf>
    <xf numFmtId="3" fontId="17" fillId="0" borderId="21" xfId="1653" applyNumberFormat="1" applyFont="1" applyBorder="1" applyAlignment="1">
      <alignment horizontal="center" vertical="center"/>
    </xf>
    <xf numFmtId="0" fontId="52" fillId="0" borderId="0" xfId="1615" applyFont="1" applyAlignment="1">
      <alignment vertical="center"/>
    </xf>
    <xf numFmtId="0" fontId="52" fillId="0" borderId="33" xfId="1615" applyFont="1" applyBorder="1" applyAlignment="1">
      <alignment horizontal="center" vertical="center"/>
    </xf>
    <xf numFmtId="0" fontId="52" fillId="0" borderId="33" xfId="1615" applyFont="1" applyBorder="1" applyAlignment="1">
      <alignment vertical="center"/>
    </xf>
    <xf numFmtId="0" fontId="115" fillId="0" borderId="33" xfId="1615" applyBorder="1" applyAlignment="1">
      <alignment horizontal="center" vertical="center"/>
    </xf>
    <xf numFmtId="3" fontId="49" fillId="0" borderId="33" xfId="1615" applyNumberFormat="1" applyFont="1" applyBorder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99" fillId="0" borderId="0" xfId="1448" applyFont="1" applyAlignment="1">
      <alignment horizontal="center" wrapText="1"/>
    </xf>
    <xf numFmtId="0" fontId="54" fillId="0" borderId="0" xfId="1614" applyFont="1" applyAlignment="1">
      <alignment vertical="center"/>
    </xf>
    <xf numFmtId="0" fontId="64" fillId="0" borderId="0" xfId="1614" applyFont="1" applyAlignment="1">
      <alignment horizontal="center" vertical="center"/>
    </xf>
    <xf numFmtId="0" fontId="64" fillId="0" borderId="0" xfId="1614" applyFont="1" applyAlignment="1">
      <alignment vertical="center"/>
    </xf>
    <xf numFmtId="3" fontId="104" fillId="0" borderId="0" xfId="1614" applyNumberFormat="1" applyFont="1" applyAlignment="1">
      <alignment horizontal="center" vertical="center"/>
    </xf>
    <xf numFmtId="0" fontId="104" fillId="0" borderId="0" xfId="1614" applyFont="1" applyAlignment="1">
      <alignment horizontal="center" vertical="center"/>
    </xf>
    <xf numFmtId="0" fontId="23" fillId="0" borderId="0" xfId="1614" applyFont="1" applyAlignment="1">
      <alignment horizontal="center"/>
    </xf>
    <xf numFmtId="0" fontId="95" fillId="0" borderId="0" xfId="1614" applyFont="1" applyAlignment="1">
      <alignment horizontal="center" vertical="center"/>
    </xf>
    <xf numFmtId="0" fontId="95" fillId="0" borderId="0" xfId="1614" applyFont="1" applyAlignment="1">
      <alignment vertical="center"/>
    </xf>
    <xf numFmtId="206" fontId="48" fillId="0" borderId="21" xfId="2549" applyNumberFormat="1" applyFont="1" applyFill="1" applyBorder="1" applyAlignment="1">
      <alignment horizontal="center" vertical="center" wrapText="1"/>
    </xf>
    <xf numFmtId="0" fontId="98" fillId="0" borderId="0" xfId="1448" applyFont="1" applyAlignment="1">
      <alignment horizontal="center" wrapText="1"/>
    </xf>
    <xf numFmtId="0" fontId="99" fillId="0" borderId="0" xfId="1448" applyFont="1" applyAlignment="1">
      <alignment wrapText="1"/>
    </xf>
    <xf numFmtId="0" fontId="106" fillId="0" borderId="0" xfId="1448" applyFont="1" applyAlignment="1">
      <alignment horizontal="center" wrapText="1"/>
    </xf>
    <xf numFmtId="0" fontId="105" fillId="0" borderId="0" xfId="1448" applyFont="1" applyAlignment="1">
      <alignment horizontal="center" wrapText="1"/>
    </xf>
    <xf numFmtId="0" fontId="105" fillId="0" borderId="0" xfId="1448" applyFont="1" applyAlignment="1">
      <alignment horizontal="center" vertical="center" wrapText="1"/>
    </xf>
    <xf numFmtId="0" fontId="98" fillId="0" borderId="0" xfId="1448" applyFont="1" applyAlignment="1">
      <alignment horizontal="center" vertical="center" wrapText="1"/>
    </xf>
    <xf numFmtId="0" fontId="99" fillId="0" borderId="0" xfId="1448" applyFont="1" applyAlignment="1">
      <alignment horizontal="center" vertical="center" wrapText="1"/>
    </xf>
    <xf numFmtId="0" fontId="98" fillId="0" borderId="0" xfId="1448" applyFont="1" applyAlignment="1">
      <alignment horizontal="center"/>
    </xf>
    <xf numFmtId="0" fontId="98" fillId="0" borderId="0" xfId="1448" applyFont="1" applyAlignment="1">
      <alignment horizontal="center" vertical="center"/>
    </xf>
    <xf numFmtId="0" fontId="98" fillId="0" borderId="0" xfId="1448" applyFont="1" applyAlignment="1">
      <alignment vertical="center" wrapText="1"/>
    </xf>
    <xf numFmtId="0" fontId="98" fillId="0" borderId="0" xfId="527" applyNumberFormat="1" applyFont="1" applyFill="1" applyBorder="1" applyAlignment="1">
      <alignment horizontal="center" wrapText="1"/>
    </xf>
    <xf numFmtId="41" fontId="99" fillId="0" borderId="0" xfId="1448" applyNumberFormat="1" applyFont="1" applyAlignment="1">
      <alignment wrapText="1"/>
    </xf>
    <xf numFmtId="41" fontId="99" fillId="0" borderId="0" xfId="527" applyNumberFormat="1" applyFont="1" applyFill="1" applyAlignment="1">
      <alignment wrapText="1"/>
    </xf>
    <xf numFmtId="0" fontId="99" fillId="0" borderId="0" xfId="1448" applyFont="1" applyAlignment="1">
      <alignment vertical="top" wrapText="1"/>
    </xf>
    <xf numFmtId="0" fontId="98" fillId="0" borderId="0" xfId="527" applyNumberFormat="1" applyFont="1" applyFill="1" applyAlignment="1">
      <alignment horizontal="center" wrapText="1"/>
    </xf>
    <xf numFmtId="0" fontId="99" fillId="0" borderId="0" xfId="527" applyNumberFormat="1" applyFont="1" applyFill="1" applyAlignment="1">
      <alignment horizontal="center" wrapText="1"/>
    </xf>
    <xf numFmtId="168" fontId="48" fillId="0" borderId="21" xfId="717" applyNumberFormat="1" applyFont="1" applyFill="1" applyBorder="1" applyAlignment="1" applyProtection="1">
      <alignment horizontal="center" vertical="center" wrapText="1"/>
    </xf>
    <xf numFmtId="41" fontId="48" fillId="0" borderId="21" xfId="1451" applyNumberFormat="1" applyFont="1" applyBorder="1" applyAlignment="1">
      <alignment horizontal="center" vertical="center" wrapText="1"/>
    </xf>
    <xf numFmtId="168" fontId="60" fillId="0" borderId="21" xfId="717" applyNumberFormat="1" applyFont="1" applyFill="1" applyBorder="1" applyAlignment="1" applyProtection="1">
      <alignment horizontal="center" vertical="center" wrapText="1"/>
    </xf>
    <xf numFmtId="0" fontId="48" fillId="0" borderId="21" xfId="1451" applyFont="1" applyBorder="1" applyAlignment="1">
      <alignment horizontal="center" vertical="center" wrapText="1"/>
    </xf>
    <xf numFmtId="168" fontId="48" fillId="0" borderId="21" xfId="728" applyFont="1" applyFill="1" applyBorder="1" applyAlignment="1" applyProtection="1">
      <alignment horizontal="center" vertical="center" wrapText="1"/>
    </xf>
    <xf numFmtId="3" fontId="48" fillId="0" borderId="21" xfId="1450" applyNumberFormat="1" applyFont="1" applyBorder="1" applyAlignment="1">
      <alignment horizontal="center" vertical="center" wrapText="1"/>
    </xf>
    <xf numFmtId="168" fontId="48" fillId="0" borderId="21" xfId="728" applyFont="1" applyFill="1" applyBorder="1" applyAlignment="1">
      <alignment horizontal="center" vertical="center" wrapText="1"/>
    </xf>
    <xf numFmtId="0" fontId="125" fillId="0" borderId="26" xfId="1451" applyFont="1" applyBorder="1"/>
    <xf numFmtId="0" fontId="125" fillId="0" borderId="36" xfId="1451" applyFont="1" applyBorder="1"/>
    <xf numFmtId="0" fontId="125" fillId="0" borderId="47" xfId="1451" applyFont="1" applyBorder="1"/>
    <xf numFmtId="0" fontId="125" fillId="0" borderId="28" xfId="1451" applyFont="1" applyBorder="1"/>
    <xf numFmtId="0" fontId="125" fillId="0" borderId="37" xfId="1451" applyFont="1" applyBorder="1"/>
    <xf numFmtId="0" fontId="120" fillId="0" borderId="37" xfId="1451" applyFont="1" applyBorder="1" applyAlignment="1">
      <alignment vertical="center"/>
    </xf>
    <xf numFmtId="0" fontId="125" fillId="0" borderId="34" xfId="1451" applyFont="1" applyBorder="1"/>
    <xf numFmtId="0" fontId="125" fillId="0" borderId="19" xfId="1451" applyFont="1" applyBorder="1"/>
    <xf numFmtId="0" fontId="120" fillId="0" borderId="19" xfId="1451" applyFont="1" applyBorder="1" applyAlignment="1">
      <alignment vertical="center"/>
    </xf>
    <xf numFmtId="0" fontId="120" fillId="0" borderId="19" xfId="1451" applyFont="1" applyBorder="1" applyAlignment="1">
      <alignment horizontal="center" vertical="center"/>
    </xf>
    <xf numFmtId="0" fontId="120" fillId="0" borderId="31" xfId="1451" applyFont="1" applyBorder="1" applyAlignment="1">
      <alignment vertical="center"/>
    </xf>
    <xf numFmtId="0" fontId="47" fillId="0" borderId="3" xfId="1448" applyFont="1" applyBorder="1" applyAlignment="1">
      <alignment horizontal="center" vertical="center"/>
    </xf>
    <xf numFmtId="0" fontId="47" fillId="0" borderId="3" xfId="1448" applyFont="1" applyBorder="1" applyAlignment="1">
      <alignment horizontal="left" vertical="center" wrapText="1"/>
    </xf>
    <xf numFmtId="0" fontId="47" fillId="0" borderId="3" xfId="1448" applyFont="1" applyBorder="1" applyAlignment="1">
      <alignment horizontal="center" vertical="center" wrapText="1"/>
    </xf>
    <xf numFmtId="168" fontId="47" fillId="0" borderId="3" xfId="715" applyNumberFormat="1" applyFont="1" applyFill="1" applyBorder="1" applyAlignment="1">
      <alignment horizontal="center" vertical="center" wrapText="1"/>
    </xf>
    <xf numFmtId="3" fontId="134" fillId="32" borderId="3" xfId="1448" applyNumberFormat="1" applyFont="1" applyFill="1" applyBorder="1" applyAlignment="1">
      <alignment horizontal="center" vertical="center" wrapText="1"/>
    </xf>
    <xf numFmtId="0" fontId="48" fillId="0" borderId="21" xfId="1451" applyFont="1" applyBorder="1" applyAlignment="1">
      <alignment horizontal="center" vertical="center"/>
    </xf>
    <xf numFmtId="0" fontId="140" fillId="0" borderId="21" xfId="1451" applyFont="1" applyBorder="1" applyAlignment="1">
      <alignment horizontal="left" vertical="center" wrapText="1"/>
    </xf>
    <xf numFmtId="0" fontId="48" fillId="33" borderId="21" xfId="1451" applyFont="1" applyFill="1" applyBorder="1" applyAlignment="1">
      <alignment horizontal="left" vertical="center" wrapText="1"/>
    </xf>
    <xf numFmtId="0" fontId="48" fillId="0" borderId="21" xfId="1451" applyFont="1" applyBorder="1" applyAlignment="1">
      <alignment horizontal="left" wrapText="1"/>
    </xf>
    <xf numFmtId="0" fontId="48" fillId="0" borderId="21" xfId="1450" applyFont="1" applyBorder="1" applyAlignment="1">
      <alignment horizontal="center" vertical="center"/>
    </xf>
    <xf numFmtId="0" fontId="48" fillId="0" borderId="21" xfId="1450" applyFont="1" applyBorder="1" applyAlignment="1">
      <alignment horizontal="left" wrapText="1"/>
    </xf>
    <xf numFmtId="0" fontId="118" fillId="0" borderId="21" xfId="1615" applyFont="1" applyBorder="1" applyAlignment="1">
      <alignment vertical="top" wrapText="1"/>
    </xf>
    <xf numFmtId="43" fontId="133" fillId="0" borderId="0" xfId="523" applyFont="1" applyFill="1" applyAlignment="1">
      <alignment horizontal="left" wrapText="1"/>
    </xf>
    <xf numFmtId="0" fontId="12" fillId="0" borderId="0" xfId="2673" applyAlignment="1">
      <alignment vertical="center" wrapText="1"/>
    </xf>
    <xf numFmtId="0" fontId="12" fillId="0" borderId="0" xfId="2673" applyAlignment="1">
      <alignment horizontal="center" vertical="center" wrapText="1"/>
    </xf>
    <xf numFmtId="0" fontId="12" fillId="0" borderId="28" xfId="2673" applyBorder="1" applyAlignment="1">
      <alignment vertical="center" wrapText="1"/>
    </xf>
    <xf numFmtId="0" fontId="138" fillId="0" borderId="0" xfId="2673" applyFont="1" applyAlignment="1">
      <alignment vertical="center" wrapText="1"/>
    </xf>
    <xf numFmtId="0" fontId="101" fillId="0" borderId="0" xfId="2673" applyFont="1" applyAlignment="1">
      <alignment vertical="center" wrapText="1"/>
    </xf>
    <xf numFmtId="2" fontId="109" fillId="0" borderId="0" xfId="2673" applyNumberFormat="1" applyFont="1" applyAlignment="1">
      <alignment horizontal="center" vertical="center" wrapText="1"/>
    </xf>
    <xf numFmtId="0" fontId="111" fillId="0" borderId="0" xfId="2673" applyFont="1" applyAlignment="1">
      <alignment horizontal="center" vertical="center" wrapText="1"/>
    </xf>
    <xf numFmtId="0" fontId="138" fillId="0" borderId="28" xfId="2673" applyFont="1" applyBorder="1" applyAlignment="1">
      <alignment vertical="center" wrapText="1"/>
    </xf>
    <xf numFmtId="0" fontId="14" fillId="0" borderId="21" xfId="1615" applyFont="1" applyBorder="1" applyAlignment="1">
      <alignment horizontal="center" vertical="center"/>
    </xf>
    <xf numFmtId="0" fontId="125" fillId="33" borderId="0" xfId="1451" applyFont="1" applyFill="1"/>
    <xf numFmtId="0" fontId="125" fillId="33" borderId="26" xfId="1451" applyFont="1" applyFill="1" applyBorder="1"/>
    <xf numFmtId="0" fontId="125" fillId="33" borderId="36" xfId="1451" applyFont="1" applyFill="1" applyBorder="1"/>
    <xf numFmtId="0" fontId="125" fillId="33" borderId="47" xfId="1451" applyFont="1" applyFill="1" applyBorder="1"/>
    <xf numFmtId="0" fontId="125" fillId="33" borderId="28" xfId="1451" applyFont="1" applyFill="1" applyBorder="1"/>
    <xf numFmtId="0" fontId="125" fillId="33" borderId="37" xfId="1451" applyFont="1" applyFill="1" applyBorder="1"/>
    <xf numFmtId="0" fontId="126" fillId="33" borderId="0" xfId="1451" applyFont="1" applyFill="1" applyAlignment="1">
      <alignment vertical="center"/>
    </xf>
    <xf numFmtId="0" fontId="127" fillId="33" borderId="0" xfId="1451" applyFont="1" applyFill="1" applyAlignment="1">
      <alignment vertical="center"/>
    </xf>
    <xf numFmtId="0" fontId="128" fillId="33" borderId="0" xfId="1451" applyFont="1" applyFill="1" applyAlignment="1">
      <alignment horizontal="center" vertical="center"/>
    </xf>
    <xf numFmtId="0" fontId="129" fillId="33" borderId="0" xfId="1451" applyFont="1" applyFill="1"/>
    <xf numFmtId="0" fontId="130" fillId="33" borderId="0" xfId="1451" applyFont="1" applyFill="1"/>
    <xf numFmtId="0" fontId="120" fillId="33" borderId="0" xfId="1451" applyFont="1" applyFill="1" applyAlignment="1">
      <alignment vertical="center"/>
    </xf>
    <xf numFmtId="0" fontId="120" fillId="33" borderId="37" xfId="1451" applyFont="1" applyFill="1" applyBorder="1" applyAlignment="1">
      <alignment vertical="center"/>
    </xf>
    <xf numFmtId="0" fontId="130" fillId="33" borderId="0" xfId="1451" applyFont="1" applyFill="1" applyAlignment="1">
      <alignment horizontal="center"/>
    </xf>
    <xf numFmtId="0" fontId="120" fillId="33" borderId="0" xfId="1451" applyFont="1" applyFill="1" applyAlignment="1">
      <alignment horizontal="center" vertical="center"/>
    </xf>
    <xf numFmtId="0" fontId="120" fillId="33" borderId="37" xfId="1451" applyFont="1" applyFill="1" applyBorder="1" applyAlignment="1">
      <alignment horizontal="center" vertical="center"/>
    </xf>
    <xf numFmtId="0" fontId="131" fillId="33" borderId="0" xfId="1451" applyFont="1" applyFill="1" applyAlignment="1">
      <alignment vertical="center"/>
    </xf>
    <xf numFmtId="0" fontId="131" fillId="33" borderId="37" xfId="1451" applyFont="1" applyFill="1" applyBorder="1" applyAlignment="1">
      <alignment vertical="center"/>
    </xf>
    <xf numFmtId="0" fontId="125" fillId="33" borderId="34" xfId="1451" applyFont="1" applyFill="1" applyBorder="1"/>
    <xf numFmtId="0" fontId="125" fillId="33" borderId="19" xfId="1451" applyFont="1" applyFill="1" applyBorder="1"/>
    <xf numFmtId="0" fontId="120" fillId="33" borderId="19" xfId="1451" applyFont="1" applyFill="1" applyBorder="1" applyAlignment="1">
      <alignment vertical="center"/>
    </xf>
    <xf numFmtId="0" fontId="120" fillId="33" borderId="19" xfId="1451" applyFont="1" applyFill="1" applyBorder="1" applyAlignment="1">
      <alignment horizontal="center" vertical="center"/>
    </xf>
    <xf numFmtId="0" fontId="120" fillId="33" borderId="31" xfId="1451" applyFont="1" applyFill="1" applyBorder="1" applyAlignment="1">
      <alignment vertical="center"/>
    </xf>
    <xf numFmtId="0" fontId="125" fillId="33" borderId="31" xfId="1451" applyFont="1" applyFill="1" applyBorder="1"/>
    <xf numFmtId="0" fontId="119" fillId="33" borderId="0" xfId="0" applyFont="1" applyFill="1" applyAlignment="1">
      <alignment horizontal="center"/>
    </xf>
    <xf numFmtId="0" fontId="119" fillId="33" borderId="26" xfId="0" applyFont="1" applyFill="1" applyBorder="1" applyAlignment="1">
      <alignment horizontal="center"/>
    </xf>
    <xf numFmtId="0" fontId="119" fillId="33" borderId="36" xfId="0" applyFont="1" applyFill="1" applyBorder="1" applyAlignment="1">
      <alignment horizontal="center"/>
    </xf>
    <xf numFmtId="0" fontId="119" fillId="33" borderId="28" xfId="0" applyFont="1" applyFill="1" applyBorder="1" applyAlignment="1">
      <alignment horizontal="center"/>
    </xf>
    <xf numFmtId="0" fontId="120" fillId="33" borderId="18" xfId="0" applyFont="1" applyFill="1" applyBorder="1" applyAlignment="1">
      <alignment horizontal="left"/>
    </xf>
    <xf numFmtId="0" fontId="119" fillId="33" borderId="37" xfId="0" applyFont="1" applyFill="1" applyBorder="1" applyAlignment="1">
      <alignment horizontal="center"/>
    </xf>
    <xf numFmtId="0" fontId="119" fillId="33" borderId="3" xfId="0" applyFont="1" applyFill="1" applyBorder="1" applyAlignment="1">
      <alignment horizontal="center"/>
    </xf>
    <xf numFmtId="0" fontId="141" fillId="33" borderId="0" xfId="0" applyFont="1" applyFill="1" applyAlignment="1">
      <alignment horizontal="center"/>
    </xf>
    <xf numFmtId="0" fontId="121" fillId="33" borderId="28" xfId="0" applyFont="1" applyFill="1" applyBorder="1" applyAlignment="1">
      <alignment horizontal="center"/>
    </xf>
    <xf numFmtId="0" fontId="121" fillId="33" borderId="0" xfId="0" applyFont="1" applyFill="1" applyAlignment="1">
      <alignment horizontal="center"/>
    </xf>
    <xf numFmtId="0" fontId="119" fillId="33" borderId="38" xfId="0" applyFont="1" applyFill="1" applyBorder="1" applyAlignment="1">
      <alignment horizontal="center"/>
    </xf>
    <xf numFmtId="0" fontId="96" fillId="33" borderId="40" xfId="0" applyFont="1" applyFill="1" applyBorder="1" applyAlignment="1">
      <alignment horizontal="center" vertical="center"/>
    </xf>
    <xf numFmtId="0" fontId="119" fillId="33" borderId="3" xfId="0" applyFont="1" applyFill="1" applyBorder="1" applyAlignment="1">
      <alignment horizontal="center" vertical="center"/>
    </xf>
    <xf numFmtId="0" fontId="119" fillId="33" borderId="39" xfId="0" applyFont="1" applyFill="1" applyBorder="1" applyAlignment="1">
      <alignment horizontal="center" vertical="center"/>
    </xf>
    <xf numFmtId="0" fontId="122" fillId="33" borderId="0" xfId="0" applyFont="1" applyFill="1" applyAlignment="1">
      <alignment horizontal="center"/>
    </xf>
    <xf numFmtId="0" fontId="96" fillId="33" borderId="67" xfId="0" applyFont="1" applyFill="1" applyBorder="1" applyAlignment="1">
      <alignment horizontal="center" vertical="center"/>
    </xf>
    <xf numFmtId="0" fontId="119" fillId="33" borderId="3" xfId="0" applyFont="1" applyFill="1" applyBorder="1" applyAlignment="1">
      <alignment vertical="top" wrapText="1"/>
    </xf>
    <xf numFmtId="0" fontId="119" fillId="33" borderId="39" xfId="0" applyFont="1" applyFill="1" applyBorder="1" applyAlignment="1">
      <alignment vertical="top" wrapText="1"/>
    </xf>
    <xf numFmtId="0" fontId="123" fillId="33" borderId="68" xfId="0" applyFont="1" applyFill="1" applyBorder="1" applyAlignment="1">
      <alignment horizontal="center" vertical="center"/>
    </xf>
    <xf numFmtId="49" fontId="119" fillId="33" borderId="7" xfId="0" applyNumberFormat="1" applyFont="1" applyFill="1" applyBorder="1" applyAlignment="1">
      <alignment horizontal="center" vertical="top" wrapText="1"/>
    </xf>
    <xf numFmtId="49" fontId="119" fillId="33" borderId="41" xfId="0" applyNumberFormat="1" applyFont="1" applyFill="1" applyBorder="1" applyAlignment="1">
      <alignment horizontal="center" vertical="top" wrapText="1"/>
    </xf>
    <xf numFmtId="0" fontId="123" fillId="33" borderId="69" xfId="0" applyFont="1" applyFill="1" applyBorder="1" applyAlignment="1">
      <alignment horizontal="center" vertical="center"/>
    </xf>
    <xf numFmtId="0" fontId="119" fillId="33" borderId="7" xfId="0" applyFont="1" applyFill="1" applyBorder="1" applyAlignment="1">
      <alignment horizontal="center" vertical="top" wrapText="1"/>
    </xf>
    <xf numFmtId="0" fontId="119" fillId="33" borderId="41" xfId="0" applyFont="1" applyFill="1" applyBorder="1" applyAlignment="1">
      <alignment horizontal="center" vertical="top" wrapText="1"/>
    </xf>
    <xf numFmtId="0" fontId="124" fillId="33" borderId="70" xfId="0" applyFont="1" applyFill="1" applyBorder="1" applyAlignment="1">
      <alignment horizontal="center" vertical="top" wrapText="1"/>
    </xf>
    <xf numFmtId="0" fontId="124" fillId="33" borderId="71" xfId="0" applyFont="1" applyFill="1" applyBorder="1" applyAlignment="1">
      <alignment horizontal="center" vertical="top" wrapText="1"/>
    </xf>
    <xf numFmtId="0" fontId="119" fillId="33" borderId="0" xfId="0" applyFont="1" applyFill="1" applyAlignment="1">
      <alignment vertical="top" wrapText="1"/>
    </xf>
    <xf numFmtId="0" fontId="119" fillId="33" borderId="37" xfId="0" applyFont="1" applyFill="1" applyBorder="1" applyAlignment="1">
      <alignment vertical="top" wrapText="1"/>
    </xf>
    <xf numFmtId="0" fontId="119" fillId="33" borderId="42" xfId="0" applyFont="1" applyFill="1" applyBorder="1" applyAlignment="1">
      <alignment horizontal="center"/>
    </xf>
    <xf numFmtId="0" fontId="119" fillId="33" borderId="43" xfId="0" applyFont="1" applyFill="1" applyBorder="1" applyAlignment="1">
      <alignment vertical="top" wrapText="1"/>
    </xf>
    <xf numFmtId="0" fontId="119" fillId="33" borderId="44" xfId="0" applyFont="1" applyFill="1" applyBorder="1" applyAlignment="1">
      <alignment vertical="top" wrapText="1"/>
    </xf>
    <xf numFmtId="0" fontId="119" fillId="33" borderId="45" xfId="0" applyFont="1" applyFill="1" applyBorder="1" applyAlignment="1">
      <alignment vertical="top" wrapText="1"/>
    </xf>
    <xf numFmtId="0" fontId="124" fillId="33" borderId="28" xfId="0" applyFont="1" applyFill="1" applyBorder="1" applyAlignment="1">
      <alignment horizontal="center"/>
    </xf>
    <xf numFmtId="0" fontId="124" fillId="33" borderId="0" xfId="0" applyFont="1" applyFill="1" applyAlignment="1">
      <alignment horizontal="center"/>
    </xf>
    <xf numFmtId="0" fontId="119" fillId="33" borderId="39" xfId="0" applyFont="1" applyFill="1" applyBorder="1" applyAlignment="1">
      <alignment horizontal="center"/>
    </xf>
    <xf numFmtId="20" fontId="119" fillId="33" borderId="39" xfId="0" applyNumberFormat="1" applyFont="1" applyFill="1" applyBorder="1" applyAlignment="1">
      <alignment horizontal="center"/>
    </xf>
    <xf numFmtId="0" fontId="119" fillId="33" borderId="42" xfId="0" applyFont="1" applyFill="1" applyBorder="1" applyAlignment="1">
      <alignment horizontal="center" vertical="center" wrapText="1"/>
    </xf>
    <xf numFmtId="0" fontId="124" fillId="33" borderId="34" xfId="0" applyFont="1" applyFill="1" applyBorder="1" applyAlignment="1">
      <alignment horizontal="center"/>
    </xf>
    <xf numFmtId="0" fontId="124" fillId="33" borderId="19" xfId="0" applyFont="1" applyFill="1" applyBorder="1" applyAlignment="1">
      <alignment horizontal="center"/>
    </xf>
    <xf numFmtId="0" fontId="119" fillId="33" borderId="19" xfId="0" applyFont="1" applyFill="1" applyBorder="1" applyAlignment="1">
      <alignment horizontal="center"/>
    </xf>
    <xf numFmtId="0" fontId="119" fillId="33" borderId="46" xfId="0" applyFont="1" applyFill="1" applyBorder="1" applyAlignment="1">
      <alignment horizontal="center"/>
    </xf>
    <xf numFmtId="0" fontId="151" fillId="0" borderId="7" xfId="2673" applyFont="1" applyBorder="1" applyAlignment="1">
      <alignment horizontal="center" vertical="center" wrapText="1"/>
    </xf>
    <xf numFmtId="0" fontId="101" fillId="0" borderId="0" xfId="2673" applyFont="1" applyAlignment="1">
      <alignment horizontal="left" vertical="center" wrapText="1"/>
    </xf>
    <xf numFmtId="0" fontId="57" fillId="0" borderId="21" xfId="1450" applyFont="1" applyBorder="1" applyAlignment="1">
      <alignment horizontal="center" wrapText="1"/>
    </xf>
    <xf numFmtId="0" fontId="48" fillId="0" borderId="21" xfId="1450" applyFont="1" applyBorder="1" applyAlignment="1">
      <alignment horizontal="center" vertical="center" wrapText="1"/>
    </xf>
    <xf numFmtId="3" fontId="48" fillId="0" borderId="21" xfId="1451" applyNumberFormat="1" applyFont="1" applyBorder="1" applyAlignment="1">
      <alignment horizontal="center" vertical="center" wrapText="1"/>
    </xf>
    <xf numFmtId="41" fontId="48" fillId="0" borderId="21" xfId="1450" applyNumberFormat="1" applyFont="1" applyBorder="1" applyAlignment="1">
      <alignment horizontal="center" vertical="center" wrapText="1"/>
    </xf>
    <xf numFmtId="3" fontId="48" fillId="0" borderId="0" xfId="1451" applyNumberFormat="1" applyFont="1" applyAlignment="1">
      <alignment horizontal="center" vertical="center" wrapText="1"/>
    </xf>
    <xf numFmtId="0" fontId="25" fillId="0" borderId="0" xfId="1649"/>
    <xf numFmtId="3" fontId="140" fillId="0" borderId="21" xfId="1451" applyNumberFormat="1" applyFont="1" applyBorder="1" applyAlignment="1">
      <alignment horizontal="center" vertical="center" wrapText="1"/>
    </xf>
    <xf numFmtId="3" fontId="14" fillId="0" borderId="21" xfId="1615" applyNumberFormat="1" applyFont="1" applyBorder="1" applyAlignment="1">
      <alignment horizontal="center" vertical="center"/>
    </xf>
    <xf numFmtId="0" fontId="13" fillId="0" borderId="0" xfId="2670" applyAlignment="1">
      <alignment horizontal="center" vertical="center"/>
    </xf>
    <xf numFmtId="0" fontId="147" fillId="36" borderId="0" xfId="2670" applyFont="1" applyFill="1" applyAlignment="1">
      <alignment horizontal="left" vertical="center"/>
    </xf>
    <xf numFmtId="0" fontId="147" fillId="36" borderId="0" xfId="2670" applyFont="1" applyFill="1" applyAlignment="1">
      <alignment horizontal="center" vertical="center"/>
    </xf>
    <xf numFmtId="0" fontId="148" fillId="36" borderId="0" xfId="2670" applyFont="1" applyFill="1" applyAlignment="1">
      <alignment horizontal="center" vertical="center"/>
    </xf>
    <xf numFmtId="0" fontId="149" fillId="36" borderId="0" xfId="2670" applyFont="1" applyFill="1" applyAlignment="1">
      <alignment horizontal="left" vertical="center"/>
    </xf>
    <xf numFmtId="0" fontId="149" fillId="36" borderId="0" xfId="2670" applyFont="1" applyFill="1" applyAlignment="1">
      <alignment horizontal="center" vertical="center"/>
    </xf>
    <xf numFmtId="0" fontId="149" fillId="36" borderId="0" xfId="2670" applyFont="1" applyFill="1" applyAlignment="1">
      <alignment horizontal="right" vertical="center"/>
    </xf>
    <xf numFmtId="9" fontId="150" fillId="36" borderId="0" xfId="2671" applyFont="1" applyFill="1" applyBorder="1" applyAlignment="1" applyProtection="1">
      <alignment horizontal="right" vertical="center"/>
    </xf>
    <xf numFmtId="43" fontId="149" fillId="36" borderId="0" xfId="2672" applyFont="1" applyFill="1" applyBorder="1" applyAlignment="1" applyProtection="1">
      <alignment horizontal="right" vertical="center"/>
    </xf>
    <xf numFmtId="43" fontId="150" fillId="36" borderId="0" xfId="2672" applyFont="1" applyFill="1" applyBorder="1" applyAlignment="1" applyProtection="1">
      <alignment horizontal="right" vertical="center"/>
    </xf>
    <xf numFmtId="10" fontId="150" fillId="36" borderId="0" xfId="2671" applyNumberFormat="1" applyFont="1" applyFill="1" applyBorder="1" applyAlignment="1" applyProtection="1">
      <alignment horizontal="right" vertical="center"/>
    </xf>
    <xf numFmtId="168" fontId="149" fillId="36" borderId="0" xfId="2672" applyNumberFormat="1" applyFont="1" applyFill="1" applyBorder="1" applyAlignment="1" applyProtection="1">
      <alignment horizontal="right" vertical="center"/>
    </xf>
    <xf numFmtId="0" fontId="143" fillId="0" borderId="0" xfId="2670" applyFont="1" applyAlignment="1">
      <alignment horizontal="left" vertical="center"/>
    </xf>
    <xf numFmtId="0" fontId="146" fillId="0" borderId="0" xfId="2670" applyFont="1" applyAlignment="1">
      <alignment horizontal="left" vertical="center"/>
    </xf>
    <xf numFmtId="43" fontId="0" fillId="0" borderId="0" xfId="2672" applyFont="1" applyAlignment="1" applyProtection="1">
      <alignment horizontal="center" vertical="center"/>
    </xf>
    <xf numFmtId="0" fontId="116" fillId="0" borderId="0" xfId="1538"/>
    <xf numFmtId="43" fontId="116" fillId="0" borderId="0" xfId="1538" applyNumberFormat="1"/>
    <xf numFmtId="0" fontId="65" fillId="0" borderId="0" xfId="1538" applyFont="1"/>
    <xf numFmtId="0" fontId="132" fillId="0" borderId="0" xfId="1538" applyFont="1"/>
    <xf numFmtId="0" fontId="56" fillId="0" borderId="44" xfId="1538" applyFont="1" applyBorder="1" applyAlignment="1">
      <alignment horizontal="left"/>
    </xf>
    <xf numFmtId="0" fontId="116" fillId="38" borderId="3" xfId="1538" applyFill="1" applyBorder="1" applyAlignment="1">
      <alignment vertical="center"/>
    </xf>
    <xf numFmtId="0" fontId="116" fillId="38" borderId="0" xfId="1538" applyFill="1"/>
    <xf numFmtId="0" fontId="65" fillId="38" borderId="0" xfId="1538" applyFont="1" applyFill="1"/>
    <xf numFmtId="0" fontId="107" fillId="0" borderId="0" xfId="1538" applyFont="1" applyAlignment="1">
      <alignment horizontal="center" vertical="center" wrapText="1"/>
    </xf>
    <xf numFmtId="0" fontId="116" fillId="38" borderId="3" xfId="1538" applyFill="1" applyBorder="1" applyAlignment="1">
      <alignment horizontal="center" vertical="center"/>
    </xf>
    <xf numFmtId="0" fontId="116" fillId="0" borderId="0" xfId="1538" applyAlignment="1">
      <alignment horizontal="center" vertical="center"/>
    </xf>
    <xf numFmtId="1" fontId="116" fillId="0" borderId="0" xfId="1538" applyNumberFormat="1"/>
    <xf numFmtId="0" fontId="116" fillId="0" borderId="3" xfId="1538" applyBorder="1"/>
    <xf numFmtId="43" fontId="0" fillId="0" borderId="3" xfId="1026" applyFont="1" applyFill="1" applyBorder="1" applyProtection="1"/>
    <xf numFmtId="43" fontId="116" fillId="0" borderId="3" xfId="1538" applyNumberFormat="1" applyBorder="1"/>
    <xf numFmtId="43" fontId="144" fillId="0" borderId="3" xfId="1026" applyFont="1" applyBorder="1" applyProtection="1"/>
    <xf numFmtId="43" fontId="0" fillId="0" borderId="3" xfId="1026" applyFont="1" applyBorder="1" applyProtection="1"/>
    <xf numFmtId="43" fontId="132" fillId="0" borderId="3" xfId="1538" applyNumberFormat="1" applyFont="1" applyBorder="1"/>
    <xf numFmtId="0" fontId="65" fillId="0" borderId="3" xfId="1538" applyFont="1" applyBorder="1"/>
    <xf numFmtId="41" fontId="116" fillId="0" borderId="3" xfId="1538" applyNumberFormat="1" applyBorder="1"/>
    <xf numFmtId="43" fontId="108" fillId="0" borderId="3" xfId="1026" applyFont="1" applyFill="1" applyBorder="1" applyProtection="1"/>
    <xf numFmtId="0" fontId="53" fillId="0" borderId="0" xfId="1538" applyFont="1"/>
    <xf numFmtId="0" fontId="53" fillId="0" borderId="3" xfId="1538" applyFont="1" applyBorder="1" applyAlignment="1">
      <alignment horizontal="center"/>
    </xf>
    <xf numFmtId="43" fontId="53" fillId="0" borderId="3" xfId="1538" applyNumberFormat="1" applyFont="1" applyBorder="1"/>
    <xf numFmtId="0" fontId="116" fillId="29" borderId="0" xfId="1538" applyFill="1"/>
    <xf numFmtId="0" fontId="53" fillId="0" borderId="0" xfId="1538" applyFont="1" applyAlignment="1">
      <alignment horizontal="center"/>
    </xf>
    <xf numFmtId="43" fontId="53" fillId="0" borderId="0" xfId="1538" applyNumberFormat="1" applyFont="1"/>
    <xf numFmtId="0" fontId="116" fillId="29" borderId="3" xfId="1538" applyFill="1" applyBorder="1"/>
    <xf numFmtId="168" fontId="116" fillId="29" borderId="3" xfId="1538" applyNumberFormat="1" applyFill="1" applyBorder="1" applyAlignment="1">
      <alignment horizontal="right"/>
    </xf>
    <xf numFmtId="166" fontId="116" fillId="0" borderId="0" xfId="1538" applyNumberFormat="1"/>
    <xf numFmtId="43" fontId="116" fillId="29" borderId="3" xfId="1538" applyNumberFormat="1" applyFill="1" applyBorder="1" applyAlignment="1">
      <alignment horizontal="right"/>
    </xf>
    <xf numFmtId="43" fontId="0" fillId="29" borderId="3" xfId="1026" applyFont="1" applyFill="1" applyBorder="1" applyProtection="1"/>
    <xf numFmtId="40" fontId="116" fillId="29" borderId="3" xfId="1538" applyNumberFormat="1" applyFill="1" applyBorder="1"/>
    <xf numFmtId="10" fontId="116" fillId="29" borderId="3" xfId="1538" applyNumberFormat="1" applyFill="1" applyBorder="1"/>
    <xf numFmtId="0" fontId="153" fillId="0" borderId="0" xfId="1614" applyFont="1" applyAlignment="1">
      <alignment horizontal="center"/>
    </xf>
    <xf numFmtId="0" fontId="154" fillId="0" borderId="0" xfId="1614" applyFont="1" applyAlignment="1">
      <alignment horizontal="center" vertical="center"/>
    </xf>
    <xf numFmtId="0" fontId="155" fillId="0" borderId="0" xfId="1614" applyFont="1" applyAlignment="1">
      <alignment horizontal="left" vertical="center"/>
    </xf>
    <xf numFmtId="0" fontId="155" fillId="0" borderId="0" xfId="1614" applyFont="1" applyAlignment="1">
      <alignment vertical="center"/>
    </xf>
    <xf numFmtId="0" fontId="156" fillId="0" borderId="0" xfId="1614" applyFont="1" applyAlignment="1">
      <alignment horizontal="center" vertical="center"/>
    </xf>
    <xf numFmtId="3" fontId="154" fillId="0" borderId="0" xfId="1614" applyNumberFormat="1" applyFont="1" applyAlignment="1">
      <alignment horizontal="center" vertical="center"/>
    </xf>
    <xf numFmtId="0" fontId="157" fillId="0" borderId="0" xfId="1614" applyFont="1" applyAlignment="1">
      <alignment horizontal="center" vertical="center"/>
    </xf>
    <xf numFmtId="0" fontId="156" fillId="0" borderId="0" xfId="1614" applyFont="1" applyAlignment="1">
      <alignment horizontal="center"/>
    </xf>
    <xf numFmtId="0" fontId="154" fillId="0" borderId="0" xfId="1614" applyFont="1" applyAlignment="1">
      <alignment horizontal="center"/>
    </xf>
    <xf numFmtId="3" fontId="153" fillId="0" borderId="0" xfId="1614" applyNumberFormat="1" applyFont="1" applyAlignment="1">
      <alignment horizontal="center"/>
    </xf>
    <xf numFmtId="0" fontId="158" fillId="0" borderId="0" xfId="1614" applyFont="1"/>
    <xf numFmtId="43" fontId="158" fillId="0" borderId="0" xfId="1652" applyNumberFormat="1" applyFont="1"/>
    <xf numFmtId="0" fontId="158" fillId="0" borderId="0" xfId="1614" applyFont="1" applyAlignment="1">
      <alignment horizontal="left" vertical="center"/>
    </xf>
    <xf numFmtId="0" fontId="158" fillId="0" borderId="0" xfId="1614" applyFont="1" applyAlignment="1">
      <alignment horizontal="center" vertical="center"/>
    </xf>
    <xf numFmtId="3" fontId="155" fillId="0" borderId="0" xfId="1614" applyNumberFormat="1" applyFont="1" applyAlignment="1">
      <alignment horizontal="left" vertical="center"/>
    </xf>
    <xf numFmtId="0" fontId="158" fillId="0" borderId="0" xfId="1614" applyFont="1" applyAlignment="1">
      <alignment horizontal="center"/>
    </xf>
    <xf numFmtId="0" fontId="155" fillId="0" borderId="0" xfId="1614" applyFont="1" applyAlignment="1">
      <alignment horizontal="center"/>
    </xf>
    <xf numFmtId="0" fontId="158" fillId="0" borderId="0" xfId="1614" applyFont="1" applyAlignment="1">
      <alignment horizontal="center" vertical="center" wrapText="1"/>
    </xf>
    <xf numFmtId="0" fontId="155" fillId="0" borderId="0" xfId="1614" applyFont="1" applyAlignment="1">
      <alignment horizontal="center" vertical="center" wrapText="1"/>
    </xf>
    <xf numFmtId="3" fontId="154" fillId="0" borderId="0" xfId="1614" applyNumberFormat="1" applyFont="1" applyAlignment="1">
      <alignment vertical="center"/>
    </xf>
    <xf numFmtId="0" fontId="155" fillId="0" borderId="20" xfId="1615" applyFont="1" applyBorder="1" applyAlignment="1">
      <alignment horizontal="center" vertical="center"/>
    </xf>
    <xf numFmtId="0" fontId="155" fillId="0" borderId="21" xfId="1615" applyFont="1" applyBorder="1" applyAlignment="1">
      <alignment horizontal="left" vertical="center" wrapText="1"/>
    </xf>
    <xf numFmtId="0" fontId="154" fillId="0" borderId="21" xfId="1614" applyFont="1" applyBorder="1" applyAlignment="1">
      <alignment horizontal="center" vertical="center" wrapText="1"/>
    </xf>
    <xf numFmtId="0" fontId="161" fillId="0" borderId="21" xfId="1614" applyFont="1" applyBorder="1" applyAlignment="1">
      <alignment horizontal="center" vertical="center"/>
    </xf>
    <xf numFmtId="3" fontId="161" fillId="0" borderId="21" xfId="1614" applyNumberFormat="1" applyFont="1" applyBorder="1" applyAlignment="1">
      <alignment horizontal="center" vertical="center"/>
    </xf>
    <xf numFmtId="3" fontId="154" fillId="0" borderId="21" xfId="1614" applyNumberFormat="1" applyFont="1" applyBorder="1" applyAlignment="1">
      <alignment horizontal="center" vertical="center"/>
    </xf>
    <xf numFmtId="3" fontId="154" fillId="0" borderId="22" xfId="1614" applyNumberFormat="1" applyFont="1" applyBorder="1" applyAlignment="1">
      <alignment horizontal="center" vertical="center"/>
    </xf>
    <xf numFmtId="3" fontId="154" fillId="0" borderId="0" xfId="1614" applyNumberFormat="1" applyFont="1" applyAlignment="1">
      <alignment horizontal="center"/>
    </xf>
    <xf numFmtId="3" fontId="153" fillId="0" borderId="0" xfId="1614" applyNumberFormat="1" applyFont="1" applyAlignment="1">
      <alignment horizontal="center" vertical="center"/>
    </xf>
    <xf numFmtId="0" fontId="161" fillId="0" borderId="0" xfId="1614" applyFont="1" applyAlignment="1">
      <alignment horizontal="center"/>
    </xf>
    <xf numFmtId="0" fontId="155" fillId="0" borderId="20" xfId="1653" applyFont="1" applyBorder="1" applyAlignment="1">
      <alignment horizontal="center" vertical="center"/>
    </xf>
    <xf numFmtId="0" fontId="155" fillId="0" borderId="21" xfId="1451" applyFont="1" applyBorder="1" applyAlignment="1">
      <alignment horizontal="left" vertical="center" wrapText="1"/>
    </xf>
    <xf numFmtId="0" fontId="156" fillId="0" borderId="21" xfId="1653" applyFont="1" applyBorder="1" applyAlignment="1">
      <alignment horizontal="center" vertical="center"/>
    </xf>
    <xf numFmtId="3" fontId="157" fillId="0" borderId="0" xfId="1614" applyNumberFormat="1" applyFont="1" applyAlignment="1">
      <alignment horizontal="center" vertical="center"/>
    </xf>
    <xf numFmtId="0" fontId="157" fillId="0" borderId="0" xfId="1614" applyFont="1" applyAlignment="1">
      <alignment horizontal="center"/>
    </xf>
    <xf numFmtId="0" fontId="156" fillId="0" borderId="20" xfId="1653" applyFont="1" applyBorder="1" applyAlignment="1">
      <alignment horizontal="center" vertical="center"/>
    </xf>
    <xf numFmtId="0" fontId="156" fillId="0" borderId="21" xfId="1653" applyFont="1" applyBorder="1" applyAlignment="1">
      <alignment vertical="center" wrapText="1"/>
    </xf>
    <xf numFmtId="0" fontId="156" fillId="0" borderId="21" xfId="1652" applyFont="1" applyBorder="1" applyAlignment="1">
      <alignment vertical="center" wrapText="1"/>
    </xf>
    <xf numFmtId="0" fontId="154" fillId="0" borderId="20" xfId="1652" applyFont="1" applyBorder="1" applyAlignment="1">
      <alignment horizontal="center" vertical="center"/>
    </xf>
    <xf numFmtId="0" fontId="158" fillId="0" borderId="20" xfId="1652" applyFont="1" applyBorder="1" applyAlignment="1">
      <alignment horizontal="center" vertical="center"/>
    </xf>
    <xf numFmtId="0" fontId="158" fillId="0" borderId="21" xfId="1652" applyFont="1" applyBorder="1" applyAlignment="1">
      <alignment vertical="center" wrapText="1"/>
    </xf>
    <xf numFmtId="0" fontId="161" fillId="0" borderId="21" xfId="1652" applyFont="1" applyBorder="1" applyAlignment="1">
      <alignment horizontal="center" vertical="center"/>
    </xf>
    <xf numFmtId="0" fontId="161" fillId="0" borderId="48" xfId="1652" applyFont="1" applyBorder="1" applyAlignment="1">
      <alignment horizontal="center" vertical="center"/>
    </xf>
    <xf numFmtId="0" fontId="161" fillId="0" borderId="3" xfId="1652" applyFont="1" applyBorder="1" applyAlignment="1">
      <alignment vertical="center" wrapText="1"/>
    </xf>
    <xf numFmtId="0" fontId="154" fillId="0" borderId="3" xfId="1614" applyFont="1" applyBorder="1" applyAlignment="1">
      <alignment horizontal="center" vertical="center" wrapText="1"/>
    </xf>
    <xf numFmtId="0" fontId="161" fillId="0" borderId="3" xfId="1614" applyFont="1" applyBorder="1" applyAlignment="1">
      <alignment horizontal="center" vertical="center"/>
    </xf>
    <xf numFmtId="0" fontId="161" fillId="0" borderId="3" xfId="1652" applyFont="1" applyBorder="1" applyAlignment="1">
      <alignment horizontal="center" vertical="center"/>
    </xf>
    <xf numFmtId="206" fontId="161" fillId="0" borderId="3" xfId="1614" applyNumberFormat="1" applyFont="1" applyBorder="1" applyAlignment="1">
      <alignment horizontal="center" vertical="center"/>
    </xf>
    <xf numFmtId="3" fontId="154" fillId="0" borderId="3" xfId="1614" applyNumberFormat="1" applyFont="1" applyBorder="1" applyAlignment="1">
      <alignment horizontal="center" vertical="center"/>
    </xf>
    <xf numFmtId="3" fontId="154" fillId="0" borderId="39" xfId="1614" applyNumberFormat="1" applyFont="1" applyBorder="1" applyAlignment="1">
      <alignment horizontal="center" vertical="center"/>
    </xf>
    <xf numFmtId="0" fontId="161" fillId="0" borderId="20" xfId="1652" applyFont="1" applyBorder="1" applyAlignment="1">
      <alignment horizontal="center" vertical="center"/>
    </xf>
    <xf numFmtId="0" fontId="161" fillId="0" borderId="21" xfId="1652" applyFont="1" applyBorder="1" applyAlignment="1">
      <alignment vertical="center" wrapText="1"/>
    </xf>
    <xf numFmtId="0" fontId="154" fillId="0" borderId="23" xfId="1614" applyFont="1" applyBorder="1" applyAlignment="1">
      <alignment horizontal="center" vertical="center"/>
    </xf>
    <xf numFmtId="0" fontId="154" fillId="0" borderId="24" xfId="1614" applyFont="1" applyBorder="1" applyAlignment="1">
      <alignment horizontal="left" vertical="center"/>
    </xf>
    <xf numFmtId="0" fontId="154" fillId="0" borderId="24" xfId="1614" applyFont="1" applyBorder="1" applyAlignment="1">
      <alignment vertical="center"/>
    </xf>
    <xf numFmtId="0" fontId="161" fillId="0" borderId="24" xfId="1614" applyFont="1" applyBorder="1" applyAlignment="1">
      <alignment horizontal="center" vertical="center"/>
    </xf>
    <xf numFmtId="3" fontId="154" fillId="0" borderId="24" xfId="1614" applyNumberFormat="1" applyFont="1" applyBorder="1" applyAlignment="1">
      <alignment horizontal="center" vertical="center"/>
    </xf>
    <xf numFmtId="3" fontId="154" fillId="0" borderId="25" xfId="1614" applyNumberFormat="1" applyFont="1" applyBorder="1" applyAlignment="1">
      <alignment horizontal="center" vertical="center"/>
    </xf>
    <xf numFmtId="0" fontId="156" fillId="0" borderId="26" xfId="1614" applyFont="1" applyBorder="1" applyAlignment="1">
      <alignment horizontal="center" vertical="center"/>
    </xf>
    <xf numFmtId="37" fontId="158" fillId="0" borderId="27" xfId="1614" applyNumberFormat="1" applyFont="1" applyBorder="1" applyAlignment="1">
      <alignment horizontal="center"/>
    </xf>
    <xf numFmtId="37" fontId="156" fillId="0" borderId="27" xfId="1614" applyNumberFormat="1" applyFont="1" applyBorder="1" applyAlignment="1">
      <alignment horizontal="center"/>
    </xf>
    <xf numFmtId="37" fontId="154" fillId="0" borderId="0" xfId="1614" applyNumberFormat="1" applyFont="1" applyAlignment="1">
      <alignment horizontal="center"/>
    </xf>
    <xf numFmtId="0" fontId="156" fillId="0" borderId="28" xfId="1614" applyFont="1" applyBorder="1" applyAlignment="1">
      <alignment horizontal="center" vertical="center"/>
    </xf>
    <xf numFmtId="37" fontId="158" fillId="0" borderId="29" xfId="1614" applyNumberFormat="1" applyFont="1" applyBorder="1" applyAlignment="1">
      <alignment horizontal="center"/>
    </xf>
    <xf numFmtId="37" fontId="156" fillId="0" borderId="29" xfId="1614" applyNumberFormat="1" applyFont="1" applyBorder="1" applyAlignment="1">
      <alignment horizontal="center"/>
    </xf>
    <xf numFmtId="37" fontId="162" fillId="0" borderId="30" xfId="1614" applyNumberFormat="1" applyFont="1" applyBorder="1" applyAlignment="1">
      <alignment horizontal="center"/>
    </xf>
    <xf numFmtId="37" fontId="162" fillId="0" borderId="32" xfId="1614" applyNumberFormat="1" applyFont="1" applyBorder="1" applyAlignment="1">
      <alignment horizontal="center"/>
    </xf>
    <xf numFmtId="0" fontId="162" fillId="0" borderId="34" xfId="1614" applyFont="1" applyBorder="1" applyAlignment="1">
      <alignment vertical="center"/>
    </xf>
    <xf numFmtId="0" fontId="156" fillId="0" borderId="19" xfId="1614" applyFont="1" applyBorder="1"/>
    <xf numFmtId="0" fontId="156" fillId="0" borderId="19" xfId="1614" applyFont="1" applyBorder="1" applyAlignment="1">
      <alignment horizontal="center"/>
    </xf>
    <xf numFmtId="0" fontId="156" fillId="0" borderId="19" xfId="1614" applyFont="1" applyBorder="1" applyAlignment="1">
      <alignment horizontal="right"/>
    </xf>
    <xf numFmtId="0" fontId="156" fillId="0" borderId="31" xfId="1614" applyFont="1" applyBorder="1" applyAlignment="1">
      <alignment horizontal="right"/>
    </xf>
    <xf numFmtId="0" fontId="154" fillId="0" borderId="0" xfId="1614" applyFont="1" applyAlignment="1">
      <alignment horizontal="left" vertical="center"/>
    </xf>
    <xf numFmtId="0" fontId="154" fillId="0" borderId="0" xfId="1614" applyFont="1" applyAlignment="1">
      <alignment vertical="center"/>
    </xf>
    <xf numFmtId="0" fontId="161" fillId="0" borderId="0" xfId="1614" applyFont="1" applyAlignment="1">
      <alignment horizontal="center" vertical="center"/>
    </xf>
    <xf numFmtId="41" fontId="161" fillId="0" borderId="0" xfId="1652" applyNumberFormat="1" applyFont="1" applyAlignment="1">
      <alignment vertical="center"/>
    </xf>
    <xf numFmtId="0" fontId="156" fillId="0" borderId="0" xfId="1652" applyFont="1" applyAlignment="1">
      <alignment horizontal="right"/>
    </xf>
    <xf numFmtId="0" fontId="163" fillId="0" borderId="0" xfId="1644" applyFont="1" applyAlignment="1">
      <alignment horizontal="center" vertical="center"/>
    </xf>
    <xf numFmtId="0" fontId="161" fillId="0" borderId="0" xfId="1652" applyFont="1" applyAlignment="1">
      <alignment vertical="center"/>
    </xf>
    <xf numFmtId="0" fontId="164" fillId="39" borderId="82" xfId="2670" applyFont="1" applyFill="1" applyBorder="1" applyAlignment="1">
      <alignment horizontal="left" vertical="center"/>
    </xf>
    <xf numFmtId="0" fontId="164" fillId="39" borderId="83" xfId="2670" applyFont="1" applyFill="1" applyBorder="1" applyAlignment="1">
      <alignment horizontal="center" vertical="center"/>
    </xf>
    <xf numFmtId="0" fontId="164" fillId="39" borderId="85" xfId="2670" applyFont="1" applyFill="1" applyBorder="1" applyAlignment="1">
      <alignment horizontal="left" vertical="center"/>
    </xf>
    <xf numFmtId="0" fontId="164" fillId="39" borderId="81" xfId="2670" applyFont="1" applyFill="1" applyBorder="1" applyAlignment="1">
      <alignment horizontal="center" vertical="center"/>
    </xf>
    <xf numFmtId="0" fontId="164" fillId="39" borderId="87" xfId="2670" applyFont="1" applyFill="1" applyBorder="1" applyAlignment="1">
      <alignment horizontal="left" vertical="center"/>
    </xf>
    <xf numFmtId="0" fontId="164" fillId="39" borderId="88" xfId="2670" applyFont="1" applyFill="1" applyBorder="1" applyAlignment="1">
      <alignment horizontal="center" vertical="center"/>
    </xf>
    <xf numFmtId="43" fontId="145" fillId="40" borderId="84" xfId="2672" applyFont="1" applyFill="1" applyBorder="1" applyAlignment="1" applyProtection="1">
      <alignment horizontal="right" vertical="center" wrapText="1"/>
      <protection locked="0"/>
    </xf>
    <xf numFmtId="43" fontId="145" fillId="40" borderId="86" xfId="2672" applyFont="1" applyFill="1" applyBorder="1" applyAlignment="1" applyProtection="1">
      <alignment horizontal="right" vertical="center"/>
      <protection locked="0"/>
    </xf>
    <xf numFmtId="168" fontId="145" fillId="40" borderId="86" xfId="2672" applyNumberFormat="1" applyFont="1" applyFill="1" applyBorder="1" applyAlignment="1" applyProtection="1">
      <alignment horizontal="right" vertical="center"/>
      <protection locked="0"/>
    </xf>
    <xf numFmtId="168" fontId="145" fillId="40" borderId="89" xfId="2672" applyNumberFormat="1" applyFont="1" applyFill="1" applyBorder="1" applyAlignment="1" applyProtection="1">
      <alignment horizontal="right" vertical="center"/>
      <protection locked="0"/>
    </xf>
    <xf numFmtId="0" fontId="125" fillId="0" borderId="0" xfId="1451" applyFont="1"/>
    <xf numFmtId="0" fontId="126" fillId="0" borderId="0" xfId="1451" applyFont="1" applyAlignment="1">
      <alignment vertical="center"/>
    </xf>
    <xf numFmtId="0" fontId="152" fillId="0" borderId="0" xfId="1451" applyFont="1"/>
    <xf numFmtId="0" fontId="127" fillId="0" borderId="0" xfId="1451" applyFont="1" applyAlignment="1">
      <alignment vertical="center"/>
    </xf>
    <xf numFmtId="0" fontId="128" fillId="0" borderId="0" xfId="1451" applyFont="1" applyAlignment="1">
      <alignment horizontal="center" vertical="center"/>
    </xf>
    <xf numFmtId="0" fontId="129" fillId="0" borderId="0" xfId="1451" applyFont="1"/>
    <xf numFmtId="0" fontId="130" fillId="0" borderId="0" xfId="1451" applyFont="1"/>
    <xf numFmtId="0" fontId="120" fillId="0" borderId="0" xfId="1451" applyFont="1" applyAlignment="1">
      <alignment vertical="center"/>
    </xf>
    <xf numFmtId="0" fontId="120" fillId="0" borderId="0" xfId="1451" applyFont="1" applyAlignment="1">
      <alignment horizontal="center" vertical="center"/>
    </xf>
    <xf numFmtId="0" fontId="125" fillId="0" borderId="0" xfId="1451" applyFont="1" applyAlignment="1">
      <alignment horizontal="center" vertical="center"/>
    </xf>
    <xf numFmtId="0" fontId="125" fillId="0" borderId="0" xfId="1451" applyFont="1" applyAlignment="1">
      <alignment horizontal="center"/>
    </xf>
    <xf numFmtId="0" fontId="127" fillId="35" borderId="0" xfId="1451" applyFont="1" applyFill="1" applyAlignment="1">
      <alignment vertical="center"/>
    </xf>
    <xf numFmtId="0" fontId="130" fillId="0" borderId="19" xfId="1451" applyFont="1" applyBorder="1" applyAlignment="1">
      <alignment horizontal="center"/>
    </xf>
    <xf numFmtId="0" fontId="130" fillId="0" borderId="19" xfId="1451" applyFont="1" applyBorder="1"/>
    <xf numFmtId="1" fontId="111" fillId="0" borderId="0" xfId="2673" applyNumberFormat="1" applyFont="1" applyAlignment="1">
      <alignment horizontal="center" vertical="center" wrapText="1"/>
    </xf>
    <xf numFmtId="1" fontId="109" fillId="0" borderId="0" xfId="2673" applyNumberFormat="1" applyFont="1" applyAlignment="1">
      <alignment horizontal="center" vertical="center" wrapText="1"/>
    </xf>
    <xf numFmtId="0" fontId="110" fillId="0" borderId="61" xfId="2673" applyFont="1" applyBorder="1" applyAlignment="1">
      <alignment horizontal="center" vertical="center" wrapText="1"/>
    </xf>
    <xf numFmtId="0" fontId="168" fillId="0" borderId="0" xfId="2673" applyFont="1" applyAlignment="1">
      <alignment horizontal="center" vertical="center" wrapText="1"/>
    </xf>
    <xf numFmtId="0" fontId="169" fillId="0" borderId="0" xfId="2673" applyFont="1" applyAlignment="1">
      <alignment vertical="center" wrapText="1"/>
    </xf>
    <xf numFmtId="0" fontId="170" fillId="0" borderId="0" xfId="2673" applyFont="1" applyAlignment="1">
      <alignment vertical="center" wrapText="1"/>
    </xf>
    <xf numFmtId="0" fontId="151" fillId="35" borderId="93" xfId="2673" applyFont="1" applyFill="1" applyBorder="1" applyAlignment="1">
      <alignment vertical="center" wrapText="1"/>
    </xf>
    <xf numFmtId="0" fontId="151" fillId="43" borderId="93" xfId="2673" applyFont="1" applyFill="1" applyBorder="1" applyAlignment="1">
      <alignment vertical="center" wrapText="1"/>
    </xf>
    <xf numFmtId="0" fontId="167" fillId="0" borderId="0" xfId="2673" applyFont="1" applyAlignment="1">
      <alignment vertical="center" wrapText="1"/>
    </xf>
    <xf numFmtId="0" fontId="173" fillId="0" borderId="0" xfId="2673" applyFont="1" applyAlignment="1">
      <alignment horizontal="center" vertical="center" wrapText="1"/>
    </xf>
    <xf numFmtId="1" fontId="174" fillId="0" borderId="0" xfId="2673" applyNumberFormat="1" applyFont="1" applyAlignment="1">
      <alignment horizontal="center" vertical="center" wrapText="1"/>
    </xf>
    <xf numFmtId="0" fontId="110" fillId="0" borderId="0" xfId="2673" applyFont="1" applyAlignment="1">
      <alignment horizontal="center" vertical="center" wrapText="1"/>
    </xf>
    <xf numFmtId="0" fontId="139" fillId="35" borderId="32" xfId="2673" applyFont="1" applyFill="1" applyBorder="1" applyAlignment="1">
      <alignment vertical="center" wrapText="1"/>
    </xf>
    <xf numFmtId="0" fontId="139" fillId="43" borderId="32" xfId="2673" applyFont="1" applyFill="1" applyBorder="1" applyAlignment="1">
      <alignment vertical="center" wrapText="1"/>
    </xf>
    <xf numFmtId="0" fontId="139" fillId="0" borderId="0" xfId="2673" applyFont="1" applyAlignment="1">
      <alignment vertical="center" wrapText="1"/>
    </xf>
    <xf numFmtId="2" fontId="139" fillId="0" borderId="0" xfId="2673" applyNumberFormat="1" applyFont="1" applyAlignment="1">
      <alignment horizontal="center" vertical="center" wrapText="1"/>
    </xf>
    <xf numFmtId="0" fontId="110" fillId="0" borderId="3" xfId="2673" applyFont="1" applyBorder="1" applyAlignment="1">
      <alignment horizontal="center" vertical="center" wrapText="1"/>
    </xf>
    <xf numFmtId="0" fontId="151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12" fillId="0" borderId="0" xfId="2673" applyNumberFormat="1" applyAlignment="1">
      <alignment vertical="center" wrapText="1"/>
    </xf>
    <xf numFmtId="1" fontId="12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9" fillId="0" borderId="0" xfId="2675" applyFont="1" applyFill="1" applyBorder="1" applyAlignment="1">
      <alignment horizontal="center" vertical="center" wrapText="1"/>
    </xf>
    <xf numFmtId="1" fontId="139" fillId="0" borderId="49" xfId="2673" applyNumberFormat="1" applyFont="1" applyBorder="1" applyAlignment="1">
      <alignment vertical="center" wrapText="1"/>
    </xf>
    <xf numFmtId="0" fontId="175" fillId="0" borderId="0" xfId="2673" applyFont="1" applyAlignment="1">
      <alignment vertical="center" wrapText="1"/>
    </xf>
    <xf numFmtId="0" fontId="175" fillId="0" borderId="0" xfId="2673" applyFont="1" applyAlignment="1">
      <alignment horizontal="center" vertical="center" wrapText="1"/>
    </xf>
    <xf numFmtId="2" fontId="175" fillId="0" borderId="0" xfId="2673" applyNumberFormat="1" applyFont="1" applyAlignment="1">
      <alignment horizontal="center" vertical="center" wrapText="1"/>
    </xf>
    <xf numFmtId="1" fontId="175" fillId="0" borderId="0" xfId="2673" applyNumberFormat="1" applyFont="1" applyAlignment="1">
      <alignment horizontal="center" vertical="center" wrapText="1"/>
    </xf>
    <xf numFmtId="0" fontId="176" fillId="0" borderId="0" xfId="2673" applyFont="1" applyAlignment="1">
      <alignment vertical="center" wrapText="1"/>
    </xf>
    <xf numFmtId="0" fontId="151" fillId="35" borderId="50" xfId="2673" applyFont="1" applyFill="1" applyBorder="1" applyAlignment="1">
      <alignment vertical="center" wrapText="1"/>
    </xf>
    <xf numFmtId="0" fontId="151" fillId="0" borderId="52" xfId="2673" applyFont="1" applyBorder="1" applyAlignment="1">
      <alignment horizontal="center" vertical="center" wrapText="1"/>
    </xf>
    <xf numFmtId="0" fontId="151" fillId="35" borderId="48" xfId="2673" applyFont="1" applyFill="1" applyBorder="1" applyAlignment="1">
      <alignment vertical="center" wrapText="1"/>
    </xf>
    <xf numFmtId="1" fontId="139" fillId="0" borderId="57" xfId="2673" applyNumberFormat="1" applyFont="1" applyBorder="1" applyAlignment="1">
      <alignment vertical="center" wrapText="1"/>
    </xf>
    <xf numFmtId="0" fontId="139" fillId="35" borderId="48" xfId="2673" applyFont="1" applyFill="1" applyBorder="1" applyAlignment="1">
      <alignment vertical="center" wrapText="1"/>
    </xf>
    <xf numFmtId="0" fontId="139" fillId="35" borderId="97" xfId="2673" applyFont="1" applyFill="1" applyBorder="1" applyAlignment="1">
      <alignment vertical="center" wrapText="1"/>
    </xf>
    <xf numFmtId="0" fontId="110" fillId="0" borderId="63" xfId="2673" applyFont="1" applyBorder="1" applyAlignment="1">
      <alignment horizontal="center" vertical="center" wrapText="1"/>
    </xf>
    <xf numFmtId="0" fontId="151" fillId="0" borderId="50" xfId="2673" applyFont="1" applyBorder="1" applyAlignment="1">
      <alignment vertical="center" wrapText="1"/>
    </xf>
    <xf numFmtId="0" fontId="151" fillId="0" borderId="48" xfId="2673" applyFont="1" applyBorder="1" applyAlignment="1">
      <alignment vertical="center" wrapText="1"/>
    </xf>
    <xf numFmtId="0" fontId="139" fillId="0" borderId="48" xfId="2673" applyFont="1" applyBorder="1" applyAlignment="1">
      <alignment vertical="center" wrapText="1"/>
    </xf>
    <xf numFmtId="0" fontId="139" fillId="0" borderId="97" xfId="2673" applyFont="1" applyBorder="1" applyAlignment="1">
      <alignment vertical="center" wrapText="1"/>
    </xf>
    <xf numFmtId="43" fontId="0" fillId="46" borderId="3" xfId="1026" applyFont="1" applyFill="1" applyBorder="1" applyProtection="1">
      <protection locked="0"/>
    </xf>
    <xf numFmtId="0" fontId="96" fillId="33" borderId="59" xfId="0" applyFont="1" applyFill="1" applyBorder="1" applyAlignment="1">
      <alignment horizontal="left" vertical="center"/>
    </xf>
    <xf numFmtId="0" fontId="96" fillId="33" borderId="60" xfId="0" applyFont="1" applyFill="1" applyBorder="1" applyAlignment="1">
      <alignment horizontal="left" vertical="center"/>
    </xf>
    <xf numFmtId="49" fontId="96" fillId="33" borderId="60" xfId="0" applyNumberFormat="1" applyFont="1" applyFill="1" applyBorder="1" applyAlignment="1">
      <alignment horizontal="left" vertical="center"/>
    </xf>
    <xf numFmtId="165" fontId="157" fillId="0" borderId="0" xfId="2676" applyFont="1" applyAlignment="1">
      <alignment horizontal="center" vertical="center"/>
    </xf>
    <xf numFmtId="0" fontId="11" fillId="0" borderId="0" xfId="2670" applyFont="1" applyAlignment="1">
      <alignment horizontal="center" vertical="center"/>
    </xf>
    <xf numFmtId="0" fontId="132" fillId="0" borderId="0" xfId="2670" applyFont="1" applyAlignment="1">
      <alignment horizontal="left" vertical="center"/>
    </xf>
    <xf numFmtId="0" fontId="11" fillId="0" borderId="21" xfId="1653" applyFont="1" applyBorder="1" applyAlignment="1">
      <alignment horizontal="left" vertical="center" wrapText="1"/>
    </xf>
    <xf numFmtId="206" fontId="48" fillId="0" borderId="21" xfId="2549" applyNumberFormat="1" applyFont="1" applyBorder="1" applyAlignment="1">
      <alignment horizontal="center" vertical="center" wrapText="1"/>
    </xf>
    <xf numFmtId="0" fontId="48" fillId="0" borderId="21" xfId="2677" applyFont="1" applyBorder="1" applyAlignment="1">
      <alignment horizontal="left" vertical="center" wrapText="1"/>
    </xf>
    <xf numFmtId="0" fontId="120" fillId="33" borderId="0" xfId="0" applyFont="1" applyFill="1" applyAlignment="1">
      <alignment horizontal="left"/>
    </xf>
    <xf numFmtId="168" fontId="149" fillId="47" borderId="0" xfId="2672" applyNumberFormat="1" applyFont="1" applyFill="1" applyBorder="1" applyAlignment="1" applyProtection="1">
      <alignment horizontal="right" vertical="center"/>
    </xf>
    <xf numFmtId="0" fontId="179" fillId="0" borderId="68" xfId="1450" applyFont="1" applyBorder="1" applyAlignment="1">
      <alignment horizontal="center" vertical="center"/>
    </xf>
    <xf numFmtId="0" fontId="10" fillId="0" borderId="20" xfId="1652" applyFont="1" applyBorder="1" applyAlignment="1">
      <alignment horizontal="center" vertical="center"/>
    </xf>
    <xf numFmtId="0" fontId="132" fillId="0" borderId="20" xfId="1652" applyFont="1" applyBorder="1" applyAlignment="1">
      <alignment horizontal="center" vertical="center"/>
    </xf>
    <xf numFmtId="0" fontId="132" fillId="0" borderId="21" xfId="1652" applyFont="1" applyBorder="1" applyAlignment="1">
      <alignment horizontal="left" vertical="center" wrapText="1"/>
    </xf>
    <xf numFmtId="0" fontId="10" fillId="0" borderId="21" xfId="1652" applyFont="1" applyBorder="1" applyAlignment="1">
      <alignment horizontal="left" vertical="center" wrapText="1"/>
    </xf>
    <xf numFmtId="0" fontId="9" fillId="0" borderId="20" xfId="1652" applyFont="1" applyBorder="1" applyAlignment="1">
      <alignment horizontal="center" vertical="center"/>
    </xf>
    <xf numFmtId="0" fontId="9" fillId="0" borderId="21" xfId="1652" applyFont="1" applyBorder="1" applyAlignment="1">
      <alignment vertical="center" wrapText="1"/>
    </xf>
    <xf numFmtId="0" fontId="132" fillId="0" borderId="21" xfId="1652" applyFont="1" applyBorder="1" applyAlignment="1">
      <alignment vertical="center" wrapText="1"/>
    </xf>
    <xf numFmtId="0" fontId="14" fillId="0" borderId="21" xfId="1614" applyFont="1" applyBorder="1" applyAlignment="1">
      <alignment horizontal="center" vertical="center"/>
    </xf>
    <xf numFmtId="0" fontId="14" fillId="0" borderId="21" xfId="1614" applyFont="1" applyBorder="1" applyAlignment="1">
      <alignment horizontal="center" vertical="center" wrapText="1"/>
    </xf>
    <xf numFmtId="0" fontId="118" fillId="0" borderId="20" xfId="1652" applyFont="1" applyBorder="1" applyAlignment="1">
      <alignment horizontal="center" vertical="center"/>
    </xf>
    <xf numFmtId="0" fontId="118" fillId="0" borderId="21" xfId="1652" applyFont="1" applyBorder="1" applyAlignment="1">
      <alignment vertical="center"/>
    </xf>
    <xf numFmtId="0" fontId="48" fillId="0" borderId="21" xfId="1450" applyFont="1" applyBorder="1" applyAlignment="1">
      <alignment vertical="center" wrapText="1"/>
    </xf>
    <xf numFmtId="0" fontId="48" fillId="0" borderId="21" xfId="0" applyFont="1" applyBorder="1" applyAlignment="1">
      <alignment horizontal="left" vertical="center" wrapText="1"/>
    </xf>
    <xf numFmtId="3" fontId="14" fillId="0" borderId="21" xfId="1599" applyNumberFormat="1" applyFont="1" applyBorder="1" applyAlignment="1">
      <alignment horizontal="center" vertical="center"/>
    </xf>
    <xf numFmtId="0" fontId="7" fillId="0" borderId="20" xfId="1652" applyFont="1" applyBorder="1" applyAlignment="1">
      <alignment horizontal="center" vertical="center"/>
    </xf>
    <xf numFmtId="0" fontId="7" fillId="0" borderId="21" xfId="1652" applyFont="1" applyBorder="1" applyAlignment="1">
      <alignment horizontal="left" vertical="center" wrapText="1"/>
    </xf>
    <xf numFmtId="0" fontId="132" fillId="48" borderId="21" xfId="1652" applyFont="1" applyFill="1" applyBorder="1" applyAlignment="1">
      <alignment vertical="center" wrapText="1"/>
    </xf>
    <xf numFmtId="0" fontId="6" fillId="0" borderId="21" xfId="1652" applyFont="1" applyBorder="1" applyAlignment="1">
      <alignment horizontal="center" vertical="center"/>
    </xf>
    <xf numFmtId="0" fontId="5" fillId="0" borderId="20" xfId="1652" applyFont="1" applyBorder="1" applyAlignment="1">
      <alignment horizontal="center" vertical="center"/>
    </xf>
    <xf numFmtId="0" fontId="5" fillId="0" borderId="21" xfId="1652" applyFont="1" applyBorder="1" applyAlignment="1">
      <alignment vertical="center" wrapText="1"/>
    </xf>
    <xf numFmtId="0" fontId="180" fillId="33" borderId="0" xfId="0" applyFont="1" applyFill="1" applyAlignment="1">
      <alignment horizontal="left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3" fillId="0" borderId="21" xfId="1652" applyFont="1" applyBorder="1" applyAlignment="1">
      <alignment horizontal="left" vertical="center" wrapText="1"/>
    </xf>
    <xf numFmtId="0" fontId="3" fillId="0" borderId="21" xfId="1652" applyFont="1" applyBorder="1" applyAlignment="1">
      <alignment horizontal="center" vertical="center"/>
    </xf>
    <xf numFmtId="0" fontId="2" fillId="0" borderId="21" xfId="1652" applyFont="1" applyBorder="1" applyAlignment="1">
      <alignment horizontal="center" vertical="center"/>
    </xf>
    <xf numFmtId="208" fontId="145" fillId="40" borderId="86" xfId="2672" applyNumberFormat="1" applyFont="1" applyFill="1" applyBorder="1" applyAlignment="1" applyProtection="1">
      <alignment horizontal="right" vertical="center"/>
      <protection locked="0"/>
    </xf>
    <xf numFmtId="208" fontId="149" fillId="36" borderId="0" xfId="2672" applyNumberFormat="1" applyFont="1" applyFill="1" applyBorder="1" applyAlignment="1" applyProtection="1">
      <alignment horizontal="right" vertical="center"/>
    </xf>
    <xf numFmtId="0" fontId="124" fillId="0" borderId="98" xfId="1450" applyFont="1" applyBorder="1" applyAlignment="1">
      <alignment horizontal="center" vertical="center"/>
    </xf>
    <xf numFmtId="49" fontId="96" fillId="33" borderId="59" xfId="0" applyNumberFormat="1" applyFont="1" applyFill="1" applyBorder="1" applyAlignment="1">
      <alignment horizontal="left" vertic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3" fontId="47" fillId="31" borderId="38" xfId="1615" applyNumberFormat="1" applyFont="1" applyFill="1" applyBorder="1" applyAlignment="1">
      <alignment horizontal="center" vertical="center"/>
    </xf>
    <xf numFmtId="3" fontId="47" fillId="31" borderId="65" xfId="1615" applyNumberFormat="1" applyFont="1" applyFill="1" applyBorder="1" applyAlignment="1">
      <alignment horizontal="center" vertical="center"/>
    </xf>
    <xf numFmtId="3" fontId="47" fillId="31" borderId="18" xfId="1615" applyNumberFormat="1" applyFont="1" applyFill="1" applyBorder="1" applyAlignment="1">
      <alignment horizontal="center" vertical="center"/>
    </xf>
    <xf numFmtId="3" fontId="47" fillId="31" borderId="42" xfId="1615" applyNumberFormat="1" applyFont="1" applyFill="1" applyBorder="1" applyAlignment="1">
      <alignment horizontal="center" vertical="center"/>
    </xf>
    <xf numFmtId="3" fontId="47" fillId="31" borderId="43" xfId="1615" applyNumberFormat="1" applyFont="1" applyFill="1" applyBorder="1" applyAlignment="1">
      <alignment horizontal="center" vertical="center"/>
    </xf>
    <xf numFmtId="3" fontId="47" fillId="31" borderId="66" xfId="1615" applyNumberFormat="1" applyFont="1" applyFill="1" applyBorder="1" applyAlignment="1">
      <alignment horizontal="center" vertical="center"/>
    </xf>
    <xf numFmtId="3" fontId="47" fillId="31" borderId="3" xfId="1615" applyNumberFormat="1" applyFont="1" applyFill="1" applyBorder="1" applyAlignment="1">
      <alignment horizontal="center" vertical="center"/>
    </xf>
    <xf numFmtId="0" fontId="100" fillId="0" borderId="0" xfId="1653" applyFont="1" applyAlignment="1">
      <alignment horizontal="center" vertical="center"/>
    </xf>
    <xf numFmtId="0" fontId="54" fillId="31" borderId="3" xfId="1615" applyFont="1" applyFill="1" applyBorder="1" applyAlignment="1">
      <alignment horizontal="center" vertical="center"/>
    </xf>
    <xf numFmtId="0" fontId="56" fillId="31" borderId="3" xfId="1615" applyFont="1" applyFill="1" applyBorder="1" applyAlignment="1">
      <alignment horizontal="center" vertical="center"/>
    </xf>
    <xf numFmtId="0" fontId="54" fillId="31" borderId="3" xfId="1615" applyFont="1" applyFill="1" applyBorder="1" applyAlignment="1">
      <alignment horizontal="center" vertical="center" wrapText="1"/>
    </xf>
    <xf numFmtId="0" fontId="100" fillId="0" borderId="0" xfId="1652" applyFont="1" applyAlignment="1">
      <alignment horizontal="center" vertical="center"/>
    </xf>
    <xf numFmtId="0" fontId="54" fillId="0" borderId="50" xfId="1614" applyFont="1" applyBorder="1" applyAlignment="1">
      <alignment horizontal="center" vertical="center"/>
    </xf>
    <xf numFmtId="0" fontId="54" fillId="0" borderId="48" xfId="1614" applyFont="1" applyBorder="1" applyAlignment="1">
      <alignment horizontal="center" vertical="center"/>
    </xf>
    <xf numFmtId="0" fontId="54" fillId="0" borderId="51" xfId="1614" applyFont="1" applyBorder="1" applyAlignment="1">
      <alignment horizontal="center" vertical="center"/>
    </xf>
    <xf numFmtId="0" fontId="54" fillId="0" borderId="21" xfId="1614" applyFont="1" applyBorder="1" applyAlignment="1">
      <alignment horizontal="center" vertical="center"/>
    </xf>
    <xf numFmtId="0" fontId="54" fillId="0" borderId="33" xfId="1614" applyFont="1" applyBorder="1" applyAlignment="1">
      <alignment horizontal="center" vertical="center"/>
    </xf>
    <xf numFmtId="0" fontId="56" fillId="0" borderId="52" xfId="1614" applyFont="1" applyBorder="1" applyAlignment="1">
      <alignment horizontal="center" vertical="center"/>
    </xf>
    <xf numFmtId="0" fontId="56" fillId="0" borderId="3" xfId="1614" applyFont="1" applyBorder="1" applyAlignment="1">
      <alignment horizontal="center" vertical="center"/>
    </xf>
    <xf numFmtId="0" fontId="54" fillId="0" borderId="51" xfId="1614" applyFont="1" applyBorder="1" applyAlignment="1">
      <alignment horizontal="center" vertical="center" wrapText="1"/>
    </xf>
    <xf numFmtId="0" fontId="54" fillId="0" borderId="21" xfId="1614" applyFont="1" applyBorder="1" applyAlignment="1">
      <alignment horizontal="center" vertical="center" wrapText="1"/>
    </xf>
    <xf numFmtId="0" fontId="54" fillId="0" borderId="33" xfId="1614" applyFont="1" applyBorder="1" applyAlignment="1">
      <alignment horizontal="center" vertical="center" wrapText="1"/>
    </xf>
    <xf numFmtId="0" fontId="56" fillId="0" borderId="53" xfId="1614" applyFont="1" applyBorder="1" applyAlignment="1">
      <alignment horizontal="center" vertical="center"/>
    </xf>
    <xf numFmtId="0" fontId="51" fillId="0" borderId="0" xfId="1652" applyFont="1" applyAlignment="1">
      <alignment horizontal="center" vertical="center"/>
    </xf>
    <xf numFmtId="0" fontId="115" fillId="0" borderId="0" xfId="1652" applyAlignment="1">
      <alignment horizontal="center" vertical="center"/>
    </xf>
    <xf numFmtId="0" fontId="56" fillId="0" borderId="39" xfId="1614" applyFont="1" applyBorder="1" applyAlignment="1">
      <alignment horizontal="center" vertical="center"/>
    </xf>
    <xf numFmtId="0" fontId="56" fillId="0" borderId="35" xfId="1652" applyFont="1" applyBorder="1" applyAlignment="1">
      <alignment horizontal="center" vertical="center" wrapText="1"/>
    </xf>
    <xf numFmtId="0" fontId="56" fillId="0" borderId="33" xfId="1652" applyFont="1" applyBorder="1" applyAlignment="1">
      <alignment horizontal="center" vertical="center" wrapText="1"/>
    </xf>
    <xf numFmtId="37" fontId="66" fillId="0" borderId="19" xfId="1614" applyNumberFormat="1" applyFont="1" applyBorder="1" applyAlignment="1">
      <alignment horizontal="center"/>
    </xf>
    <xf numFmtId="0" fontId="66" fillId="0" borderId="26" xfId="1614" applyFont="1" applyBorder="1" applyAlignment="1">
      <alignment horizontal="left" vertical="center"/>
    </xf>
    <xf numFmtId="0" fontId="66" fillId="0" borderId="36" xfId="1614" applyFont="1" applyBorder="1" applyAlignment="1">
      <alignment horizontal="left" vertical="center"/>
    </xf>
    <xf numFmtId="0" fontId="66" fillId="0" borderId="47" xfId="1614" applyFont="1" applyBorder="1" applyAlignment="1">
      <alignment horizontal="left" vertical="center"/>
    </xf>
    <xf numFmtId="0" fontId="66" fillId="0" borderId="28" xfId="1614" applyFont="1" applyBorder="1" applyAlignment="1">
      <alignment horizontal="left" vertical="center"/>
    </xf>
    <xf numFmtId="0" fontId="66" fillId="0" borderId="0" xfId="1614" applyFont="1" applyAlignment="1">
      <alignment horizontal="left" vertical="center"/>
    </xf>
    <xf numFmtId="0" fontId="66" fillId="0" borderId="37" xfId="1614" applyFont="1" applyBorder="1" applyAlignment="1">
      <alignment horizontal="left" vertical="center"/>
    </xf>
    <xf numFmtId="0" fontId="56" fillId="0" borderId="0" xfId="1614" applyFont="1" applyAlignment="1">
      <alignment horizontal="left" vertical="top" wrapText="1"/>
    </xf>
    <xf numFmtId="37" fontId="115" fillId="0" borderId="36" xfId="1614" applyNumberFormat="1" applyBorder="1" applyAlignment="1">
      <alignment horizontal="center"/>
    </xf>
    <xf numFmtId="37" fontId="115" fillId="0" borderId="0" xfId="1614" applyNumberFormat="1" applyAlignment="1">
      <alignment horizontal="center"/>
    </xf>
    <xf numFmtId="168" fontId="47" fillId="0" borderId="3" xfId="714" applyFont="1" applyFill="1" applyBorder="1" applyAlignment="1">
      <alignment horizontal="center" vertical="center" wrapText="1"/>
    </xf>
    <xf numFmtId="0" fontId="58" fillId="0" borderId="0" xfId="1448" applyFont="1" applyAlignment="1">
      <alignment horizontal="center" wrapText="1"/>
    </xf>
    <xf numFmtId="0" fontId="47" fillId="0" borderId="3" xfId="1448" applyFont="1" applyBorder="1" applyAlignment="1">
      <alignment horizontal="center" vertical="center" wrapText="1"/>
    </xf>
    <xf numFmtId="0" fontId="59" fillId="0" borderId="3" xfId="1448" applyFont="1" applyBorder="1" applyAlignment="1">
      <alignment horizontal="center" vertical="center" wrapText="1"/>
    </xf>
    <xf numFmtId="0" fontId="168" fillId="42" borderId="90" xfId="2673" applyFont="1" applyFill="1" applyBorder="1" applyAlignment="1">
      <alignment horizontal="center" vertical="center" wrapText="1"/>
    </xf>
    <xf numFmtId="0" fontId="168" fillId="42" borderId="91" xfId="2673" applyFont="1" applyFill="1" applyBorder="1" applyAlignment="1">
      <alignment horizontal="center" vertical="center" wrapText="1"/>
    </xf>
    <xf numFmtId="0" fontId="168" fillId="42" borderId="92" xfId="2673" applyFont="1" applyFill="1" applyBorder="1" applyAlignment="1">
      <alignment horizontal="center" vertical="center" wrapText="1"/>
    </xf>
    <xf numFmtId="166" fontId="151" fillId="43" borderId="7" xfId="2673" applyNumberFormat="1" applyFont="1" applyFill="1" applyBorder="1" applyAlignment="1">
      <alignment horizontal="center" vertical="center" wrapText="1"/>
    </xf>
    <xf numFmtId="0" fontId="151" fillId="43" borderId="57" xfId="2673" applyFont="1" applyFill="1" applyBorder="1" applyAlignment="1">
      <alignment horizontal="center" vertical="center" wrapText="1"/>
    </xf>
    <xf numFmtId="1" fontId="139" fillId="43" borderId="7" xfId="2673" applyNumberFormat="1" applyFont="1" applyFill="1" applyBorder="1" applyAlignment="1">
      <alignment horizontal="center" vertical="center" wrapText="1"/>
    </xf>
    <xf numFmtId="1" fontId="139" fillId="43" borderId="57" xfId="2673" applyNumberFormat="1" applyFont="1" applyFill="1" applyBorder="1" applyAlignment="1">
      <alignment horizontal="center" vertical="center" wrapText="1"/>
    </xf>
    <xf numFmtId="0" fontId="139" fillId="43" borderId="7" xfId="2673" applyFont="1" applyFill="1" applyBorder="1" applyAlignment="1">
      <alignment horizontal="center" vertical="center" wrapText="1"/>
    </xf>
    <xf numFmtId="0" fontId="139" fillId="43" borderId="57" xfId="2673" applyFont="1" applyFill="1" applyBorder="1" applyAlignment="1">
      <alignment horizontal="center" vertical="center" wrapText="1"/>
    </xf>
    <xf numFmtId="1" fontId="151" fillId="0" borderId="3" xfId="2673" applyNumberFormat="1" applyFont="1" applyBorder="1" applyAlignment="1">
      <alignment horizontal="center" vertical="center" wrapText="1"/>
    </xf>
    <xf numFmtId="1" fontId="151" fillId="0" borderId="39" xfId="2673" applyNumberFormat="1" applyFont="1" applyBorder="1" applyAlignment="1">
      <alignment horizontal="center" vertical="center" wrapText="1"/>
    </xf>
    <xf numFmtId="2" fontId="139" fillId="43" borderId="61" xfId="2673" applyNumberFormat="1" applyFont="1" applyFill="1" applyBorder="1" applyAlignment="1">
      <alignment horizontal="center" vertical="center" wrapText="1"/>
    </xf>
    <xf numFmtId="2" fontId="139" fillId="43" borderId="94" xfId="2673" applyNumberFormat="1" applyFont="1" applyFill="1" applyBorder="1" applyAlignment="1">
      <alignment horizontal="center" vertical="center" wrapText="1"/>
    </xf>
    <xf numFmtId="0" fontId="171" fillId="0" borderId="49" xfId="2673" applyFont="1" applyBorder="1" applyAlignment="1">
      <alignment horizontal="center" vertical="center" wrapText="1"/>
    </xf>
    <xf numFmtId="0" fontId="171" fillId="0" borderId="57" xfId="2673" applyFont="1" applyBorder="1" applyAlignment="1">
      <alignment horizontal="center" vertical="center" wrapText="1"/>
    </xf>
    <xf numFmtId="0" fontId="171" fillId="44" borderId="3" xfId="2673" applyFont="1" applyFill="1" applyBorder="1" applyAlignment="1">
      <alignment horizontal="center" vertical="center" wrapText="1"/>
    </xf>
    <xf numFmtId="0" fontId="171" fillId="44" borderId="39" xfId="2673" applyFont="1" applyFill="1" applyBorder="1" applyAlignment="1">
      <alignment horizontal="center" vertical="center" wrapText="1"/>
    </xf>
    <xf numFmtId="1" fontId="139" fillId="0" borderId="3" xfId="2673" applyNumberFormat="1" applyFont="1" applyBorder="1" applyAlignment="1">
      <alignment horizontal="center" vertical="center" wrapText="1"/>
    </xf>
    <xf numFmtId="1" fontId="139" fillId="0" borderId="39" xfId="2673" applyNumberFormat="1" applyFont="1" applyBorder="1" applyAlignment="1">
      <alignment horizontal="center" vertical="center" wrapText="1"/>
    </xf>
    <xf numFmtId="2" fontId="139" fillId="0" borderId="3" xfId="2673" applyNumberFormat="1" applyFont="1" applyBorder="1" applyAlignment="1">
      <alignment horizontal="center" vertical="center" wrapText="1"/>
    </xf>
    <xf numFmtId="2" fontId="139" fillId="0" borderId="39" xfId="2673" applyNumberFormat="1" applyFont="1" applyBorder="1" applyAlignment="1">
      <alignment horizontal="center" vertical="center" wrapText="1"/>
    </xf>
    <xf numFmtId="2" fontId="139" fillId="45" borderId="3" xfId="2673" applyNumberFormat="1" applyFont="1" applyFill="1" applyBorder="1" applyAlignment="1">
      <alignment horizontal="center" vertical="center" wrapText="1"/>
    </xf>
    <xf numFmtId="2" fontId="139" fillId="45" borderId="39" xfId="2673" applyNumberFormat="1" applyFont="1" applyFill="1" applyBorder="1" applyAlignment="1">
      <alignment horizontal="center" vertical="center" wrapText="1"/>
    </xf>
    <xf numFmtId="9" fontId="139" fillId="35" borderId="63" xfId="2675" applyFont="1" applyFill="1" applyBorder="1" applyAlignment="1">
      <alignment horizontal="center" vertical="center" wrapText="1"/>
    </xf>
    <xf numFmtId="9" fontId="139" fillId="35" borderId="64" xfId="2675" applyFont="1" applyFill="1" applyBorder="1" applyAlignment="1">
      <alignment horizontal="center" vertical="center" wrapText="1"/>
    </xf>
    <xf numFmtId="2" fontId="139" fillId="35" borderId="3" xfId="2673" applyNumberFormat="1" applyFont="1" applyFill="1" applyBorder="1" applyAlignment="1">
      <alignment horizontal="center" vertical="center" wrapText="1"/>
    </xf>
    <xf numFmtId="2" fontId="139" fillId="35" borderId="39" xfId="2673" applyNumberFormat="1" applyFont="1" applyFill="1" applyBorder="1" applyAlignment="1">
      <alignment horizontal="center" vertical="center" wrapText="1"/>
    </xf>
    <xf numFmtId="0" fontId="12" fillId="0" borderId="95" xfId="2673" applyBorder="1" applyAlignment="1">
      <alignment horizontal="center" vertical="center" wrapText="1"/>
    </xf>
    <xf numFmtId="0" fontId="12" fillId="0" borderId="6" xfId="2673" applyBorder="1" applyAlignment="1">
      <alignment horizontal="center" vertical="center" wrapText="1"/>
    </xf>
    <xf numFmtId="0" fontId="12" fillId="0" borderId="96" xfId="2673" applyBorder="1" applyAlignment="1">
      <alignment horizontal="center" vertical="center" wrapText="1"/>
    </xf>
    <xf numFmtId="9" fontId="175" fillId="0" borderId="0" xfId="2675" applyFont="1" applyFill="1" applyBorder="1" applyAlignment="1">
      <alignment horizontal="center" vertical="center" wrapText="1"/>
    </xf>
    <xf numFmtId="0" fontId="172" fillId="37" borderId="0" xfId="2673" applyFont="1" applyFill="1" applyAlignment="1">
      <alignment horizontal="left" vertical="center" wrapText="1"/>
    </xf>
    <xf numFmtId="166" fontId="151" fillId="35" borderId="7" xfId="2673" applyNumberFormat="1" applyFont="1" applyFill="1" applyBorder="1" applyAlignment="1">
      <alignment horizontal="center" vertical="center" wrapText="1"/>
    </xf>
    <xf numFmtId="0" fontId="151" fillId="35" borderId="57" xfId="2673" applyFont="1" applyFill="1" applyBorder="1" applyAlignment="1">
      <alignment horizontal="center" vertical="center" wrapText="1"/>
    </xf>
    <xf numFmtId="2" fontId="139" fillId="35" borderId="61" xfId="2673" applyNumberFormat="1" applyFont="1" applyFill="1" applyBorder="1" applyAlignment="1">
      <alignment horizontal="center" vertical="center" wrapText="1"/>
    </xf>
    <xf numFmtId="2" fontId="139" fillId="35" borderId="94" xfId="2673" applyNumberFormat="1" applyFont="1" applyFill="1" applyBorder="1" applyAlignment="1">
      <alignment horizontal="center" vertical="center" wrapText="1"/>
    </xf>
    <xf numFmtId="0" fontId="168" fillId="41" borderId="90" xfId="2673" applyFont="1" applyFill="1" applyBorder="1" applyAlignment="1">
      <alignment horizontal="center" vertical="center" wrapText="1"/>
    </xf>
    <xf numFmtId="0" fontId="168" fillId="41" borderId="91" xfId="2673" applyFont="1" applyFill="1" applyBorder="1" applyAlignment="1">
      <alignment horizontal="center" vertical="center" wrapText="1"/>
    </xf>
    <xf numFmtId="0" fontId="168" fillId="41" borderId="92" xfId="2673" applyFont="1" applyFill="1" applyBorder="1" applyAlignment="1">
      <alignment horizontal="center" vertical="center" wrapText="1"/>
    </xf>
    <xf numFmtId="0" fontId="139" fillId="35" borderId="7" xfId="2673" applyFont="1" applyFill="1" applyBorder="1" applyAlignment="1">
      <alignment horizontal="center" vertical="center" wrapText="1"/>
    </xf>
    <xf numFmtId="0" fontId="139" fillId="35" borderId="57" xfId="2673" applyFont="1" applyFill="1" applyBorder="1" applyAlignment="1">
      <alignment horizontal="center" vertical="center" wrapText="1"/>
    </xf>
    <xf numFmtId="1" fontId="151" fillId="35" borderId="7" xfId="2673" applyNumberFormat="1" applyFont="1" applyFill="1" applyBorder="1" applyAlignment="1">
      <alignment horizontal="center" vertical="center" wrapText="1"/>
    </xf>
    <xf numFmtId="1" fontId="151" fillId="35" borderId="57" xfId="2673" applyNumberFormat="1" applyFont="1" applyFill="1" applyBorder="1" applyAlignment="1">
      <alignment horizontal="center" vertical="center" wrapText="1"/>
    </xf>
    <xf numFmtId="166" fontId="151" fillId="0" borderId="52" xfId="2673" applyNumberFormat="1" applyFont="1" applyBorder="1" applyAlignment="1">
      <alignment horizontal="center" vertical="center" wrapText="1"/>
    </xf>
    <xf numFmtId="0" fontId="151" fillId="0" borderId="53" xfId="2673" applyFont="1" applyBorder="1" applyAlignment="1">
      <alignment horizontal="center" vertical="center" wrapText="1"/>
    </xf>
    <xf numFmtId="9" fontId="139" fillId="0" borderId="63" xfId="2675" applyFont="1" applyFill="1" applyBorder="1" applyAlignment="1">
      <alignment horizontal="center" vertical="center" wrapText="1"/>
    </xf>
    <xf numFmtId="9" fontId="139" fillId="0" borderId="64" xfId="2675" applyFont="1" applyFill="1" applyBorder="1" applyAlignment="1">
      <alignment horizontal="center" vertical="center" wrapText="1"/>
    </xf>
    <xf numFmtId="0" fontId="13" fillId="34" borderId="76" xfId="2670" applyFill="1" applyBorder="1" applyAlignment="1">
      <alignment horizontal="center" vertical="center"/>
    </xf>
    <xf numFmtId="0" fontId="143" fillId="0" borderId="77" xfId="2670" applyFont="1" applyBorder="1" applyAlignment="1">
      <alignment horizontal="left" vertical="center"/>
    </xf>
    <xf numFmtId="0" fontId="116" fillId="38" borderId="3" xfId="1538" applyFill="1" applyBorder="1" applyAlignment="1">
      <alignment horizontal="center" vertical="center"/>
    </xf>
    <xf numFmtId="0" fontId="107" fillId="38" borderId="3" xfId="1538" applyFont="1" applyFill="1" applyBorder="1" applyAlignment="1">
      <alignment horizontal="center" vertical="center" wrapText="1"/>
    </xf>
    <xf numFmtId="0" fontId="53" fillId="0" borderId="3" xfId="1538" applyFont="1" applyBorder="1" applyAlignment="1">
      <alignment horizontal="center"/>
    </xf>
    <xf numFmtId="0" fontId="116" fillId="38" borderId="35" xfId="1538" applyFill="1" applyBorder="1" applyAlignment="1">
      <alignment horizontal="center" vertical="center" wrapText="1"/>
    </xf>
    <xf numFmtId="0" fontId="116" fillId="38" borderId="33" xfId="1538" applyFill="1" applyBorder="1" applyAlignment="1">
      <alignment horizontal="center" vertical="center" wrapText="1"/>
    </xf>
    <xf numFmtId="0" fontId="116" fillId="38" borderId="3" xfId="1538" applyFill="1" applyBorder="1" applyAlignment="1">
      <alignment horizontal="center" vertical="center" wrapText="1"/>
    </xf>
    <xf numFmtId="0" fontId="56" fillId="0" borderId="44" xfId="1538" applyFont="1" applyBorder="1" applyAlignment="1">
      <alignment horizontal="left"/>
    </xf>
    <xf numFmtId="0" fontId="155" fillId="0" borderId="0" xfId="1644" applyFont="1" applyAlignment="1">
      <alignment horizontal="center" vertical="center"/>
    </xf>
    <xf numFmtId="37" fontId="162" fillId="0" borderId="19" xfId="1614" applyNumberFormat="1" applyFont="1" applyBorder="1" applyAlignment="1">
      <alignment horizontal="center"/>
    </xf>
    <xf numFmtId="0" fontId="158" fillId="0" borderId="0" xfId="1614" applyFont="1" applyAlignment="1">
      <alignment horizontal="left" vertical="top" wrapText="1"/>
    </xf>
    <xf numFmtId="37" fontId="156" fillId="0" borderId="0" xfId="1614" applyNumberFormat="1" applyFont="1" applyAlignment="1">
      <alignment horizontal="center"/>
    </xf>
    <xf numFmtId="0" fontId="177" fillId="0" borderId="26" xfId="1614" applyFont="1" applyBorder="1" applyAlignment="1">
      <alignment horizontal="left" vertical="center" wrapText="1"/>
    </xf>
    <xf numFmtId="0" fontId="177" fillId="0" borderId="36" xfId="1614" applyFont="1" applyBorder="1" applyAlignment="1">
      <alignment horizontal="left" vertical="center" wrapText="1"/>
    </xf>
    <xf numFmtId="0" fontId="177" fillId="0" borderId="47" xfId="1614" applyFont="1" applyBorder="1" applyAlignment="1">
      <alignment horizontal="left" vertical="center" wrapText="1"/>
    </xf>
    <xf numFmtId="0" fontId="177" fillId="0" borderId="28" xfId="1614" applyFont="1" applyBorder="1" applyAlignment="1">
      <alignment horizontal="left" vertical="center" wrapText="1"/>
    </xf>
    <xf numFmtId="0" fontId="177" fillId="0" borderId="0" xfId="1614" applyFont="1" applyAlignment="1">
      <alignment horizontal="left" vertical="center" wrapText="1"/>
    </xf>
    <xf numFmtId="0" fontId="177" fillId="0" borderId="37" xfId="1614" applyFont="1" applyBorder="1" applyAlignment="1">
      <alignment horizontal="left" vertical="center" wrapText="1"/>
    </xf>
    <xf numFmtId="0" fontId="161" fillId="0" borderId="0" xfId="1652" applyFont="1" applyAlignment="1">
      <alignment horizontal="center" vertical="center"/>
    </xf>
    <xf numFmtId="0" fontId="156" fillId="0" borderId="0" xfId="1652" applyFont="1" applyAlignment="1">
      <alignment horizontal="center" vertical="center"/>
    </xf>
    <xf numFmtId="0" fontId="160" fillId="35" borderId="52" xfId="1614" applyFont="1" applyFill="1" applyBorder="1" applyAlignment="1">
      <alignment horizontal="center" vertical="center"/>
    </xf>
    <xf numFmtId="0" fontId="160" fillId="35" borderId="53" xfId="1614" applyFont="1" applyFill="1" applyBorder="1" applyAlignment="1">
      <alignment horizontal="center" vertical="center"/>
    </xf>
    <xf numFmtId="0" fontId="160" fillId="35" borderId="35" xfId="1652" applyFont="1" applyFill="1" applyBorder="1" applyAlignment="1">
      <alignment horizontal="center" vertical="center" wrapText="1"/>
    </xf>
    <xf numFmtId="0" fontId="160" fillId="35" borderId="33" xfId="1652" applyFont="1" applyFill="1" applyBorder="1" applyAlignment="1">
      <alignment horizontal="center" vertical="center" wrapText="1"/>
    </xf>
    <xf numFmtId="0" fontId="160" fillId="35" borderId="3" xfId="1614" applyFont="1" applyFill="1" applyBorder="1" applyAlignment="1">
      <alignment horizontal="center" vertical="center"/>
    </xf>
    <xf numFmtId="0" fontId="160" fillId="35" borderId="39" xfId="1614" applyFont="1" applyFill="1" applyBorder="1" applyAlignment="1">
      <alignment horizontal="center" vertical="center"/>
    </xf>
    <xf numFmtId="0" fontId="158" fillId="30" borderId="3" xfId="1614" applyFont="1" applyFill="1" applyBorder="1" applyAlignment="1">
      <alignment horizontal="center" vertical="center"/>
    </xf>
    <xf numFmtId="0" fontId="159" fillId="0" borderId="0" xfId="1652" applyFont="1" applyAlignment="1">
      <alignment horizontal="center" vertical="center"/>
    </xf>
    <xf numFmtId="37" fontId="156" fillId="0" borderId="36" xfId="1614" applyNumberFormat="1" applyFont="1" applyBorder="1" applyAlignment="1">
      <alignment horizontal="center"/>
    </xf>
    <xf numFmtId="0" fontId="160" fillId="35" borderId="50" xfId="1614" applyFont="1" applyFill="1" applyBorder="1" applyAlignment="1">
      <alignment horizontal="center" vertical="center"/>
    </xf>
    <xf numFmtId="0" fontId="160" fillId="35" borderId="48" xfId="1614" applyFont="1" applyFill="1" applyBorder="1" applyAlignment="1">
      <alignment horizontal="center" vertical="center"/>
    </xf>
    <xf numFmtId="0" fontId="160" fillId="35" borderId="51" xfId="1614" applyFont="1" applyFill="1" applyBorder="1" applyAlignment="1">
      <alignment horizontal="center" vertical="center"/>
    </xf>
    <xf numFmtId="0" fontId="160" fillId="35" borderId="21" xfId="1614" applyFont="1" applyFill="1" applyBorder="1" applyAlignment="1">
      <alignment horizontal="center" vertical="center"/>
    </xf>
    <xf numFmtId="0" fontId="160" fillId="35" borderId="33" xfId="1614" applyFont="1" applyFill="1" applyBorder="1" applyAlignment="1">
      <alignment horizontal="center" vertical="center"/>
    </xf>
    <xf numFmtId="0" fontId="160" fillId="35" borderId="51" xfId="1614" applyFont="1" applyFill="1" applyBorder="1" applyAlignment="1">
      <alignment horizontal="center" vertical="center" wrapText="1"/>
    </xf>
    <xf numFmtId="0" fontId="160" fillId="35" borderId="21" xfId="1614" applyFont="1" applyFill="1" applyBorder="1" applyAlignment="1">
      <alignment horizontal="center" vertical="center" wrapText="1"/>
    </xf>
    <xf numFmtId="0" fontId="160" fillId="35" borderId="33" xfId="1614" applyFont="1" applyFill="1" applyBorder="1" applyAlignment="1">
      <alignment horizontal="center" vertical="center" wrapText="1"/>
    </xf>
    <xf numFmtId="0" fontId="119" fillId="33" borderId="7" xfId="0" applyFont="1" applyFill="1" applyBorder="1" applyAlignment="1">
      <alignment horizontal="center"/>
    </xf>
    <xf numFmtId="0" fontId="119" fillId="33" borderId="41" xfId="0" applyFont="1" applyFill="1" applyBorder="1" applyAlignment="1">
      <alignment horizontal="center"/>
    </xf>
    <xf numFmtId="0" fontId="119" fillId="33" borderId="63" xfId="0" applyFont="1" applyFill="1" applyBorder="1" applyAlignment="1">
      <alignment horizontal="center"/>
    </xf>
    <xf numFmtId="0" fontId="119" fillId="33" borderId="3" xfId="0" applyFont="1" applyFill="1" applyBorder="1" applyAlignment="1">
      <alignment horizontal="center"/>
    </xf>
    <xf numFmtId="0" fontId="119" fillId="33" borderId="39" xfId="0" applyFont="1" applyFill="1" applyBorder="1" applyAlignment="1">
      <alignment horizontal="center"/>
    </xf>
    <xf numFmtId="0" fontId="119" fillId="33" borderId="61" xfId="0" applyFont="1" applyFill="1" applyBorder="1" applyAlignment="1">
      <alignment horizontal="center"/>
    </xf>
    <xf numFmtId="0" fontId="119" fillId="33" borderId="62" xfId="0" applyFont="1" applyFill="1" applyBorder="1" applyAlignment="1">
      <alignment horizontal="center"/>
    </xf>
    <xf numFmtId="0" fontId="119" fillId="33" borderId="64" xfId="0" applyFont="1" applyFill="1" applyBorder="1" applyAlignment="1">
      <alignment horizontal="center"/>
    </xf>
    <xf numFmtId="0" fontId="119" fillId="33" borderId="55" xfId="0" applyFont="1" applyFill="1" applyBorder="1" applyAlignment="1">
      <alignment horizontal="center" vertical="center"/>
    </xf>
    <xf numFmtId="0" fontId="119" fillId="33" borderId="56" xfId="0" applyFont="1" applyFill="1" applyBorder="1" applyAlignment="1">
      <alignment horizontal="center" vertical="center"/>
    </xf>
    <xf numFmtId="0" fontId="119" fillId="33" borderId="0" xfId="0" applyFont="1" applyFill="1" applyAlignment="1">
      <alignment horizontal="center" vertical="center" wrapText="1"/>
    </xf>
    <xf numFmtId="0" fontId="119" fillId="33" borderId="37" xfId="0" applyFont="1" applyFill="1" applyBorder="1" applyAlignment="1">
      <alignment horizontal="center" vertical="center" wrapText="1"/>
    </xf>
    <xf numFmtId="0" fontId="119" fillId="33" borderId="44" xfId="0" applyFont="1" applyFill="1" applyBorder="1" applyAlignment="1">
      <alignment horizontal="center" vertical="center" wrapText="1"/>
    </xf>
    <xf numFmtId="0" fontId="119" fillId="33" borderId="45" xfId="0" applyFont="1" applyFill="1" applyBorder="1" applyAlignment="1">
      <alignment horizontal="center" vertical="center" wrapText="1"/>
    </xf>
    <xf numFmtId="15" fontId="119" fillId="33" borderId="3" xfId="0" applyNumberFormat="1" applyFont="1" applyFill="1" applyBorder="1" applyAlignment="1">
      <alignment horizontal="center"/>
    </xf>
    <xf numFmtId="0" fontId="96" fillId="33" borderId="58" xfId="0" applyFont="1" applyFill="1" applyBorder="1" applyAlignment="1">
      <alignment horizontal="center" vertical="center"/>
    </xf>
    <xf numFmtId="0" fontId="96" fillId="33" borderId="40" xfId="0" applyFont="1" applyFill="1" applyBorder="1" applyAlignment="1">
      <alignment horizontal="center" vertical="center"/>
    </xf>
    <xf numFmtId="0" fontId="124" fillId="33" borderId="74" xfId="0" applyFont="1" applyFill="1" applyBorder="1" applyAlignment="1">
      <alignment horizontal="center" vertical="center" wrapText="1"/>
    </xf>
    <xf numFmtId="0" fontId="124" fillId="33" borderId="75" xfId="0" applyFont="1" applyFill="1" applyBorder="1" applyAlignment="1">
      <alignment horizontal="center" vertical="center" wrapText="1"/>
    </xf>
    <xf numFmtId="0" fontId="119" fillId="33" borderId="7" xfId="0" applyFont="1" applyFill="1" applyBorder="1" applyAlignment="1">
      <alignment horizontal="center" vertical="top" wrapText="1"/>
    </xf>
    <xf numFmtId="0" fontId="119" fillId="33" borderId="41" xfId="0" applyFont="1" applyFill="1" applyBorder="1" applyAlignment="1">
      <alignment horizontal="center" vertical="top" wrapText="1"/>
    </xf>
    <xf numFmtId="0" fontId="120" fillId="33" borderId="18" xfId="0" applyFont="1" applyFill="1" applyBorder="1" applyAlignment="1">
      <alignment horizontal="left" vertical="top" wrapText="1"/>
    </xf>
    <xf numFmtId="0" fontId="120" fillId="33" borderId="0" xfId="0" applyFont="1" applyFill="1" applyAlignment="1">
      <alignment horizontal="left" vertical="top" wrapText="1"/>
    </xf>
    <xf numFmtId="49" fontId="119" fillId="33" borderId="7" xfId="0" applyNumberFormat="1" applyFont="1" applyFill="1" applyBorder="1" applyAlignment="1">
      <alignment horizontal="center" vertical="center"/>
    </xf>
    <xf numFmtId="49" fontId="119" fillId="33" borderId="41" xfId="0" applyNumberFormat="1" applyFont="1" applyFill="1" applyBorder="1" applyAlignment="1">
      <alignment horizontal="center" vertical="center"/>
    </xf>
    <xf numFmtId="0" fontId="123" fillId="33" borderId="72" xfId="0" applyFont="1" applyFill="1" applyBorder="1" applyAlignment="1">
      <alignment horizontal="center" vertical="center"/>
    </xf>
    <xf numFmtId="0" fontId="123" fillId="33" borderId="73" xfId="0" applyFont="1" applyFill="1" applyBorder="1" applyAlignment="1">
      <alignment horizontal="center" vertical="center"/>
    </xf>
    <xf numFmtId="49" fontId="119" fillId="33" borderId="7" xfId="0" applyNumberFormat="1" applyFont="1" applyFill="1" applyBorder="1" applyAlignment="1">
      <alignment horizontal="center" vertical="top" wrapText="1"/>
    </xf>
    <xf numFmtId="49" fontId="119" fillId="33" borderId="41" xfId="0" applyNumberFormat="1" applyFont="1" applyFill="1" applyBorder="1" applyAlignment="1">
      <alignment horizontal="center" vertical="top" wrapText="1"/>
    </xf>
    <xf numFmtId="49" fontId="119" fillId="33" borderId="49" xfId="0" applyNumberFormat="1" applyFont="1" applyFill="1" applyBorder="1" applyAlignment="1">
      <alignment horizontal="center" vertical="center"/>
    </xf>
    <xf numFmtId="0" fontId="96" fillId="33" borderId="59" xfId="0" applyFont="1" applyFill="1" applyBorder="1" applyAlignment="1">
      <alignment horizontal="left" vertical="center"/>
    </xf>
    <xf numFmtId="0" fontId="96" fillId="33" borderId="60" xfId="0" applyFont="1" applyFill="1" applyBorder="1" applyAlignment="1">
      <alignment horizontal="left" vertical="center"/>
    </xf>
    <xf numFmtId="0" fontId="96" fillId="33" borderId="78" xfId="0" applyFont="1" applyFill="1" applyBorder="1" applyAlignment="1">
      <alignment horizontal="left" vertical="center"/>
    </xf>
    <xf numFmtId="0" fontId="137" fillId="33" borderId="59" xfId="0" applyFont="1" applyFill="1" applyBorder="1" applyAlignment="1">
      <alignment horizontal="left" vertical="center"/>
    </xf>
    <xf numFmtId="0" fontId="137" fillId="33" borderId="60" xfId="0" applyFont="1" applyFill="1" applyBorder="1" applyAlignment="1">
      <alignment horizontal="left" vertical="center"/>
    </xf>
    <xf numFmtId="49" fontId="119" fillId="33" borderId="49" xfId="0" applyNumberFormat="1" applyFont="1" applyFill="1" applyBorder="1" applyAlignment="1">
      <alignment horizontal="left" vertical="center"/>
    </xf>
    <xf numFmtId="49" fontId="119" fillId="33" borderId="41" xfId="0" applyNumberFormat="1" applyFont="1" applyFill="1" applyBorder="1" applyAlignment="1">
      <alignment horizontal="left" vertical="center"/>
    </xf>
    <xf numFmtId="0" fontId="120" fillId="33" borderId="18" xfId="0" applyFont="1" applyFill="1" applyBorder="1" applyAlignment="1">
      <alignment horizontal="left"/>
    </xf>
    <xf numFmtId="0" fontId="120" fillId="33" borderId="0" xfId="0" applyFont="1" applyFill="1" applyAlignment="1">
      <alignment horizontal="left"/>
    </xf>
    <xf numFmtId="0" fontId="120" fillId="33" borderId="37" xfId="0" applyFont="1" applyFill="1" applyBorder="1" applyAlignment="1">
      <alignment horizontal="left"/>
    </xf>
    <xf numFmtId="0" fontId="136" fillId="33" borderId="49" xfId="0" applyFont="1" applyFill="1" applyBorder="1" applyAlignment="1">
      <alignment horizontal="center" vertical="center"/>
    </xf>
    <xf numFmtId="0" fontId="136" fillId="33" borderId="7" xfId="0" applyFont="1" applyFill="1" applyBorder="1" applyAlignment="1">
      <alignment horizontal="center" vertical="center"/>
    </xf>
    <xf numFmtId="0" fontId="136" fillId="33" borderId="41" xfId="0" applyFont="1" applyFill="1" applyBorder="1" applyAlignment="1">
      <alignment horizontal="center" vertical="center"/>
    </xf>
    <xf numFmtId="0" fontId="120" fillId="33" borderId="49" xfId="0" applyFont="1" applyFill="1" applyBorder="1" applyAlignment="1">
      <alignment horizontal="center" vertical="center"/>
    </xf>
    <xf numFmtId="0" fontId="120" fillId="33" borderId="7" xfId="0" applyFont="1" applyFill="1" applyBorder="1" applyAlignment="1">
      <alignment horizontal="center" vertical="center"/>
    </xf>
    <xf numFmtId="0" fontId="120" fillId="33" borderId="57" xfId="0" applyFont="1" applyFill="1" applyBorder="1" applyAlignment="1">
      <alignment horizontal="center" vertical="center"/>
    </xf>
    <xf numFmtId="207" fontId="124" fillId="0" borderId="72" xfId="1450" applyNumberFormat="1" applyFont="1" applyBorder="1" applyAlignment="1">
      <alignment horizontal="left" vertical="center"/>
    </xf>
    <xf numFmtId="207" fontId="179" fillId="0" borderId="73" xfId="1450" applyNumberFormat="1" applyFont="1" applyBorder="1" applyAlignment="1">
      <alignment horizontal="left" vertical="center"/>
    </xf>
    <xf numFmtId="49" fontId="137" fillId="33" borderId="58" xfId="0" applyNumberFormat="1" applyFont="1" applyFill="1" applyBorder="1" applyAlignment="1">
      <alignment horizontal="left" vertical="center"/>
    </xf>
    <xf numFmtId="49" fontId="137" fillId="33" borderId="40" xfId="0" applyNumberFormat="1" applyFont="1" applyFill="1" applyBorder="1" applyAlignment="1">
      <alignment horizontal="left" vertical="center"/>
    </xf>
    <xf numFmtId="0" fontId="119" fillId="33" borderId="55" xfId="0" applyFont="1" applyFill="1" applyBorder="1" applyAlignment="1">
      <alignment horizontal="center"/>
    </xf>
    <xf numFmtId="0" fontId="119" fillId="33" borderId="56" xfId="0" applyFont="1" applyFill="1" applyBorder="1" applyAlignment="1">
      <alignment horizontal="center"/>
    </xf>
    <xf numFmtId="0" fontId="135" fillId="35" borderId="54" xfId="0" applyFont="1" applyFill="1" applyBorder="1" applyAlignment="1">
      <alignment horizontal="center" vertical="center"/>
    </xf>
    <xf numFmtId="0" fontId="135" fillId="35" borderId="36" xfId="0" applyFont="1" applyFill="1" applyBorder="1" applyAlignment="1">
      <alignment horizontal="center" vertical="center"/>
    </xf>
    <xf numFmtId="0" fontId="135" fillId="35" borderId="47" xfId="0" applyFont="1" applyFill="1" applyBorder="1" applyAlignment="1">
      <alignment horizontal="center" vertical="center"/>
    </xf>
    <xf numFmtId="0" fontId="135" fillId="35" borderId="43" xfId="0" applyFont="1" applyFill="1" applyBorder="1" applyAlignment="1">
      <alignment horizontal="center" vertical="center"/>
    </xf>
    <xf numFmtId="0" fontId="135" fillId="35" borderId="44" xfId="0" applyFont="1" applyFill="1" applyBorder="1" applyAlignment="1">
      <alignment horizontal="center" vertical="center"/>
    </xf>
    <xf numFmtId="0" fontId="135" fillId="35" borderId="45" xfId="0" applyFont="1" applyFill="1" applyBorder="1" applyAlignment="1">
      <alignment horizontal="center" vertical="center"/>
    </xf>
    <xf numFmtId="0" fontId="127" fillId="35" borderId="26" xfId="1451" applyFont="1" applyFill="1" applyBorder="1" applyAlignment="1">
      <alignment horizontal="center" vertical="center"/>
    </xf>
    <xf numFmtId="0" fontId="127" fillId="35" borderId="36" xfId="1451" applyFont="1" applyFill="1" applyBorder="1" applyAlignment="1">
      <alignment horizontal="center" vertical="center"/>
    </xf>
    <xf numFmtId="0" fontId="127" fillId="35" borderId="47" xfId="1451" applyFont="1" applyFill="1" applyBorder="1" applyAlignment="1">
      <alignment horizontal="center" vertical="center"/>
    </xf>
    <xf numFmtId="0" fontId="127" fillId="35" borderId="28" xfId="1451" applyFont="1" applyFill="1" applyBorder="1" applyAlignment="1">
      <alignment horizontal="center" vertical="center"/>
    </xf>
    <xf numFmtId="0" fontId="127" fillId="35" borderId="0" xfId="1451" applyFont="1" applyFill="1" applyAlignment="1">
      <alignment horizontal="center" vertical="center"/>
    </xf>
    <xf numFmtId="0" fontId="127" fillId="35" borderId="37" xfId="1451" applyFont="1" applyFill="1" applyBorder="1" applyAlignment="1">
      <alignment horizontal="center" vertical="center"/>
    </xf>
    <xf numFmtId="0" fontId="127" fillId="35" borderId="34" xfId="1451" applyFont="1" applyFill="1" applyBorder="1" applyAlignment="1">
      <alignment horizontal="center" vertical="center"/>
    </xf>
    <xf numFmtId="0" fontId="127" fillId="35" borderId="19" xfId="1451" applyFont="1" applyFill="1" applyBorder="1" applyAlignment="1">
      <alignment horizontal="center" vertical="center"/>
    </xf>
    <xf numFmtId="0" fontId="127" fillId="35" borderId="31" xfId="1451" applyFont="1" applyFill="1" applyBorder="1" applyAlignment="1">
      <alignment horizontal="center" vertical="center"/>
    </xf>
    <xf numFmtId="0" fontId="165" fillId="0" borderId="0" xfId="1451" applyFont="1" applyAlignment="1">
      <alignment horizontal="left"/>
    </xf>
    <xf numFmtId="0" fontId="181" fillId="0" borderId="0" xfId="0" applyFont="1" applyAlignment="1">
      <alignment horizontal="left" vertical="center" wrapText="1"/>
    </xf>
    <xf numFmtId="0" fontId="96" fillId="33" borderId="79" xfId="0" applyFont="1" applyFill="1" applyBorder="1" applyAlignment="1">
      <alignment horizontal="left" vertical="center"/>
    </xf>
    <xf numFmtId="0" fontId="96" fillId="33" borderId="80" xfId="0" applyFont="1" applyFill="1" applyBorder="1" applyAlignment="1">
      <alignment horizontal="left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5" fillId="48" borderId="20" xfId="1652" applyFont="1" applyFill="1" applyBorder="1" applyAlignment="1">
      <alignment horizontal="center" vertical="center"/>
    </xf>
    <xf numFmtId="0" fontId="132" fillId="48" borderId="20" xfId="1652" applyFont="1" applyFill="1" applyBorder="1" applyAlignment="1">
      <alignment horizontal="center" vertical="center"/>
    </xf>
    <xf numFmtId="0" fontId="48" fillId="0" borderId="21" xfId="1450" applyFont="1" applyBorder="1" applyAlignment="1">
      <alignment horizontal="left" vertical="center" wrapText="1"/>
    </xf>
    <xf numFmtId="0" fontId="1" fillId="0" borderId="21" xfId="1652" applyFont="1" applyBorder="1" applyAlignment="1">
      <alignment horizontal="left" vertical="center" wrapText="1"/>
    </xf>
    <xf numFmtId="43" fontId="158" fillId="0" borderId="0" xfId="1614" applyNumberFormat="1" applyFont="1" applyAlignment="1">
      <alignment horizontal="left" vertical="top" wrapText="1"/>
    </xf>
  </cellXfs>
  <cellStyles count="338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3" xfId="2901" xr:uid="{56C809E9-E525-4D16-BC9E-FF2A892E9B54}"/>
    <cellStyle name="Comma [0] 11 3" xfId="535" xr:uid="{00000000-0005-0000-0000-000017020000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3" xfId="2904" xr:uid="{5C3B9A18-950F-4DE5-9C52-1F1296869748}"/>
    <cellStyle name="Comma [0] 12 4" xfId="2902" xr:uid="{99BCCA6F-4BFA-416A-9F12-8C5740FF3EE9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3" xfId="2910" xr:uid="{7F54D159-D09E-4040-A8B6-00E4D5AA7A1B}"/>
    <cellStyle name="Comma [0] 18 3" xfId="557" xr:uid="{00000000-0005-0000-0000-00002D020000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3" xfId="2912" xr:uid="{644C7D1C-7334-47CC-B8D6-A430430C29FC}"/>
    <cellStyle name="Comma [0] 19 3" xfId="561" xr:uid="{00000000-0005-0000-0000-000031020000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3" xfId="2922" xr:uid="{52EB1D73-9647-4505-B93F-CC969CD219C3}"/>
    <cellStyle name="Comma [0] 2 2 2 2 2 2 2 4" xfId="2920" xr:uid="{E692216F-B0B4-4BB9-A627-97233D982EC6}"/>
    <cellStyle name="Comma [0] 2 2 2 2 2 2 3" xfId="578" xr:uid="{00000000-0005-0000-0000-000042020000}"/>
    <cellStyle name="Comma [0] 2 2 2 2 2 2 3 2" xfId="2923" xr:uid="{A77F1E1E-9D60-4752-9DC0-CE5DC06E53B1}"/>
    <cellStyle name="Comma [0] 2 2 2 2 2 2 4" xfId="579" xr:uid="{00000000-0005-0000-0000-000043020000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3" xfId="2925" xr:uid="{A759050E-D27B-4ACD-AF69-B645B0B10A9C}"/>
    <cellStyle name="Comma [0] 2 2 2 2 2 5" xfId="2918" xr:uid="{AB84DAE5-3105-48EE-AFA8-0E5AF34EEB9C}"/>
    <cellStyle name="Comma [0] 2 2 2 2 3" xfId="584" xr:uid="{00000000-0005-0000-0000-000048020000}"/>
    <cellStyle name="Comma [0] 2 2 2 2 3 2" xfId="2926" xr:uid="{18971653-2CA5-48DE-8267-773E1101B5DC}"/>
    <cellStyle name="Comma [0] 2 2 2 2 4" xfId="585" xr:uid="{00000000-0005-0000-0000-000049020000}"/>
    <cellStyle name="Comma [0] 2 2 2 2 4 2" xfId="2927" xr:uid="{E0FEAE12-E0E7-4348-8FEB-F32F57795C1C}"/>
    <cellStyle name="Comma [0] 2 2 2 2 5" xfId="586" xr:uid="{00000000-0005-0000-0000-00004A02000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3" xfId="2930" xr:uid="{86A4FE35-4158-4CB0-BDFA-84069A519708}"/>
    <cellStyle name="Comma [0] 2 2 2 6" xfId="593" xr:uid="{00000000-0005-0000-0000-00005102000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4" xfId="595" xr:uid="{00000000-0005-0000-0000-000053020000}"/>
    <cellStyle name="Comma [0] 2 2 4 2" xfId="2932" xr:uid="{C9CCE147-48D5-4E4B-9D1E-96FC8DCB7AAC}"/>
    <cellStyle name="Comma [0] 2 2 5" xfId="596" xr:uid="{00000000-0005-0000-0000-000054020000}"/>
    <cellStyle name="Comma [0] 2 2 5 2" xfId="2933" xr:uid="{3BA5F741-83D3-4C00-B64C-5D0C44E1BDB1}"/>
    <cellStyle name="Comma [0] 2 2 6" xfId="597" xr:uid="{00000000-0005-0000-0000-000055020000}"/>
    <cellStyle name="Comma [0] 2 2 6 2" xfId="598" xr:uid="{00000000-0005-0000-0000-000056020000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7" xfId="613" xr:uid="{00000000-0005-0000-0000-000065020000}"/>
    <cellStyle name="Comma [0] 2 3 8" xfId="614" xr:uid="{00000000-0005-0000-0000-000066020000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3" xfId="656" xr:uid="{00000000-0005-0000-0000-000090020000}"/>
    <cellStyle name="Comma [0] 23 2" xfId="2981" xr:uid="{F1385260-B0CB-4E72-8E4C-691543042BAB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3" xfId="2983" xr:uid="{D44D7F46-8DFB-4ED0-826F-5990A21DF477}"/>
    <cellStyle name="Comma [0] 24 3" xfId="660" xr:uid="{00000000-0005-0000-0000-000094020000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27 3" xfId="2985" xr:uid="{93C28C36-7A54-4C67-A9B8-2CB1E65E9557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4" xfId="2986" xr:uid="{3E11F46F-86BF-457D-AAF8-F36350F33CFF}"/>
    <cellStyle name="Comma [0] 3 3" xfId="669" xr:uid="{00000000-0005-0000-0000-00009D020000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3" xfId="3002" xr:uid="{FD19AC32-37E0-467E-AD02-D38723F54C9E}"/>
    <cellStyle name="Comma [0] 8 4" xfId="698" xr:uid="{00000000-0005-0000-0000-0000BA020000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3" xfId="3015" xr:uid="{D4296D05-C153-46E6-89B9-366396362C85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3" xfId="3022" xr:uid="{339E7626-38FF-4328-818B-93BEDF3DD077}"/>
    <cellStyle name="Comma 12 7" xfId="742" xr:uid="{00000000-0005-0000-0000-0000E6020000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3" xfId="3024" xr:uid="{F1E36446-09C1-480C-B039-710911FC658F}"/>
    <cellStyle name="Comma 13 3" xfId="746" xr:uid="{00000000-0005-0000-0000-0000EA020000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3" xfId="3027" xr:uid="{83581F20-972A-43C9-8419-BFF7BF04B014}"/>
    <cellStyle name="Comma 14 2 3" xfId="751" xr:uid="{00000000-0005-0000-0000-0000EF020000}"/>
    <cellStyle name="Comma 14 2 4" xfId="3026" xr:uid="{F8247EB5-E4C0-491D-8563-509141C72D57}"/>
    <cellStyle name="Comma 14 3" xfId="752" xr:uid="{00000000-0005-0000-0000-0000F0020000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3" xfId="3031" xr:uid="{57FE5085-1B76-45BD-9075-347E7B7AF522}"/>
    <cellStyle name="Comma 15 5" xfId="760" xr:uid="{00000000-0005-0000-0000-0000F8020000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3" xfId="3036" xr:uid="{79EB30D2-A693-4775-8421-B8C559DA9B2E}"/>
    <cellStyle name="Comma 18 3" xfId="769" xr:uid="{00000000-0005-0000-0000-000001030000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3" xfId="3057" xr:uid="{A912B6DB-EE4A-4651-A2DC-3EF2FC964E42}"/>
    <cellStyle name="Comma 2 2 2 2 2 2 2 4" xfId="3055" xr:uid="{A5F63825-5350-4D7B-9D88-09A52BA42B0B}"/>
    <cellStyle name="Comma 2 2 2 2 2 2 3" xfId="806" xr:uid="{00000000-0005-0000-0000-000026030000}"/>
    <cellStyle name="Comma 2 2 2 2 2 2 3 2" xfId="3058" xr:uid="{4D2EF11E-6DB9-49E1-A02C-F3AC680431D3}"/>
    <cellStyle name="Comma 2 2 2 2 2 2 4" xfId="807" xr:uid="{00000000-0005-0000-0000-000027030000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3" xfId="3060" xr:uid="{C2B9D5D3-AEF7-4D9C-8441-9C787B46E48A}"/>
    <cellStyle name="Comma 2 2 2 2 2 5" xfId="3053" xr:uid="{292E16A3-50C0-4300-B2A0-C61C77350C20}"/>
    <cellStyle name="Comma 2 2 2 2 3" xfId="812" xr:uid="{00000000-0005-0000-0000-00002C030000}"/>
    <cellStyle name="Comma 2 2 2 2 3 2" xfId="3061" xr:uid="{77E7F2D4-EB1C-49C4-B9B2-4930A683FA23}"/>
    <cellStyle name="Comma 2 2 2 2 4" xfId="813" xr:uid="{00000000-0005-0000-0000-00002D030000}"/>
    <cellStyle name="Comma 2 2 2 2 4 2" xfId="3062" xr:uid="{EF259039-703B-4878-97EA-1EF79FAA0879}"/>
    <cellStyle name="Comma 2 2 2 2 5" xfId="814" xr:uid="{00000000-0005-0000-0000-00002E030000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5" xfId="824" xr:uid="{00000000-0005-0000-0000-000038030000}"/>
    <cellStyle name="Comma 2 2 5 2" xfId="3068" xr:uid="{4BC0779D-8E6A-4D1A-A3B3-265220889FF9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3" xfId="3113" xr:uid="{12B0CA1A-DD18-42EB-8EA2-C30D64AB2CDB}"/>
    <cellStyle name="Comma 2 58 5" xfId="918" xr:uid="{00000000-0005-0000-0000-000096030000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3" xfId="3119" xr:uid="{BBE64F19-6DDB-4B0E-855F-8DBE7DE85715}"/>
    <cellStyle name="Comma 20 3" xfId="953" xr:uid="{00000000-0005-0000-0000-0000B903000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3" xfId="3121" xr:uid="{1ADD6D14-A05B-40A4-8BC2-B83F674A8B02}"/>
    <cellStyle name="Comma 21 3" xfId="957" xr:uid="{00000000-0005-0000-0000-0000BD030000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3" xfId="3123" xr:uid="{8662D34A-87FE-4E93-8D66-C4B9E2E8EC06}"/>
    <cellStyle name="Comma 22 3" xfId="961" xr:uid="{00000000-0005-0000-0000-0000C1030000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8" xfId="971" xr:uid="{00000000-0005-0000-0000-0000CB030000}"/>
    <cellStyle name="Comma 28 2" xfId="972" xr:uid="{00000000-0005-0000-0000-0000CC030000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3 4" xfId="3182" xr:uid="{9F82FAF5-27C0-45C9-84D7-C51609381F8D}"/>
    <cellStyle name="Comma 34" xfId="1038" xr:uid="{00000000-0005-0000-0000-00000E040000}"/>
    <cellStyle name="Comma 34 2" xfId="1039" xr:uid="{00000000-0005-0000-0000-00000F040000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3" xfId="3186" xr:uid="{F7828FDB-280A-4DB2-A34D-13055E70D125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 6" xfId="3185" xr:uid="{DB7B830A-8ED3-475D-9BE0-A00F7F10C261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2 3" xfId="3187" xr:uid="{C0A33045-EC4F-4689-9FC0-9AACC9E26ED7}"/>
    <cellStyle name="Comma 45" xfId="1056" xr:uid="{00000000-0005-0000-0000-000020040000}"/>
    <cellStyle name="Comma 45 2" xfId="1057" xr:uid="{00000000-0005-0000-0000-000021040000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3" xfId="3196" xr:uid="{617E6A58-3CD2-4746-8BB7-1993A4ABE718}"/>
    <cellStyle name="Comma 58" xfId="1076" xr:uid="{00000000-0005-0000-0000-000034040000}"/>
    <cellStyle name="Comma 58 2" xfId="1077" xr:uid="{00000000-0005-0000-0000-00003504000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3" xfId="3207" xr:uid="{648F0BE3-19F6-40CE-8536-897CE90C6E10}"/>
    <cellStyle name="Comma 7 4" xfId="3205" xr:uid="{B12EFE5C-D056-4BAE-B5DA-7C1A3BF49D5E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3" xfId="3213" xr:uid="{8971175D-897D-4AE1-AD6B-222E20BFBB24}"/>
    <cellStyle name="Comma 8 2 3" xfId="1104" xr:uid="{00000000-0005-0000-0000-000050040000}"/>
    <cellStyle name="Comma 8 2 4" xfId="3212" xr:uid="{27C17A73-FA94-4E80-84C4-AD3DCC26A00F}"/>
    <cellStyle name="Comma 8 3" xfId="1105" xr:uid="{00000000-0005-0000-0000-000051040000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 4" xfId="2694" xr:uid="{B37BEAAF-FB27-40B1-9038-FD4B8C20F131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5" xfId="2692" xr:uid="{44F62430-6188-47B9-AE7F-EB79CCC4D478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4" xfId="3260" xr:uid="{E2C51F0A-73AE-43E6-AC62-98B10C0EB78F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8" xfId="3262" xr:uid="{7D930580-CBA0-45C0-962B-5257BAEA215B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 4" xfId="3291" xr:uid="{635301BC-F383-4E63-BF06-A50CA37FCD63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 4" xfId="3292" xr:uid="{FC7A31D4-D0D5-4DC0-9A7C-2D437D486A01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 4" xfId="3293" xr:uid="{D50CF4AC-B985-4C69-81E1-3BDA35AF95F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 4" xfId="3294" xr:uid="{1F04B7CF-6F4D-4E5C-B9E3-2932436C5F49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 4" xfId="3295" xr:uid="{5C632049-1586-4B5A-9123-1A05AFD9A02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 4" xfId="3296" xr:uid="{E3B5CF06-C930-4B74-A8B7-98418645863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 4" xfId="3297" xr:uid="{B289E0C4-5219-4328-AC08-6E5162768C21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 4" xfId="3298" xr:uid="{A022EFBD-0457-43FE-93A2-9680FCED381E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 4" xfId="3299" xr:uid="{20B1DF31-EE27-4BF4-9C5F-CB505333A17B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 4" xfId="3300" xr:uid="{7D5523E1-E51F-43FA-9C11-61AE1ECCD06A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 4" xfId="3301" xr:uid="{DF392157-20FB-4C10-AC87-00CA2B72942E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 4" xfId="3302" xr:uid="{2DE4B2FC-83A0-42D7-94B8-94B0547F0684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 4" xfId="3303" xr:uid="{54DE021C-7E40-4199-BB26-9C931E4F2FEC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 4" xfId="3304" xr:uid="{89E1DADF-8075-420F-8FEA-FA29055B5505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 4" xfId="3305" xr:uid="{8505BD6A-B679-47FB-A836-85B46333D10C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 4" xfId="3306" xr:uid="{F2AAE5A1-C9B7-46F7-A1D2-A6FA25CC02E5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 4" xfId="3307" xr:uid="{9B262350-0361-47E3-B23D-C3EFDD4AFE3F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 4" xfId="3308" xr:uid="{F8AA5604-C2D9-4BE0-B93D-9A34B1900D2B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 4" xfId="3309" xr:uid="{B5ACD420-A955-4AF6-9320-2EF6F5AD10C9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 4" xfId="3310" xr:uid="{61BF7309-909A-4ECA-B0AE-E074E4D3769C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 4" xfId="3311" xr:uid="{7093E9B6-ED01-45E0-BEC8-A2F2498F82EA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 4" xfId="3312" xr:uid="{4A7AED1F-3FC2-4C72-B973-8AF1D1B8ACDA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 4" xfId="3313" xr:uid="{24DB31D7-9DB4-467D-B95E-F0141D29C108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 4" xfId="3314" xr:uid="{D59BE19E-0575-4AF6-842F-E0BFB23AB60A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 4" xfId="3315" xr:uid="{9EBB00CF-22C4-430E-B2A9-891E8141BA22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 4" xfId="3316" xr:uid="{5E8F4200-D52D-4291-BDA0-96B2B0949589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 4" xfId="3317" xr:uid="{44B22F36-8559-4FBC-8FC5-88C3AEB460F1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 4" xfId="3318" xr:uid="{DCD141E3-E3B2-4EB9-8A62-746BE733B7B1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 4" xfId="3319" xr:uid="{2AB9B911-8824-40B6-B1FF-1885532D25C7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 4" xfId="3320" xr:uid="{8DA3D6C4-A746-4F96-A1BC-AF4943EAEA31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 4" xfId="3321" xr:uid="{C898CEFB-A1A9-4083-879D-94769BB17A0F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 4" xfId="3322" xr:uid="{919DCAFD-BA45-4718-8F96-8AEF4E0E0177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 4" xfId="3323" xr:uid="{22A8AD11-F50E-42E3-867A-1EF75F3B0F6C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 4" xfId="3324" xr:uid="{37ADA00E-43B3-4467-9C41-A2D09F2A8622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 4" xfId="3325" xr:uid="{7CEDF028-2CCC-4D96-B89C-27E3600BD081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 4" xfId="3326" xr:uid="{71D3340D-4E70-4BF5-8C08-A8151F7FB7D3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 4" xfId="3327" xr:uid="{626AA525-C2FF-4DC6-9BE0-104D273D2CCA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 4" xfId="3328" xr:uid="{E79AC231-CFB8-4D87-B05C-317D4419DA07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 4" xfId="3329" xr:uid="{C592B71B-8874-41FC-9CE1-95C9B48FCA3E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 4" xfId="3330" xr:uid="{BB0ABEC9-B454-4F77-834C-6D611339CF04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 4" xfId="3331" xr:uid="{71C853B7-736D-4801-B9FD-393232A7E1E2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 4" xfId="3332" xr:uid="{4A540369-4FAD-42A7-9CF0-8DE0EB3AB369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 4" xfId="3333" xr:uid="{9CF2F042-3B53-40BB-9D37-89DA46C9BAAC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 4" xfId="3334" xr:uid="{16808FD0-904B-4EF0-AE2E-96D0A166EB7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 4" xfId="3335" xr:uid="{96678D52-40D5-4321-A6B8-177DED92CCE3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 4" xfId="3336" xr:uid="{7B758A73-490D-4951-94FD-64039D089986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 4" xfId="3337" xr:uid="{B6470EC2-4A3D-4F01-AF60-F61B55ACB861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 4" xfId="3338" xr:uid="{171EA315-9363-46C1-B053-286CD271FCA4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 4" xfId="3339" xr:uid="{FC1FFDCA-E227-471E-AC42-2CC6A6D58D84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 4" xfId="3340" xr:uid="{BA2B0224-85F1-4C99-8702-2F088FFF9A85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 4" xfId="3341" xr:uid="{01A20DE4-A345-447B-9688-84BD6B61BB48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 4" xfId="3342" xr:uid="{0F6AAF5E-DBDE-4B3B-BE82-533A4842E6B1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 4" xfId="3343" xr:uid="{BFE5131E-F159-4CF4-AC7E-5B687C0D0158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 4" xfId="3344" xr:uid="{0939E711-E70E-44FC-8AF8-6EF4F68302DA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 4" xfId="3345" xr:uid="{CA6ECB73-DBF2-4037-9B0E-9DC3B2279B9C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 4" xfId="3346" xr:uid="{9117C561-A2A7-463B-8EB7-96CB7B3F2EB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 4" xfId="3347" xr:uid="{18B86224-717E-4BE5-AEF4-219EE9E90F24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 4" xfId="3348" xr:uid="{FAA7F6CE-FB6F-4C49-82DB-30E61BFFB3D5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 4" xfId="3349" xr:uid="{CE352438-E17A-43B1-B0DA-37B3E816F236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 4" xfId="3350" xr:uid="{62463FE0-83C0-4B86-8705-E4B5A1ED376C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 4" xfId="3351" xr:uid="{5326EB08-B7DB-4850-86AA-689A98FA75AE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 4" xfId="3352" xr:uid="{D9FA8E9A-0515-48DB-97FE-65AEB04846EB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 4" xfId="3353" xr:uid="{262FA922-FC5B-49C6-85F9-FDB3DFD4364C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bt2 3" xfId="3386" xr:uid="{C388C377-9D31-4001-8867-7FA674D891F0}"/>
    <cellStyle name="subt1" xfId="2589" xr:uid="{00000000-0005-0000-0000-00001F0A0000}"/>
    <cellStyle name="subt1 2" xfId="2590" xr:uid="{00000000-0005-0000-0000-0000200A0000}"/>
    <cellStyle name="subt1 3" xfId="3387" xr:uid="{465694C6-D059-4306-8695-F4759D8BF803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63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0066"/>
      <color rgb="FFFF6699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0.6359999999999999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jpeg"/><Relationship Id="rId1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6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emf"/><Relationship Id="rId13" Type="http://schemas.openxmlformats.org/officeDocument/2006/relationships/image" Target="../media/image29.emf"/><Relationship Id="rId3" Type="http://schemas.openxmlformats.org/officeDocument/2006/relationships/image" Target="../media/image19.emf"/><Relationship Id="rId7" Type="http://schemas.openxmlformats.org/officeDocument/2006/relationships/image" Target="../media/image23.emf"/><Relationship Id="rId12" Type="http://schemas.openxmlformats.org/officeDocument/2006/relationships/image" Target="../media/image28.emf"/><Relationship Id="rId2" Type="http://schemas.openxmlformats.org/officeDocument/2006/relationships/image" Target="../media/image18.emf"/><Relationship Id="rId1" Type="http://schemas.openxmlformats.org/officeDocument/2006/relationships/image" Target="../media/image17.emf"/><Relationship Id="rId6" Type="http://schemas.openxmlformats.org/officeDocument/2006/relationships/image" Target="../media/image22.emf"/><Relationship Id="rId11" Type="http://schemas.openxmlformats.org/officeDocument/2006/relationships/image" Target="../media/image27.emf"/><Relationship Id="rId5" Type="http://schemas.openxmlformats.org/officeDocument/2006/relationships/image" Target="../media/image21.emf"/><Relationship Id="rId10" Type="http://schemas.openxmlformats.org/officeDocument/2006/relationships/image" Target="../media/image26.emf"/><Relationship Id="rId4" Type="http://schemas.openxmlformats.org/officeDocument/2006/relationships/image" Target="../media/image20.emf"/><Relationship Id="rId9" Type="http://schemas.openxmlformats.org/officeDocument/2006/relationships/image" Target="../media/image25.emf"/><Relationship Id="rId14" Type="http://schemas.openxmlformats.org/officeDocument/2006/relationships/image" Target="../media/image30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234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235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197</xdr:row>
      <xdr:rowOff>81642</xdr:rowOff>
    </xdr:from>
    <xdr:to>
      <xdr:col>12</xdr:col>
      <xdr:colOff>41108</xdr:colOff>
      <xdr:row>200</xdr:row>
      <xdr:rowOff>179158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62791</xdr:colOff>
      <xdr:row>19</xdr:row>
      <xdr:rowOff>80154</xdr:rowOff>
    </xdr:from>
    <xdr:to>
      <xdr:col>18</xdr:col>
      <xdr:colOff>354725</xdr:colOff>
      <xdr:row>29</xdr:row>
      <xdr:rowOff>111672</xdr:rowOff>
    </xdr:to>
    <xdr:cxnSp macro="">
      <xdr:nvCxnSpPr>
        <xdr:cNvPr id="88" name="Straight Connector 87">
          <a:extLst>
            <a:ext uri="{FF2B5EF4-FFF2-40B4-BE49-F238E27FC236}">
              <a16:creationId xmlns:a16="http://schemas.microsoft.com/office/drawing/2014/main" id="{C6644ED7-0879-404C-A308-272779FCE6E2}"/>
            </a:ext>
          </a:extLst>
        </xdr:cNvPr>
        <xdr:cNvCxnSpPr>
          <a:cxnSpLocks/>
        </xdr:cNvCxnSpPr>
      </xdr:nvCxnSpPr>
      <xdr:spPr>
        <a:xfrm>
          <a:off x="4562532" y="2990206"/>
          <a:ext cx="2196934" cy="1542380"/>
        </a:xfrm>
        <a:prstGeom prst="line">
          <a:avLst/>
        </a:prstGeom>
        <a:ln w="1524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145703</xdr:colOff>
      <xdr:row>42</xdr:row>
      <xdr:rowOff>19708</xdr:rowOff>
    </xdr:from>
    <xdr:to>
      <xdr:col>10</xdr:col>
      <xdr:colOff>159210</xdr:colOff>
      <xdr:row>54</xdr:row>
      <xdr:rowOff>93974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4E2409-CA33-46E7-A8E2-57DA5348D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772" y="6424449"/>
          <a:ext cx="3173179" cy="2012111"/>
        </a:xfrm>
        <a:prstGeom prst="rect">
          <a:avLst/>
        </a:prstGeom>
      </xdr:spPr>
    </xdr:pic>
    <xdr:clientData/>
  </xdr:twoCellAnchor>
  <xdr:twoCellAnchor>
    <xdr:from>
      <xdr:col>3</xdr:col>
      <xdr:colOff>274543</xdr:colOff>
      <xdr:row>13</xdr:row>
      <xdr:rowOff>129614</xdr:rowOff>
    </xdr:from>
    <xdr:to>
      <xdr:col>13</xdr:col>
      <xdr:colOff>89647</xdr:colOff>
      <xdr:row>19</xdr:row>
      <xdr:rowOff>89647</xdr:rowOff>
    </xdr:to>
    <xdr:cxnSp macro="">
      <xdr:nvCxnSpPr>
        <xdr:cNvPr id="175" name="Straight Connector 174">
          <a:extLst>
            <a:ext uri="{FF2B5EF4-FFF2-40B4-BE49-F238E27FC236}">
              <a16:creationId xmlns:a16="http://schemas.microsoft.com/office/drawing/2014/main" id="{32B82F94-84F6-4CD6-B756-485CF3EC4D60}"/>
            </a:ext>
          </a:extLst>
        </xdr:cNvPr>
        <xdr:cNvCxnSpPr>
          <a:cxnSpLocks/>
        </xdr:cNvCxnSpPr>
      </xdr:nvCxnSpPr>
      <xdr:spPr>
        <a:xfrm>
          <a:off x="969308" y="2169085"/>
          <a:ext cx="3625104" cy="901327"/>
        </a:xfrm>
        <a:prstGeom prst="line">
          <a:avLst/>
        </a:prstGeom>
        <a:ln w="1524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184703</xdr:colOff>
      <xdr:row>21</xdr:row>
      <xdr:rowOff>128289</xdr:rowOff>
    </xdr:from>
    <xdr:to>
      <xdr:col>19</xdr:col>
      <xdr:colOff>207115</xdr:colOff>
      <xdr:row>33</xdr:row>
      <xdr:rowOff>10819</xdr:rowOff>
    </xdr:to>
    <xdr:cxnSp macro="">
      <xdr:nvCxnSpPr>
        <xdr:cNvPr id="174" name="Straight Connector 173">
          <a:extLst>
            <a:ext uri="{FF2B5EF4-FFF2-40B4-BE49-F238E27FC236}">
              <a16:creationId xmlns:a16="http://schemas.microsoft.com/office/drawing/2014/main" id="{4F43C209-E53E-4023-905A-5E7DB7F3766D}"/>
            </a:ext>
          </a:extLst>
        </xdr:cNvPr>
        <xdr:cNvCxnSpPr>
          <a:cxnSpLocks/>
        </xdr:cNvCxnSpPr>
      </xdr:nvCxnSpPr>
      <xdr:spPr>
        <a:xfrm flipH="1" flipV="1">
          <a:off x="4303444" y="3340513"/>
          <a:ext cx="2689412" cy="1688996"/>
        </a:xfrm>
        <a:prstGeom prst="line">
          <a:avLst/>
        </a:prstGeom>
        <a:ln w="190500">
          <a:solidFill>
            <a:schemeClr val="tx2">
              <a:lumMod val="40000"/>
              <a:lumOff val="6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346387</xdr:colOff>
      <xdr:row>1</xdr:row>
      <xdr:rowOff>78442</xdr:rowOff>
    </xdr:from>
    <xdr:to>
      <xdr:col>21</xdr:col>
      <xdr:colOff>61686</xdr:colOff>
      <xdr:row>6</xdr:row>
      <xdr:rowOff>91566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D6474E8-45FB-41D1-9237-637ED47057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756152" y="235324"/>
          <a:ext cx="858299" cy="797536"/>
        </a:xfrm>
        <a:prstGeom prst="rect">
          <a:avLst/>
        </a:prstGeom>
      </xdr:spPr>
    </xdr:pic>
    <xdr:clientData/>
  </xdr:twoCellAnchor>
  <xdr:twoCellAnchor>
    <xdr:from>
      <xdr:col>26</xdr:col>
      <xdr:colOff>23969</xdr:colOff>
      <xdr:row>5</xdr:row>
      <xdr:rowOff>38072</xdr:rowOff>
    </xdr:from>
    <xdr:to>
      <xdr:col>29</xdr:col>
      <xdr:colOff>311192</xdr:colOff>
      <xdr:row>16</xdr:row>
      <xdr:rowOff>142121</xdr:rowOff>
    </xdr:to>
    <xdr:grpSp>
      <xdr:nvGrpSpPr>
        <xdr:cNvPr id="98" name="Group 97">
          <a:extLst>
            <a:ext uri="{FF2B5EF4-FFF2-40B4-BE49-F238E27FC236}">
              <a16:creationId xmlns:a16="http://schemas.microsoft.com/office/drawing/2014/main" id="{B0220285-EE97-4E6E-A95C-45576091A7EB}"/>
            </a:ext>
          </a:extLst>
        </xdr:cNvPr>
        <xdr:cNvGrpSpPr/>
      </xdr:nvGrpSpPr>
      <xdr:grpSpPr>
        <a:xfrm>
          <a:off x="9512334" y="822053"/>
          <a:ext cx="1488839" cy="1803895"/>
          <a:chOff x="9713886" y="808452"/>
          <a:chExt cx="1342558" cy="1766630"/>
        </a:xfrm>
      </xdr:grpSpPr>
      <xdr:grpSp>
        <xdr:nvGrpSpPr>
          <xdr:cNvPr id="100" name="Group 13">
            <a:extLst>
              <a:ext uri="{FF2B5EF4-FFF2-40B4-BE49-F238E27FC236}">
                <a16:creationId xmlns:a16="http://schemas.microsoft.com/office/drawing/2014/main" id="{50C9901A-C801-0776-8FE4-B2C270794108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61" name="Oval 1">
              <a:extLst>
                <a:ext uri="{FF2B5EF4-FFF2-40B4-BE49-F238E27FC236}">
                  <a16:creationId xmlns:a16="http://schemas.microsoft.com/office/drawing/2014/main" id="{5FF210CF-F4E7-3D2B-931B-2E7D3D8CA5C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62" name="Straight Connector 3">
              <a:extLst>
                <a:ext uri="{FF2B5EF4-FFF2-40B4-BE49-F238E27FC236}">
                  <a16:creationId xmlns:a16="http://schemas.microsoft.com/office/drawing/2014/main" id="{762C6821-1D93-EE49-F11E-3DB5AABA0D16}"/>
                </a:ext>
              </a:extLst>
            </xdr:cNvPr>
            <xdr:cNvCxnSpPr>
              <a:stCxn id="118" idx="1"/>
              <a:endCxn id="11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3" name="Straight Connector 7">
              <a:extLst>
                <a:ext uri="{FF2B5EF4-FFF2-40B4-BE49-F238E27FC236}">
                  <a16:creationId xmlns:a16="http://schemas.microsoft.com/office/drawing/2014/main" id="{1B71846B-C579-5610-4EB6-7B7798435E84}"/>
                </a:ext>
              </a:extLst>
            </xdr:cNvPr>
            <xdr:cNvCxnSpPr>
              <a:stCxn id="118" idx="3"/>
              <a:endCxn id="11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1" name="Oval 100">
            <a:extLst>
              <a:ext uri="{FF2B5EF4-FFF2-40B4-BE49-F238E27FC236}">
                <a16:creationId xmlns:a16="http://schemas.microsoft.com/office/drawing/2014/main" id="{1ED72490-DD0F-F5B2-9D07-9FDBFF9CBA22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02" name="Group 101">
            <a:extLst>
              <a:ext uri="{FF2B5EF4-FFF2-40B4-BE49-F238E27FC236}">
                <a16:creationId xmlns:a16="http://schemas.microsoft.com/office/drawing/2014/main" id="{205F34CF-2A28-583B-0529-95EF820167E1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58" name="Oval 157">
              <a:extLst>
                <a:ext uri="{FF2B5EF4-FFF2-40B4-BE49-F238E27FC236}">
                  <a16:creationId xmlns:a16="http://schemas.microsoft.com/office/drawing/2014/main" id="{C3F28DCD-DC48-0552-3329-10C656561C8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59" name="Straight Connector 158">
              <a:extLst>
                <a:ext uri="{FF2B5EF4-FFF2-40B4-BE49-F238E27FC236}">
                  <a16:creationId xmlns:a16="http://schemas.microsoft.com/office/drawing/2014/main" id="{F1CBA8F2-FE4F-39C6-8FAF-84768DBC520D}"/>
                </a:ext>
              </a:extLst>
            </xdr:cNvPr>
            <xdr:cNvCxnSpPr>
              <a:stCxn id="158" idx="1"/>
              <a:endCxn id="15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0" name="Straight Connector 159">
              <a:extLst>
                <a:ext uri="{FF2B5EF4-FFF2-40B4-BE49-F238E27FC236}">
                  <a16:creationId xmlns:a16="http://schemas.microsoft.com/office/drawing/2014/main" id="{193210BB-409A-7954-57CC-062A331656F6}"/>
                </a:ext>
              </a:extLst>
            </xdr:cNvPr>
            <xdr:cNvCxnSpPr>
              <a:stCxn id="158" idx="3"/>
              <a:endCxn id="15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3" name="Oval 102">
            <a:extLst>
              <a:ext uri="{FF2B5EF4-FFF2-40B4-BE49-F238E27FC236}">
                <a16:creationId xmlns:a16="http://schemas.microsoft.com/office/drawing/2014/main" id="{F02B710D-E15D-AA89-9665-0CC769BFB09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60384C31-6FCB-D2C4-0E0F-2E649056AAE9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01E2B950-29B2-1848-AF25-6F0E0904341B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" name="Straight Connector 106">
            <a:extLst>
              <a:ext uri="{FF2B5EF4-FFF2-40B4-BE49-F238E27FC236}">
                <a16:creationId xmlns:a16="http://schemas.microsoft.com/office/drawing/2014/main" id="{54B67F37-6DDC-578E-2CE0-DFE1705C93D8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31F3EC0C-6A4C-8FCA-A44F-AC48EC5D7460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05AD8B54-0AC0-B7F0-3D77-466C53073A16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4C89575F-E9A9-4E6A-8315-4A539A817DF0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5998B5BA-A3BE-E234-564D-CD863F59CECC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3" name="Straight Connector 112">
            <a:extLst>
              <a:ext uri="{FF2B5EF4-FFF2-40B4-BE49-F238E27FC236}">
                <a16:creationId xmlns:a16="http://schemas.microsoft.com/office/drawing/2014/main" id="{B164A5BD-E660-0ED4-7643-39E4750F9741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4" name="Straight Connector 113">
            <a:extLst>
              <a:ext uri="{FF2B5EF4-FFF2-40B4-BE49-F238E27FC236}">
                <a16:creationId xmlns:a16="http://schemas.microsoft.com/office/drawing/2014/main" id="{02560172-58A2-F70E-8398-72A7DD6E66CC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5" name="Straight Connector 114">
            <a:extLst>
              <a:ext uri="{FF2B5EF4-FFF2-40B4-BE49-F238E27FC236}">
                <a16:creationId xmlns:a16="http://schemas.microsoft.com/office/drawing/2014/main" id="{BAED6733-4F62-727A-6367-25EC7E3509F9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48073994-7726-FBA4-29A9-E67BD670DF9A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7" name="Straight Connector 116">
            <a:extLst>
              <a:ext uri="{FF2B5EF4-FFF2-40B4-BE49-F238E27FC236}">
                <a16:creationId xmlns:a16="http://schemas.microsoft.com/office/drawing/2014/main" id="{3A10A7BA-D8F2-457F-18D7-39C5629A1113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8" name="Straight Connector 50">
            <a:extLst>
              <a:ext uri="{FF2B5EF4-FFF2-40B4-BE49-F238E27FC236}">
                <a16:creationId xmlns:a16="http://schemas.microsoft.com/office/drawing/2014/main" id="{A48ACB9E-DB2C-5482-BD0D-17818437C24E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id="{26A2B502-9AD4-AE10-D55B-59AF1C84280B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Straight Connector 52">
            <a:extLst>
              <a:ext uri="{FF2B5EF4-FFF2-40B4-BE49-F238E27FC236}">
                <a16:creationId xmlns:a16="http://schemas.microsoft.com/office/drawing/2014/main" id="{2A50B355-713A-5306-DEF5-2813E63F066E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" name="Straight Connector 120">
            <a:extLst>
              <a:ext uri="{FF2B5EF4-FFF2-40B4-BE49-F238E27FC236}">
                <a16:creationId xmlns:a16="http://schemas.microsoft.com/office/drawing/2014/main" id="{2E46E561-9ED4-FFAB-8E91-4B4A7C837827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id="{6100DD25-324C-7EE6-E16C-4157668F3B76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783D031E-237B-C782-6AA5-40AB9166972C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Straight Connector 123">
            <a:extLst>
              <a:ext uri="{FF2B5EF4-FFF2-40B4-BE49-F238E27FC236}">
                <a16:creationId xmlns:a16="http://schemas.microsoft.com/office/drawing/2014/main" id="{544036DA-7162-B315-70F8-41114D46A032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" name="Straight Connector 124">
            <a:extLst>
              <a:ext uri="{FF2B5EF4-FFF2-40B4-BE49-F238E27FC236}">
                <a16:creationId xmlns:a16="http://schemas.microsoft.com/office/drawing/2014/main" id="{06DA957E-B201-6D9C-DE91-93254E2E2AB7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AFF13467-09EE-1738-6526-D89443F802F5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61661414-1DB8-836C-E270-81F6813D9654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8" name="Isosceles Triangle 127">
            <a:extLst>
              <a:ext uri="{FF2B5EF4-FFF2-40B4-BE49-F238E27FC236}">
                <a16:creationId xmlns:a16="http://schemas.microsoft.com/office/drawing/2014/main" id="{CAA7B0CB-CCEC-CEC2-346D-55BCC5B1C729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29" name="Isosceles Triangle 128">
            <a:extLst>
              <a:ext uri="{FF2B5EF4-FFF2-40B4-BE49-F238E27FC236}">
                <a16:creationId xmlns:a16="http://schemas.microsoft.com/office/drawing/2014/main" id="{D58C91C4-2BED-646A-0FE6-B34DEEACEB91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30" name="Group 73">
            <a:extLst>
              <a:ext uri="{FF2B5EF4-FFF2-40B4-BE49-F238E27FC236}">
                <a16:creationId xmlns:a16="http://schemas.microsoft.com/office/drawing/2014/main" id="{08552458-3D8C-CE19-2F7A-62E95A8513F1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156" name="TextBox 155">
              <a:extLst>
                <a:ext uri="{FF2B5EF4-FFF2-40B4-BE49-F238E27FC236}">
                  <a16:creationId xmlns:a16="http://schemas.microsoft.com/office/drawing/2014/main" id="{49D0E229-2B8E-C108-3DD9-8B759C8D524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57" name="Straight Connector 156">
              <a:extLst>
                <a:ext uri="{FF2B5EF4-FFF2-40B4-BE49-F238E27FC236}">
                  <a16:creationId xmlns:a16="http://schemas.microsoft.com/office/drawing/2014/main" id="{14539FCB-D89D-2884-260F-41CEC915BBDD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1" name="Group 74">
            <a:extLst>
              <a:ext uri="{FF2B5EF4-FFF2-40B4-BE49-F238E27FC236}">
                <a16:creationId xmlns:a16="http://schemas.microsoft.com/office/drawing/2014/main" id="{0A652D11-CE4C-B844-B3EF-62A803970F9B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54" name="TextBox 153">
              <a:extLst>
                <a:ext uri="{FF2B5EF4-FFF2-40B4-BE49-F238E27FC236}">
                  <a16:creationId xmlns:a16="http://schemas.microsoft.com/office/drawing/2014/main" id="{0D1C1100-84E2-239C-9A72-426777E3FF6E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55" name="Straight Connector 154">
              <a:extLst>
                <a:ext uri="{FF2B5EF4-FFF2-40B4-BE49-F238E27FC236}">
                  <a16:creationId xmlns:a16="http://schemas.microsoft.com/office/drawing/2014/main" id="{FD41C644-60AA-884E-BDB7-EDBF245FE343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2" name="Group 89">
            <a:extLst>
              <a:ext uri="{FF2B5EF4-FFF2-40B4-BE49-F238E27FC236}">
                <a16:creationId xmlns:a16="http://schemas.microsoft.com/office/drawing/2014/main" id="{F167137F-D4B0-1397-5D25-F0893FCE2079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50" name="Straight Connector 149">
              <a:extLst>
                <a:ext uri="{FF2B5EF4-FFF2-40B4-BE49-F238E27FC236}">
                  <a16:creationId xmlns:a16="http://schemas.microsoft.com/office/drawing/2014/main" id="{8922B58E-C463-5272-5B92-CEC79DE2519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1" name="Straight Connector 79">
              <a:extLst>
                <a:ext uri="{FF2B5EF4-FFF2-40B4-BE49-F238E27FC236}">
                  <a16:creationId xmlns:a16="http://schemas.microsoft.com/office/drawing/2014/main" id="{B43B55BE-F998-02E6-25F5-ECF496F07E2B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2" name="Straight Connector 80">
              <a:extLst>
                <a:ext uri="{FF2B5EF4-FFF2-40B4-BE49-F238E27FC236}">
                  <a16:creationId xmlns:a16="http://schemas.microsoft.com/office/drawing/2014/main" id="{04B550B3-FA10-EFCF-E2AB-FAA679F66B1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3" name="Straight Connector 88">
              <a:extLst>
                <a:ext uri="{FF2B5EF4-FFF2-40B4-BE49-F238E27FC236}">
                  <a16:creationId xmlns:a16="http://schemas.microsoft.com/office/drawing/2014/main" id="{CFCC0818-65BC-C4B3-B978-CE6E0D5563F3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3" name="Group 90">
            <a:extLst>
              <a:ext uri="{FF2B5EF4-FFF2-40B4-BE49-F238E27FC236}">
                <a16:creationId xmlns:a16="http://schemas.microsoft.com/office/drawing/2014/main" id="{87368B0D-E0CD-3EC2-D9A0-0DECB970356B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46" name="Straight Connector 145">
              <a:extLst>
                <a:ext uri="{FF2B5EF4-FFF2-40B4-BE49-F238E27FC236}">
                  <a16:creationId xmlns:a16="http://schemas.microsoft.com/office/drawing/2014/main" id="{1773F9F8-E733-B7FE-1BE9-0E51F202F454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7" name="Straight Connector 146">
              <a:extLst>
                <a:ext uri="{FF2B5EF4-FFF2-40B4-BE49-F238E27FC236}">
                  <a16:creationId xmlns:a16="http://schemas.microsoft.com/office/drawing/2014/main" id="{4B815E5A-9254-EAB0-25B5-DB58F08EADB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8" name="Straight Connector 147">
              <a:extLst>
                <a:ext uri="{FF2B5EF4-FFF2-40B4-BE49-F238E27FC236}">
                  <a16:creationId xmlns:a16="http://schemas.microsoft.com/office/drawing/2014/main" id="{71E14BAF-F324-EAD6-04F5-4B844C20A56E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9" name="Straight Connector 148">
              <a:extLst>
                <a:ext uri="{FF2B5EF4-FFF2-40B4-BE49-F238E27FC236}">
                  <a16:creationId xmlns:a16="http://schemas.microsoft.com/office/drawing/2014/main" id="{9D1016D4-6D69-38A3-56AA-375D12578899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2E37EC39-5E35-AD5A-5CF1-9E60DCC1786B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2F93CE7D-A8B4-47AE-2780-128DC91FD3EE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Arrow Connector 135">
            <a:extLst>
              <a:ext uri="{FF2B5EF4-FFF2-40B4-BE49-F238E27FC236}">
                <a16:creationId xmlns:a16="http://schemas.microsoft.com/office/drawing/2014/main" id="{543B080B-B410-476D-D7E4-29233BCF46BD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Arrow Connector 136">
            <a:extLst>
              <a:ext uri="{FF2B5EF4-FFF2-40B4-BE49-F238E27FC236}">
                <a16:creationId xmlns:a16="http://schemas.microsoft.com/office/drawing/2014/main" id="{9CE5843D-0E3D-41C4-D873-C5DD09EE3E3F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38" name="Group 155">
            <a:extLst>
              <a:ext uri="{FF2B5EF4-FFF2-40B4-BE49-F238E27FC236}">
                <a16:creationId xmlns:a16="http://schemas.microsoft.com/office/drawing/2014/main" id="{BCD8227E-6ADC-0C2E-C628-5734318E5A17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143" name="Isosceles Triangle 142">
              <a:extLst>
                <a:ext uri="{FF2B5EF4-FFF2-40B4-BE49-F238E27FC236}">
                  <a16:creationId xmlns:a16="http://schemas.microsoft.com/office/drawing/2014/main" id="{D5D0619C-2A09-8145-869D-DC68D98672FF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4" name="Isosceles Triangle 143">
              <a:extLst>
                <a:ext uri="{FF2B5EF4-FFF2-40B4-BE49-F238E27FC236}">
                  <a16:creationId xmlns:a16="http://schemas.microsoft.com/office/drawing/2014/main" id="{63569B17-CB95-BB1D-EEE2-A6BBA1434CD6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5" name="Isosceles Triangle 144">
              <a:extLst>
                <a:ext uri="{FF2B5EF4-FFF2-40B4-BE49-F238E27FC236}">
                  <a16:creationId xmlns:a16="http://schemas.microsoft.com/office/drawing/2014/main" id="{46E673B2-C5B4-81B5-1CE7-F1AE02D23F25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39" name="Group 134">
            <a:extLst>
              <a:ext uri="{FF2B5EF4-FFF2-40B4-BE49-F238E27FC236}">
                <a16:creationId xmlns:a16="http://schemas.microsoft.com/office/drawing/2014/main" id="{DE7D50AE-A8C0-40C8-BB73-94D53503059C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40" name="Isosceles Triangle 139">
              <a:extLst>
                <a:ext uri="{FF2B5EF4-FFF2-40B4-BE49-F238E27FC236}">
                  <a16:creationId xmlns:a16="http://schemas.microsoft.com/office/drawing/2014/main" id="{4C0D222E-E798-E1DC-0354-54940B5E541F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1" name="Isosceles Triangle 140">
              <a:extLst>
                <a:ext uri="{FF2B5EF4-FFF2-40B4-BE49-F238E27FC236}">
                  <a16:creationId xmlns:a16="http://schemas.microsoft.com/office/drawing/2014/main" id="{8CD2A0A7-05D6-F795-2C8E-E98E18B3555F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2" name="Isosceles Triangle 141">
              <a:extLst>
                <a:ext uri="{FF2B5EF4-FFF2-40B4-BE49-F238E27FC236}">
                  <a16:creationId xmlns:a16="http://schemas.microsoft.com/office/drawing/2014/main" id="{06E89104-C584-3527-D3B1-38B5C9AA9D92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2</xdr:col>
      <xdr:colOff>224203</xdr:colOff>
      <xdr:row>15</xdr:row>
      <xdr:rowOff>53522</xdr:rowOff>
    </xdr:from>
    <xdr:to>
      <xdr:col>4</xdr:col>
      <xdr:colOff>3678</xdr:colOff>
      <xdr:row>19</xdr:row>
      <xdr:rowOff>145359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55D83670-65CC-1E07-8204-BFBB3FD64F6E}"/>
            </a:ext>
          </a:extLst>
        </xdr:cNvPr>
        <xdr:cNvSpPr/>
      </xdr:nvSpPr>
      <xdr:spPr>
        <a:xfrm rot="924174">
          <a:off x="421272" y="2359229"/>
          <a:ext cx="653147" cy="696182"/>
        </a:xfrm>
        <a:prstGeom prst="rect">
          <a:avLst/>
        </a:prstGeom>
        <a:noFill/>
        <a:ln w="952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>
              <a:solidFill>
                <a:srgbClr val="FF0000"/>
              </a:solidFill>
            </a:rPr>
            <a:t>LULUK</a:t>
          </a:r>
          <a:r>
            <a:rPr lang="en-ID" sz="800" baseline="0">
              <a:solidFill>
                <a:srgbClr val="FF0000"/>
              </a:solidFill>
            </a:rPr>
            <a:t> NASEKAH</a:t>
          </a:r>
          <a:endParaRPr lang="en-ID" sz="800">
            <a:solidFill>
              <a:srgbClr val="FF0000"/>
            </a:solidFill>
          </a:endParaRPr>
        </a:p>
      </xdr:txBody>
    </xdr:sp>
    <xdr:clientData/>
  </xdr:twoCellAnchor>
  <xdr:twoCellAnchor>
    <xdr:from>
      <xdr:col>18</xdr:col>
      <xdr:colOff>309983</xdr:colOff>
      <xdr:row>27</xdr:row>
      <xdr:rowOff>103002</xdr:rowOff>
    </xdr:from>
    <xdr:to>
      <xdr:col>19</xdr:col>
      <xdr:colOff>17349</xdr:colOff>
      <xdr:row>28</xdr:row>
      <xdr:rowOff>46054</xdr:rowOff>
    </xdr:to>
    <xdr:grpSp>
      <xdr:nvGrpSpPr>
        <xdr:cNvPr id="190" name="Group 189">
          <a:extLst>
            <a:ext uri="{FF2B5EF4-FFF2-40B4-BE49-F238E27FC236}">
              <a16:creationId xmlns:a16="http://schemas.microsoft.com/office/drawing/2014/main" id="{108E7204-E74D-4C02-BB85-9256A527ECA6}"/>
            </a:ext>
          </a:extLst>
        </xdr:cNvPr>
        <xdr:cNvGrpSpPr/>
      </xdr:nvGrpSpPr>
      <xdr:grpSpPr>
        <a:xfrm>
          <a:off x="6713714" y="4279348"/>
          <a:ext cx="88366" cy="9691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91" name="Oval 190">
            <a:extLst>
              <a:ext uri="{FF2B5EF4-FFF2-40B4-BE49-F238E27FC236}">
                <a16:creationId xmlns:a16="http://schemas.microsoft.com/office/drawing/2014/main" id="{58BE2DCC-E1BB-4983-FECB-918E0615DF2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92" name="Straight Connector 191">
            <a:extLst>
              <a:ext uri="{FF2B5EF4-FFF2-40B4-BE49-F238E27FC236}">
                <a16:creationId xmlns:a16="http://schemas.microsoft.com/office/drawing/2014/main" id="{C1747A3E-9350-F373-C115-75007E2F6305}"/>
              </a:ext>
            </a:extLst>
          </xdr:cNvPr>
          <xdr:cNvCxnSpPr>
            <a:stCxn id="191" idx="1"/>
            <a:endCxn id="19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3" name="Straight Connector 192">
            <a:extLst>
              <a:ext uri="{FF2B5EF4-FFF2-40B4-BE49-F238E27FC236}">
                <a16:creationId xmlns:a16="http://schemas.microsoft.com/office/drawing/2014/main" id="{CCEF1296-D2B3-02AA-DD18-3B4605E4D277}"/>
              </a:ext>
            </a:extLst>
          </xdr:cNvPr>
          <xdr:cNvCxnSpPr>
            <a:stCxn id="191" idx="3"/>
            <a:endCxn id="19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136681</xdr:colOff>
      <xdr:row>14</xdr:row>
      <xdr:rowOff>84048</xdr:rowOff>
    </xdr:from>
    <xdr:to>
      <xdr:col>10</xdr:col>
      <xdr:colOff>34486</xdr:colOff>
      <xdr:row>18</xdr:row>
      <xdr:rowOff>112978</xdr:rowOff>
    </xdr:to>
    <xdr:cxnSp macro="">
      <xdr:nvCxnSpPr>
        <xdr:cNvPr id="99" name="Straight Connector 98">
          <a:extLst>
            <a:ext uri="{FF2B5EF4-FFF2-40B4-BE49-F238E27FC236}">
              <a16:creationId xmlns:a16="http://schemas.microsoft.com/office/drawing/2014/main" id="{236B0FE2-5DD7-4CB9-8C1D-EE401CA27C0B}"/>
            </a:ext>
          </a:extLst>
        </xdr:cNvPr>
        <xdr:cNvCxnSpPr>
          <a:stCxn id="47" idx="2"/>
          <a:endCxn id="62" idx="5"/>
        </xdr:cNvCxnSpPr>
      </xdr:nvCxnSpPr>
      <xdr:spPr>
        <a:xfrm flipH="1" flipV="1">
          <a:off x="826422" y="2238669"/>
          <a:ext cx="2564805" cy="633275"/>
        </a:xfrm>
        <a:prstGeom prst="line">
          <a:avLst/>
        </a:prstGeom>
        <a:ln w="63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147473</xdr:colOff>
      <xdr:row>29</xdr:row>
      <xdr:rowOff>133569</xdr:rowOff>
    </xdr:from>
    <xdr:to>
      <xdr:col>18</xdr:col>
      <xdr:colOff>254889</xdr:colOff>
      <xdr:row>30</xdr:row>
      <xdr:rowOff>81877</xdr:rowOff>
    </xdr:to>
    <xdr:grpSp>
      <xdr:nvGrpSpPr>
        <xdr:cNvPr id="37" name="Group 36">
          <a:extLst>
            <a:ext uri="{FF2B5EF4-FFF2-40B4-BE49-F238E27FC236}">
              <a16:creationId xmlns:a16="http://schemas.microsoft.com/office/drawing/2014/main" id="{CBB423E5-22DE-415A-9736-7AAB9C8B68D6}"/>
            </a:ext>
          </a:extLst>
        </xdr:cNvPr>
        <xdr:cNvGrpSpPr/>
      </xdr:nvGrpSpPr>
      <xdr:grpSpPr>
        <a:xfrm>
          <a:off x="6551204" y="4617646"/>
          <a:ext cx="107416" cy="9484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8" name="Oval 37">
            <a:extLst>
              <a:ext uri="{FF2B5EF4-FFF2-40B4-BE49-F238E27FC236}">
                <a16:creationId xmlns:a16="http://schemas.microsoft.com/office/drawing/2014/main" id="{D6735759-6C3D-C4BF-56D8-17A6FADB572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66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9" name="Straight Connector 38">
            <a:extLst>
              <a:ext uri="{FF2B5EF4-FFF2-40B4-BE49-F238E27FC236}">
                <a16:creationId xmlns:a16="http://schemas.microsoft.com/office/drawing/2014/main" id="{6CAD3D8F-170A-EA70-D253-2344C48F9FFD}"/>
              </a:ext>
            </a:extLst>
          </xdr:cNvPr>
          <xdr:cNvCxnSpPr>
            <a:stCxn id="38" idx="1"/>
            <a:endCxn id="3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" name="Straight Connector 39">
            <a:extLst>
              <a:ext uri="{FF2B5EF4-FFF2-40B4-BE49-F238E27FC236}">
                <a16:creationId xmlns:a16="http://schemas.microsoft.com/office/drawing/2014/main" id="{10287F1D-655E-8215-925A-5299104B334B}"/>
              </a:ext>
            </a:extLst>
          </xdr:cNvPr>
          <xdr:cNvCxnSpPr>
            <a:stCxn id="38" idx="3"/>
            <a:endCxn id="3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200572</xdr:colOff>
      <xdr:row>35</xdr:row>
      <xdr:rowOff>31532</xdr:rowOff>
    </xdr:from>
    <xdr:to>
      <xdr:col>17</xdr:col>
      <xdr:colOff>288938</xdr:colOff>
      <xdr:row>35</xdr:row>
      <xdr:rowOff>125671</xdr:rowOff>
    </xdr:to>
    <xdr:grpSp>
      <xdr:nvGrpSpPr>
        <xdr:cNvPr id="41" name="Group 40">
          <a:extLst>
            <a:ext uri="{FF2B5EF4-FFF2-40B4-BE49-F238E27FC236}">
              <a16:creationId xmlns:a16="http://schemas.microsoft.com/office/drawing/2014/main" id="{019C1CF1-3FE0-4D44-9E43-980B7D77F4FC}"/>
            </a:ext>
          </a:extLst>
        </xdr:cNvPr>
        <xdr:cNvGrpSpPr/>
      </xdr:nvGrpSpPr>
      <xdr:grpSpPr>
        <a:xfrm>
          <a:off x="6223303" y="5431474"/>
          <a:ext cx="88366" cy="9413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42" name="Oval 41">
            <a:extLst>
              <a:ext uri="{FF2B5EF4-FFF2-40B4-BE49-F238E27FC236}">
                <a16:creationId xmlns:a16="http://schemas.microsoft.com/office/drawing/2014/main" id="{317AAAA0-C346-FA7A-A610-EC90F99FA3F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A7321DBA-6DEC-0F56-A3E8-F7F91A1EB8DD}"/>
              </a:ext>
            </a:extLst>
          </xdr:cNvPr>
          <xdr:cNvCxnSpPr>
            <a:stCxn id="42" idx="1"/>
            <a:endCxn id="4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" name="Straight Connector 43">
            <a:extLst>
              <a:ext uri="{FF2B5EF4-FFF2-40B4-BE49-F238E27FC236}">
                <a16:creationId xmlns:a16="http://schemas.microsoft.com/office/drawing/2014/main" id="{B3162DFF-C2CA-C27B-0788-B024BDD55903}"/>
              </a:ext>
            </a:extLst>
          </xdr:cNvPr>
          <xdr:cNvCxnSpPr>
            <a:stCxn id="42" idx="3"/>
            <a:endCxn id="4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157656</xdr:colOff>
      <xdr:row>25</xdr:row>
      <xdr:rowOff>45983</xdr:rowOff>
    </xdr:from>
    <xdr:to>
      <xdr:col>19</xdr:col>
      <xdr:colOff>111673</xdr:colOff>
      <xdr:row>36</xdr:row>
      <xdr:rowOff>124811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947F2A46-70CA-4102-A283-EE1CDBC90F9B}"/>
            </a:ext>
          </a:extLst>
        </xdr:cNvPr>
        <xdr:cNvCxnSpPr/>
      </xdr:nvCxnSpPr>
      <xdr:spPr>
        <a:xfrm flipV="1">
          <a:off x="6181397" y="3862552"/>
          <a:ext cx="716017" cy="1734207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308742</xdr:colOff>
      <xdr:row>13</xdr:row>
      <xdr:rowOff>137949</xdr:rowOff>
    </xdr:from>
    <xdr:to>
      <xdr:col>3</xdr:col>
      <xdr:colOff>52553</xdr:colOff>
      <xdr:row>14</xdr:row>
      <xdr:rowOff>52552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8F549466-6232-4833-81BD-9D3B53DA8F62}"/>
            </a:ext>
          </a:extLst>
        </xdr:cNvPr>
        <xdr:cNvCxnSpPr>
          <a:cxnSpLocks/>
        </xdr:cNvCxnSpPr>
      </xdr:nvCxnSpPr>
      <xdr:spPr>
        <a:xfrm flipH="1" flipV="1">
          <a:off x="505811" y="2141483"/>
          <a:ext cx="236483" cy="6569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292235</xdr:colOff>
      <xdr:row>30</xdr:row>
      <xdr:rowOff>14777</xdr:rowOff>
    </xdr:from>
    <xdr:to>
      <xdr:col>18</xdr:col>
      <xdr:colOff>168410</xdr:colOff>
      <xdr:row>31</xdr:row>
      <xdr:rowOff>21127</xdr:rowOff>
    </xdr:to>
    <xdr:grpSp>
      <xdr:nvGrpSpPr>
        <xdr:cNvPr id="56" name="Group 55">
          <a:extLst>
            <a:ext uri="{FF2B5EF4-FFF2-40B4-BE49-F238E27FC236}">
              <a16:creationId xmlns:a16="http://schemas.microsoft.com/office/drawing/2014/main" id="{DE9EABA4-1EAE-4345-B213-3B0EE95CFCF2}"/>
            </a:ext>
          </a:extLst>
        </xdr:cNvPr>
        <xdr:cNvGrpSpPr/>
      </xdr:nvGrpSpPr>
      <xdr:grpSpPr>
        <a:xfrm>
          <a:off x="6314966" y="4645392"/>
          <a:ext cx="257175" cy="160216"/>
          <a:chOff x="4529992" y="2801837"/>
          <a:chExt cx="276714" cy="158750"/>
        </a:xfrm>
      </xdr:grpSpPr>
      <xdr:sp macro="" textlink="">
        <xdr:nvSpPr>
          <xdr:cNvPr id="75" name="Isosceles Triangle 74">
            <a:extLst>
              <a:ext uri="{FF2B5EF4-FFF2-40B4-BE49-F238E27FC236}">
                <a16:creationId xmlns:a16="http://schemas.microsoft.com/office/drawing/2014/main" id="{3D9459FA-1445-4DA4-B88B-3D1612AAD79E}"/>
              </a:ext>
            </a:extLst>
          </xdr:cNvPr>
          <xdr:cNvSpPr/>
        </xdr:nvSpPr>
        <xdr:spPr>
          <a:xfrm>
            <a:off x="4529992" y="2801837"/>
            <a:ext cx="142875" cy="152400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4" name="Isosceles Triangle 163">
            <a:extLst>
              <a:ext uri="{FF2B5EF4-FFF2-40B4-BE49-F238E27FC236}">
                <a16:creationId xmlns:a16="http://schemas.microsoft.com/office/drawing/2014/main" id="{A11D9E5E-1DC0-4AC0-96C1-1E3418707326}"/>
              </a:ext>
            </a:extLst>
          </xdr:cNvPr>
          <xdr:cNvSpPr/>
        </xdr:nvSpPr>
        <xdr:spPr>
          <a:xfrm>
            <a:off x="4593492" y="2808187"/>
            <a:ext cx="143364" cy="152400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5" name="Isosceles Triangle 164">
            <a:extLst>
              <a:ext uri="{FF2B5EF4-FFF2-40B4-BE49-F238E27FC236}">
                <a16:creationId xmlns:a16="http://schemas.microsoft.com/office/drawing/2014/main" id="{F96D9AC5-C29C-4A7B-9920-D1E9CE3E8AE6}"/>
              </a:ext>
            </a:extLst>
          </xdr:cNvPr>
          <xdr:cNvSpPr/>
        </xdr:nvSpPr>
        <xdr:spPr>
          <a:xfrm>
            <a:off x="4663342" y="2801837"/>
            <a:ext cx="143364" cy="152400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</xdr:col>
      <xdr:colOff>331124</xdr:colOff>
      <xdr:row>15</xdr:row>
      <xdr:rowOff>38290</xdr:rowOff>
    </xdr:from>
    <xdr:to>
      <xdr:col>2</xdr:col>
      <xdr:colOff>485624</xdr:colOff>
      <xdr:row>16</xdr:row>
      <xdr:rowOff>7576</xdr:rowOff>
    </xdr:to>
    <xdr:sp macro="" textlink="">
      <xdr:nvSpPr>
        <xdr:cNvPr id="166" name="Rectangle 165">
          <a:extLst>
            <a:ext uri="{FF2B5EF4-FFF2-40B4-BE49-F238E27FC236}">
              <a16:creationId xmlns:a16="http://schemas.microsoft.com/office/drawing/2014/main" id="{44CDA726-9E5E-4EA0-B08B-B74FFCBD0FCD}"/>
            </a:ext>
          </a:extLst>
        </xdr:cNvPr>
        <xdr:cNvSpPr/>
      </xdr:nvSpPr>
      <xdr:spPr>
        <a:xfrm rot="944513">
          <a:off x="528193" y="2343997"/>
          <a:ext cx="154500" cy="120372"/>
        </a:xfrm>
        <a:prstGeom prst="rect">
          <a:avLst/>
        </a:prstGeom>
        <a:solidFill>
          <a:srgbClr val="FF0000"/>
        </a:solidFill>
        <a:ln w="9525">
          <a:solidFill>
            <a:srgbClr val="FF00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>
              <a:solidFill>
                <a:srgbClr val="FF0000"/>
              </a:solidFill>
            </a:rPr>
            <a:t>BTS</a:t>
          </a:r>
        </a:p>
      </xdr:txBody>
    </xdr:sp>
    <xdr:clientData/>
  </xdr:twoCellAnchor>
  <xdr:twoCellAnchor>
    <xdr:from>
      <xdr:col>10</xdr:col>
      <xdr:colOff>126171</xdr:colOff>
      <xdr:row>18</xdr:row>
      <xdr:rowOff>145796</xdr:rowOff>
    </xdr:from>
    <xdr:to>
      <xdr:col>12</xdr:col>
      <xdr:colOff>138276</xdr:colOff>
      <xdr:row>20</xdr:row>
      <xdr:rowOff>26268</xdr:rowOff>
    </xdr:to>
    <xdr:cxnSp macro="">
      <xdr:nvCxnSpPr>
        <xdr:cNvPr id="167" name="Straight Connector 166">
          <a:extLst>
            <a:ext uri="{FF2B5EF4-FFF2-40B4-BE49-F238E27FC236}">
              <a16:creationId xmlns:a16="http://schemas.microsoft.com/office/drawing/2014/main" id="{97B48754-D2CB-4322-8D27-6D6FA87F357F}"/>
            </a:ext>
          </a:extLst>
        </xdr:cNvPr>
        <xdr:cNvCxnSpPr>
          <a:stCxn id="47" idx="5"/>
          <a:endCxn id="35" idx="2"/>
        </xdr:cNvCxnSpPr>
      </xdr:nvCxnSpPr>
      <xdr:spPr>
        <a:xfrm>
          <a:off x="3482912" y="2904762"/>
          <a:ext cx="774105" cy="182644"/>
        </a:xfrm>
        <a:prstGeom prst="line">
          <a:avLst/>
        </a:prstGeom>
        <a:ln w="63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47488</xdr:colOff>
      <xdr:row>20</xdr:row>
      <xdr:rowOff>149529</xdr:rowOff>
    </xdr:from>
    <xdr:to>
      <xdr:col>14</xdr:col>
      <xdr:colOff>35193</xdr:colOff>
      <xdr:row>22</xdr:row>
      <xdr:rowOff>80077</xdr:rowOff>
    </xdr:to>
    <xdr:sp macro="" textlink="">
      <xdr:nvSpPr>
        <xdr:cNvPr id="168" name="Rectangle 167">
          <a:extLst>
            <a:ext uri="{FF2B5EF4-FFF2-40B4-BE49-F238E27FC236}">
              <a16:creationId xmlns:a16="http://schemas.microsoft.com/office/drawing/2014/main" id="{F3C2C38F-9F25-499D-942D-8DE39C41A12A}"/>
            </a:ext>
          </a:extLst>
        </xdr:cNvPr>
        <xdr:cNvSpPr/>
      </xdr:nvSpPr>
      <xdr:spPr>
        <a:xfrm rot="2106538">
          <a:off x="4547229" y="3210667"/>
          <a:ext cx="368705" cy="232720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>
              <a:solidFill>
                <a:srgbClr val="FF0000"/>
              </a:solidFill>
            </a:rPr>
            <a:t>////</a:t>
          </a:r>
        </a:p>
      </xdr:txBody>
    </xdr:sp>
    <xdr:clientData/>
  </xdr:twoCellAnchor>
  <xdr:twoCellAnchor>
    <xdr:from>
      <xdr:col>18</xdr:col>
      <xdr:colOff>254889</xdr:colOff>
      <xdr:row>30</xdr:row>
      <xdr:rowOff>34808</xdr:rowOff>
    </xdr:from>
    <xdr:to>
      <xdr:col>18</xdr:col>
      <xdr:colOff>360198</xdr:colOff>
      <xdr:row>30</xdr:row>
      <xdr:rowOff>57588</xdr:rowOff>
    </xdr:to>
    <xdr:cxnSp macro="">
      <xdr:nvCxnSpPr>
        <xdr:cNvPr id="170" name="Straight Arrow Connector 169">
          <a:extLst>
            <a:ext uri="{FF2B5EF4-FFF2-40B4-BE49-F238E27FC236}">
              <a16:creationId xmlns:a16="http://schemas.microsoft.com/office/drawing/2014/main" id="{40F63ED3-3C78-4CFF-9D8E-D65F6B629956}"/>
            </a:ext>
          </a:extLst>
        </xdr:cNvPr>
        <xdr:cNvCxnSpPr>
          <a:cxnSpLocks/>
          <a:stCxn id="38" idx="6"/>
        </xdr:cNvCxnSpPr>
      </xdr:nvCxnSpPr>
      <xdr:spPr>
        <a:xfrm>
          <a:off x="6659630" y="4600239"/>
          <a:ext cx="105309" cy="2278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369794</xdr:colOff>
      <xdr:row>20</xdr:row>
      <xdr:rowOff>56029</xdr:rowOff>
    </xdr:from>
    <xdr:to>
      <xdr:col>12</xdr:col>
      <xdr:colOff>262759</xdr:colOff>
      <xdr:row>22</xdr:row>
      <xdr:rowOff>6569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084A62B2-9A06-4DB7-B336-7241DA5FCA72}"/>
            </a:ext>
          </a:extLst>
        </xdr:cNvPr>
        <xdr:cNvCxnSpPr>
          <a:cxnSpLocks/>
        </xdr:cNvCxnSpPr>
      </xdr:nvCxnSpPr>
      <xdr:spPr>
        <a:xfrm flipH="1" flipV="1">
          <a:off x="2202535" y="3117167"/>
          <a:ext cx="2178965" cy="252712"/>
        </a:xfrm>
        <a:prstGeom prst="line">
          <a:avLst/>
        </a:prstGeom>
        <a:ln w="190500">
          <a:solidFill>
            <a:schemeClr val="tx2">
              <a:lumMod val="40000"/>
              <a:lumOff val="6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118782</xdr:colOff>
      <xdr:row>20</xdr:row>
      <xdr:rowOff>44824</xdr:rowOff>
    </xdr:from>
    <xdr:to>
      <xdr:col>7</xdr:col>
      <xdr:colOff>56029</xdr:colOff>
      <xdr:row>24</xdr:row>
      <xdr:rowOff>6724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19353448-E645-42FD-A7DF-5FD939013B17}"/>
            </a:ext>
          </a:extLst>
        </xdr:cNvPr>
        <xdr:cNvCxnSpPr>
          <a:cxnSpLocks/>
        </xdr:cNvCxnSpPr>
      </xdr:nvCxnSpPr>
      <xdr:spPr>
        <a:xfrm flipH="1">
          <a:off x="813547" y="3182471"/>
          <a:ext cx="1461247" cy="589429"/>
        </a:xfrm>
        <a:prstGeom prst="line">
          <a:avLst/>
        </a:prstGeom>
        <a:ln w="190500">
          <a:solidFill>
            <a:schemeClr val="tx2">
              <a:lumMod val="40000"/>
              <a:lumOff val="6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258856</xdr:colOff>
      <xdr:row>23</xdr:row>
      <xdr:rowOff>11206</xdr:rowOff>
    </xdr:from>
    <xdr:to>
      <xdr:col>20</xdr:col>
      <xdr:colOff>33617</xdr:colOff>
      <xdr:row>37</xdr:row>
      <xdr:rowOff>102720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6D5E1969-F40E-4E54-82D6-8D540FEBFD94}"/>
            </a:ext>
          </a:extLst>
        </xdr:cNvPr>
        <xdr:cNvCxnSpPr>
          <a:cxnSpLocks/>
        </xdr:cNvCxnSpPr>
      </xdr:nvCxnSpPr>
      <xdr:spPr>
        <a:xfrm flipV="1">
          <a:off x="6287621" y="3619500"/>
          <a:ext cx="917761" cy="2276661"/>
        </a:xfrm>
        <a:prstGeom prst="line">
          <a:avLst/>
        </a:prstGeom>
        <a:ln w="1524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142218</xdr:colOff>
      <xdr:row>26</xdr:row>
      <xdr:rowOff>69193</xdr:rowOff>
    </xdr:from>
    <xdr:to>
      <xdr:col>16</xdr:col>
      <xdr:colOff>249634</xdr:colOff>
      <xdr:row>27</xdr:row>
      <xdr:rowOff>10932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BB4F475D-F561-4EE9-BFB7-2D5DF605DCA8}"/>
            </a:ext>
          </a:extLst>
        </xdr:cNvPr>
        <xdr:cNvGrpSpPr/>
      </xdr:nvGrpSpPr>
      <xdr:grpSpPr>
        <a:xfrm>
          <a:off x="5783949" y="4091674"/>
          <a:ext cx="107416" cy="9560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6" name="Oval 25">
            <a:extLst>
              <a:ext uri="{FF2B5EF4-FFF2-40B4-BE49-F238E27FC236}">
                <a16:creationId xmlns:a16="http://schemas.microsoft.com/office/drawing/2014/main" id="{271C9D48-13CC-B797-160A-94DE4BD5A217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66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7" name="Straight Connector 26">
            <a:extLst>
              <a:ext uri="{FF2B5EF4-FFF2-40B4-BE49-F238E27FC236}">
                <a16:creationId xmlns:a16="http://schemas.microsoft.com/office/drawing/2014/main" id="{D406B216-244E-4B48-8256-05B6D846F5F3}"/>
              </a:ext>
            </a:extLst>
          </xdr:cNvPr>
          <xdr:cNvCxnSpPr>
            <a:stCxn id="26" idx="1"/>
            <a:endCxn id="2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Straight Connector 27">
            <a:extLst>
              <a:ext uri="{FF2B5EF4-FFF2-40B4-BE49-F238E27FC236}">
                <a16:creationId xmlns:a16="http://schemas.microsoft.com/office/drawing/2014/main" id="{549E79B6-DDD2-06F1-2A5B-C72AEB4CD8F1}"/>
              </a:ext>
            </a:extLst>
          </xdr:cNvPr>
          <xdr:cNvCxnSpPr>
            <a:stCxn id="26" idx="3"/>
            <a:endCxn id="2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156670</xdr:colOff>
      <xdr:row>23</xdr:row>
      <xdr:rowOff>24523</xdr:rowOff>
    </xdr:from>
    <xdr:to>
      <xdr:col>14</xdr:col>
      <xdr:colOff>264086</xdr:colOff>
      <xdr:row>23</xdr:row>
      <xdr:rowOff>117348</xdr:rowOff>
    </xdr:to>
    <xdr:grpSp>
      <xdr:nvGrpSpPr>
        <xdr:cNvPr id="29" name="Group 28">
          <a:extLst>
            <a:ext uri="{FF2B5EF4-FFF2-40B4-BE49-F238E27FC236}">
              <a16:creationId xmlns:a16="http://schemas.microsoft.com/office/drawing/2014/main" id="{80E42CF7-0A14-4F7C-ADEC-F43CC972B542}"/>
            </a:ext>
          </a:extLst>
        </xdr:cNvPr>
        <xdr:cNvGrpSpPr/>
      </xdr:nvGrpSpPr>
      <xdr:grpSpPr>
        <a:xfrm>
          <a:off x="5036401" y="3585408"/>
          <a:ext cx="107416" cy="9282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0" name="Oval 29">
            <a:extLst>
              <a:ext uri="{FF2B5EF4-FFF2-40B4-BE49-F238E27FC236}">
                <a16:creationId xmlns:a16="http://schemas.microsoft.com/office/drawing/2014/main" id="{8A5797B9-F051-F1C3-B78E-D43F3263E5D9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66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1" name="Straight Connector 30">
            <a:extLst>
              <a:ext uri="{FF2B5EF4-FFF2-40B4-BE49-F238E27FC236}">
                <a16:creationId xmlns:a16="http://schemas.microsoft.com/office/drawing/2014/main" id="{AFF4D989-91A5-039D-9885-006C689AF5E7}"/>
              </a:ext>
            </a:extLst>
          </xdr:cNvPr>
          <xdr:cNvCxnSpPr>
            <a:stCxn id="30" idx="1"/>
            <a:endCxn id="3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" name="Straight Connector 31">
            <a:extLst>
              <a:ext uri="{FF2B5EF4-FFF2-40B4-BE49-F238E27FC236}">
                <a16:creationId xmlns:a16="http://schemas.microsoft.com/office/drawing/2014/main" id="{AC5378F5-283B-C64A-09F1-47F32F7D454E}"/>
              </a:ext>
            </a:extLst>
          </xdr:cNvPr>
          <xdr:cNvCxnSpPr>
            <a:stCxn id="30" idx="3"/>
            <a:endCxn id="3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138276</xdr:colOff>
      <xdr:row>19</xdr:row>
      <xdr:rowOff>130941</xdr:rowOff>
    </xdr:from>
    <xdr:to>
      <xdr:col>12</xdr:col>
      <xdr:colOff>245692</xdr:colOff>
      <xdr:row>20</xdr:row>
      <xdr:rowOff>72680</xdr:rowOff>
    </xdr:to>
    <xdr:grpSp>
      <xdr:nvGrpSpPr>
        <xdr:cNvPr id="33" name="Group 32">
          <a:extLst>
            <a:ext uri="{FF2B5EF4-FFF2-40B4-BE49-F238E27FC236}">
              <a16:creationId xmlns:a16="http://schemas.microsoft.com/office/drawing/2014/main" id="{5774B3E9-A8B2-4831-8230-3E575AD8ED4D}"/>
            </a:ext>
          </a:extLst>
        </xdr:cNvPr>
        <xdr:cNvGrpSpPr/>
      </xdr:nvGrpSpPr>
      <xdr:grpSpPr>
        <a:xfrm>
          <a:off x="4256007" y="3076364"/>
          <a:ext cx="107416" cy="9560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5" name="Oval 34">
            <a:extLst>
              <a:ext uri="{FF2B5EF4-FFF2-40B4-BE49-F238E27FC236}">
                <a16:creationId xmlns:a16="http://schemas.microsoft.com/office/drawing/2014/main" id="{2F64ABB6-045C-DE19-0BED-8E6A931ED759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66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6" name="Straight Connector 35">
            <a:extLst>
              <a:ext uri="{FF2B5EF4-FFF2-40B4-BE49-F238E27FC236}">
                <a16:creationId xmlns:a16="http://schemas.microsoft.com/office/drawing/2014/main" id="{9616064E-CDB9-ADF8-970C-8CC40B2D274B}"/>
              </a:ext>
            </a:extLst>
          </xdr:cNvPr>
          <xdr:cNvCxnSpPr>
            <a:stCxn id="35" idx="1"/>
            <a:endCxn id="3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" name="Straight Connector 44">
            <a:extLst>
              <a:ext uri="{FF2B5EF4-FFF2-40B4-BE49-F238E27FC236}">
                <a16:creationId xmlns:a16="http://schemas.microsoft.com/office/drawing/2014/main" id="{67898613-F79E-71D0-3ADE-B58791A91BE8}"/>
              </a:ext>
            </a:extLst>
          </xdr:cNvPr>
          <xdr:cNvCxnSpPr>
            <a:stCxn id="35" idx="3"/>
            <a:endCxn id="3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34486</xdr:colOff>
      <xdr:row>18</xdr:row>
      <xdr:rowOff>66565</xdr:rowOff>
    </xdr:from>
    <xdr:to>
      <xdr:col>10</xdr:col>
      <xdr:colOff>141902</xdr:colOff>
      <xdr:row>19</xdr:row>
      <xdr:rowOff>8304</xdr:rowOff>
    </xdr:to>
    <xdr:grpSp>
      <xdr:nvGrpSpPr>
        <xdr:cNvPr id="46" name="Group 45">
          <a:extLst>
            <a:ext uri="{FF2B5EF4-FFF2-40B4-BE49-F238E27FC236}">
              <a16:creationId xmlns:a16="http://schemas.microsoft.com/office/drawing/2014/main" id="{D6113021-6701-4C77-A49F-FAE86C8BE9E6}"/>
            </a:ext>
          </a:extLst>
        </xdr:cNvPr>
        <xdr:cNvGrpSpPr/>
      </xdr:nvGrpSpPr>
      <xdr:grpSpPr>
        <a:xfrm>
          <a:off x="3390217" y="2858123"/>
          <a:ext cx="107416" cy="9560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47" name="Oval 46">
            <a:extLst>
              <a:ext uri="{FF2B5EF4-FFF2-40B4-BE49-F238E27FC236}">
                <a16:creationId xmlns:a16="http://schemas.microsoft.com/office/drawing/2014/main" id="{44134840-925C-D4DF-099A-6C7DA21661B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66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8" name="Straight Connector 47">
            <a:extLst>
              <a:ext uri="{FF2B5EF4-FFF2-40B4-BE49-F238E27FC236}">
                <a16:creationId xmlns:a16="http://schemas.microsoft.com/office/drawing/2014/main" id="{D711AE68-E8D9-4682-24CD-1BB1B4007F4F}"/>
              </a:ext>
            </a:extLst>
          </xdr:cNvPr>
          <xdr:cNvCxnSpPr>
            <a:stCxn id="47" idx="1"/>
            <a:endCxn id="4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" name="Straight Connector 48">
            <a:extLst>
              <a:ext uri="{FF2B5EF4-FFF2-40B4-BE49-F238E27FC236}">
                <a16:creationId xmlns:a16="http://schemas.microsoft.com/office/drawing/2014/main" id="{311145B4-9125-0166-0762-6EC674305990}"/>
              </a:ext>
            </a:extLst>
          </xdr:cNvPr>
          <xdr:cNvCxnSpPr>
            <a:stCxn id="47" idx="3"/>
            <a:endCxn id="4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311696</xdr:colOff>
      <xdr:row>17</xdr:row>
      <xdr:rowOff>15328</xdr:rowOff>
    </xdr:from>
    <xdr:to>
      <xdr:col>8</xdr:col>
      <xdr:colOff>38112</xdr:colOff>
      <xdr:row>17</xdr:row>
      <xdr:rowOff>108153</xdr:rowOff>
    </xdr:to>
    <xdr:grpSp>
      <xdr:nvGrpSpPr>
        <xdr:cNvPr id="50" name="Group 49">
          <a:extLst>
            <a:ext uri="{FF2B5EF4-FFF2-40B4-BE49-F238E27FC236}">
              <a16:creationId xmlns:a16="http://schemas.microsoft.com/office/drawing/2014/main" id="{60DAB681-5D40-4225-BB81-7093780B0CF1}"/>
            </a:ext>
          </a:extLst>
        </xdr:cNvPr>
        <xdr:cNvGrpSpPr/>
      </xdr:nvGrpSpPr>
      <xdr:grpSpPr>
        <a:xfrm>
          <a:off x="2524427" y="2653020"/>
          <a:ext cx="107416" cy="9282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52" name="Oval 51">
            <a:extLst>
              <a:ext uri="{FF2B5EF4-FFF2-40B4-BE49-F238E27FC236}">
                <a16:creationId xmlns:a16="http://schemas.microsoft.com/office/drawing/2014/main" id="{FF2837AD-2D2D-C28F-A0AC-10A54562CCEA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66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2EED979D-8C63-F837-A6E6-D974B0899C77}"/>
              </a:ext>
            </a:extLst>
          </xdr:cNvPr>
          <xdr:cNvCxnSpPr>
            <a:stCxn id="52" idx="1"/>
            <a:endCxn id="5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" name="Straight Connector 53">
            <a:extLst>
              <a:ext uri="{FF2B5EF4-FFF2-40B4-BE49-F238E27FC236}">
                <a16:creationId xmlns:a16="http://schemas.microsoft.com/office/drawing/2014/main" id="{53835FBE-A739-C3BB-55AC-2E66A9BB1A0B}"/>
              </a:ext>
            </a:extLst>
          </xdr:cNvPr>
          <xdr:cNvCxnSpPr>
            <a:stCxn id="52" idx="3"/>
            <a:endCxn id="5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142217</xdr:colOff>
      <xdr:row>15</xdr:row>
      <xdr:rowOff>88900</xdr:rowOff>
    </xdr:from>
    <xdr:to>
      <xdr:col>5</xdr:col>
      <xdr:colOff>249633</xdr:colOff>
      <xdr:row>16</xdr:row>
      <xdr:rowOff>30639</xdr:rowOff>
    </xdr:to>
    <xdr:grpSp>
      <xdr:nvGrpSpPr>
        <xdr:cNvPr id="57" name="Group 56">
          <a:extLst>
            <a:ext uri="{FF2B5EF4-FFF2-40B4-BE49-F238E27FC236}">
              <a16:creationId xmlns:a16="http://schemas.microsoft.com/office/drawing/2014/main" id="{CA2C69C0-7F2E-4AB0-A183-37B002A1AB5C}"/>
            </a:ext>
          </a:extLst>
        </xdr:cNvPr>
        <xdr:cNvGrpSpPr/>
      </xdr:nvGrpSpPr>
      <xdr:grpSpPr>
        <a:xfrm>
          <a:off x="1592948" y="2418862"/>
          <a:ext cx="107416" cy="9560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58" name="Oval 57">
            <a:extLst>
              <a:ext uri="{FF2B5EF4-FFF2-40B4-BE49-F238E27FC236}">
                <a16:creationId xmlns:a16="http://schemas.microsoft.com/office/drawing/2014/main" id="{E52D360E-65B9-845A-B38E-23BE18369FC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66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9" name="Straight Connector 58">
            <a:extLst>
              <a:ext uri="{FF2B5EF4-FFF2-40B4-BE49-F238E27FC236}">
                <a16:creationId xmlns:a16="http://schemas.microsoft.com/office/drawing/2014/main" id="{7D486835-55DC-81B4-5326-4BB16F072BC5}"/>
              </a:ext>
            </a:extLst>
          </xdr:cNvPr>
          <xdr:cNvCxnSpPr>
            <a:stCxn id="58" idx="1"/>
            <a:endCxn id="5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0" name="Straight Connector 59">
            <a:extLst>
              <a:ext uri="{FF2B5EF4-FFF2-40B4-BE49-F238E27FC236}">
                <a16:creationId xmlns:a16="http://schemas.microsoft.com/office/drawing/2014/main" id="{DAC9B7F1-1864-BA70-D97A-7C4A6492F1CA}"/>
              </a:ext>
            </a:extLst>
          </xdr:cNvPr>
          <xdr:cNvCxnSpPr>
            <a:stCxn id="58" idx="3"/>
            <a:endCxn id="5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44996</xdr:colOff>
      <xdr:row>14</xdr:row>
      <xdr:rowOff>4817</xdr:rowOff>
    </xdr:from>
    <xdr:to>
      <xdr:col>3</xdr:col>
      <xdr:colOff>152412</xdr:colOff>
      <xdr:row>14</xdr:row>
      <xdr:rowOff>97642</xdr:rowOff>
    </xdr:to>
    <xdr:grpSp>
      <xdr:nvGrpSpPr>
        <xdr:cNvPr id="61" name="Group 60">
          <a:extLst>
            <a:ext uri="{FF2B5EF4-FFF2-40B4-BE49-F238E27FC236}">
              <a16:creationId xmlns:a16="http://schemas.microsoft.com/office/drawing/2014/main" id="{5AF75C35-4BFE-4E00-B9CD-7D285DDB82E7}"/>
            </a:ext>
          </a:extLst>
        </xdr:cNvPr>
        <xdr:cNvGrpSpPr/>
      </xdr:nvGrpSpPr>
      <xdr:grpSpPr>
        <a:xfrm>
          <a:off x="733727" y="2180913"/>
          <a:ext cx="107416" cy="9282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2" name="Oval 61">
            <a:extLst>
              <a:ext uri="{FF2B5EF4-FFF2-40B4-BE49-F238E27FC236}">
                <a16:creationId xmlns:a16="http://schemas.microsoft.com/office/drawing/2014/main" id="{3822466B-3815-5AD6-1A64-1350D0C1680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66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63" name="Straight Connector 62">
            <a:extLst>
              <a:ext uri="{FF2B5EF4-FFF2-40B4-BE49-F238E27FC236}">
                <a16:creationId xmlns:a16="http://schemas.microsoft.com/office/drawing/2014/main" id="{FB812AE6-F4C4-2ABF-9225-18B01CBFD744}"/>
              </a:ext>
            </a:extLst>
          </xdr:cNvPr>
          <xdr:cNvCxnSpPr>
            <a:stCxn id="62" idx="1"/>
            <a:endCxn id="6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4" name="Straight Connector 63">
            <a:extLst>
              <a:ext uri="{FF2B5EF4-FFF2-40B4-BE49-F238E27FC236}">
                <a16:creationId xmlns:a16="http://schemas.microsoft.com/office/drawing/2014/main" id="{477E2A4B-5391-6CBF-989F-8BAA1075729E}"/>
              </a:ext>
            </a:extLst>
          </xdr:cNvPr>
          <xdr:cNvCxnSpPr>
            <a:stCxn id="62" idx="3"/>
            <a:endCxn id="6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245692</xdr:colOff>
      <xdr:row>20</xdr:row>
      <xdr:rowOff>26268</xdr:rowOff>
    </xdr:from>
    <xdr:to>
      <xdr:col>18</xdr:col>
      <xdr:colOff>163204</xdr:colOff>
      <xdr:row>30</xdr:row>
      <xdr:rowOff>2646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1AB4EAB2-9860-48CC-BE0E-2150DA5CA68B}"/>
            </a:ext>
          </a:extLst>
        </xdr:cNvPr>
        <xdr:cNvCxnSpPr>
          <a:stCxn id="35" idx="6"/>
          <a:endCxn id="38" idx="1"/>
        </xdr:cNvCxnSpPr>
      </xdr:nvCxnSpPr>
      <xdr:spPr>
        <a:xfrm>
          <a:off x="4364433" y="3087406"/>
          <a:ext cx="2203512" cy="1480671"/>
        </a:xfrm>
        <a:prstGeom prst="line">
          <a:avLst/>
        </a:prstGeom>
        <a:ln w="63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324697</xdr:colOff>
      <xdr:row>23</xdr:row>
      <xdr:rowOff>150843</xdr:rowOff>
    </xdr:from>
    <xdr:to>
      <xdr:col>15</xdr:col>
      <xdr:colOff>312402</xdr:colOff>
      <xdr:row>25</xdr:row>
      <xdr:rowOff>81391</xdr:rowOff>
    </xdr:to>
    <xdr:sp macro="" textlink="">
      <xdr:nvSpPr>
        <xdr:cNvPr id="81" name="Rectangle 80">
          <a:extLst>
            <a:ext uri="{FF2B5EF4-FFF2-40B4-BE49-F238E27FC236}">
              <a16:creationId xmlns:a16="http://schemas.microsoft.com/office/drawing/2014/main" id="{B88D35F3-68D6-40F9-8127-B0A174D300B1}"/>
            </a:ext>
          </a:extLst>
        </xdr:cNvPr>
        <xdr:cNvSpPr/>
      </xdr:nvSpPr>
      <xdr:spPr>
        <a:xfrm rot="2106538">
          <a:off x="5205438" y="3665240"/>
          <a:ext cx="368705" cy="232720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>
              <a:solidFill>
                <a:srgbClr val="FF0000"/>
              </a:solidFill>
            </a:rPr>
            <a:t>////</a:t>
          </a:r>
        </a:p>
      </xdr:txBody>
    </xdr:sp>
    <xdr:clientData/>
  </xdr:twoCellAnchor>
  <xdr:twoCellAnchor>
    <xdr:from>
      <xdr:col>16</xdr:col>
      <xdr:colOff>345718</xdr:colOff>
      <xdr:row>27</xdr:row>
      <xdr:rowOff>53624</xdr:rowOff>
    </xdr:from>
    <xdr:to>
      <xdr:col>17</xdr:col>
      <xdr:colOff>333423</xdr:colOff>
      <xdr:row>28</xdr:row>
      <xdr:rowOff>135257</xdr:rowOff>
    </xdr:to>
    <xdr:sp macro="" textlink="">
      <xdr:nvSpPr>
        <xdr:cNvPr id="82" name="Rectangle 81">
          <a:extLst>
            <a:ext uri="{FF2B5EF4-FFF2-40B4-BE49-F238E27FC236}">
              <a16:creationId xmlns:a16="http://schemas.microsoft.com/office/drawing/2014/main" id="{FF5AA06D-6BD7-40C9-AB7B-459CE873F92F}"/>
            </a:ext>
          </a:extLst>
        </xdr:cNvPr>
        <xdr:cNvSpPr/>
      </xdr:nvSpPr>
      <xdr:spPr>
        <a:xfrm rot="2106538">
          <a:off x="5988459" y="4172365"/>
          <a:ext cx="368705" cy="232720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>
              <a:solidFill>
                <a:srgbClr val="FF0000"/>
              </a:solidFill>
            </a:rPr>
            <a:t>////</a:t>
          </a:r>
        </a:p>
      </xdr:txBody>
    </xdr:sp>
    <xdr:clientData/>
  </xdr:twoCellAnchor>
  <xdr:twoCellAnchor>
    <xdr:from>
      <xdr:col>10</xdr:col>
      <xdr:colOff>353601</xdr:colOff>
      <xdr:row>18</xdr:row>
      <xdr:rowOff>120626</xdr:rowOff>
    </xdr:from>
    <xdr:to>
      <xdr:col>11</xdr:col>
      <xdr:colOff>341306</xdr:colOff>
      <xdr:row>20</xdr:row>
      <xdr:rowOff>51174</xdr:rowOff>
    </xdr:to>
    <xdr:sp macro="" textlink="">
      <xdr:nvSpPr>
        <xdr:cNvPr id="83" name="Rectangle 82">
          <a:extLst>
            <a:ext uri="{FF2B5EF4-FFF2-40B4-BE49-F238E27FC236}">
              <a16:creationId xmlns:a16="http://schemas.microsoft.com/office/drawing/2014/main" id="{25AEBA39-220A-4DDF-9684-AFDB8763ED15}"/>
            </a:ext>
          </a:extLst>
        </xdr:cNvPr>
        <xdr:cNvSpPr/>
      </xdr:nvSpPr>
      <xdr:spPr>
        <a:xfrm rot="674353">
          <a:off x="3710342" y="2879592"/>
          <a:ext cx="368705" cy="232720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>
              <a:solidFill>
                <a:srgbClr val="FF0000"/>
              </a:solidFill>
            </a:rPr>
            <a:t>////</a:t>
          </a:r>
        </a:p>
      </xdr:txBody>
    </xdr:sp>
    <xdr:clientData/>
  </xdr:twoCellAnchor>
  <xdr:twoCellAnchor>
    <xdr:from>
      <xdr:col>8</xdr:col>
      <xdr:colOff>302362</xdr:colOff>
      <xdr:row>17</xdr:row>
      <xdr:rowOff>75959</xdr:rowOff>
    </xdr:from>
    <xdr:to>
      <xdr:col>9</xdr:col>
      <xdr:colOff>290067</xdr:colOff>
      <xdr:row>19</xdr:row>
      <xdr:rowOff>6506</xdr:rowOff>
    </xdr:to>
    <xdr:sp macro="" textlink="">
      <xdr:nvSpPr>
        <xdr:cNvPr id="85" name="Rectangle 84">
          <a:extLst>
            <a:ext uri="{FF2B5EF4-FFF2-40B4-BE49-F238E27FC236}">
              <a16:creationId xmlns:a16="http://schemas.microsoft.com/office/drawing/2014/main" id="{A0D40605-A5D1-4F95-AF15-06CAB4799F46}"/>
            </a:ext>
          </a:extLst>
        </xdr:cNvPr>
        <xdr:cNvSpPr/>
      </xdr:nvSpPr>
      <xdr:spPr>
        <a:xfrm rot="674353">
          <a:off x="2897103" y="2683838"/>
          <a:ext cx="368705" cy="232720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>
              <a:solidFill>
                <a:srgbClr val="FF0000"/>
              </a:solidFill>
            </a:rPr>
            <a:t>////</a:t>
          </a:r>
        </a:p>
      </xdr:txBody>
    </xdr:sp>
    <xdr:clientData/>
  </xdr:twoCellAnchor>
  <xdr:twoCellAnchor>
    <xdr:from>
      <xdr:col>6</xdr:col>
      <xdr:colOff>119744</xdr:colOff>
      <xdr:row>15</xdr:row>
      <xdr:rowOff>142962</xdr:rowOff>
    </xdr:from>
    <xdr:to>
      <xdr:col>7</xdr:col>
      <xdr:colOff>107449</xdr:colOff>
      <xdr:row>17</xdr:row>
      <xdr:rowOff>73510</xdr:rowOff>
    </xdr:to>
    <xdr:sp macro="" textlink="">
      <xdr:nvSpPr>
        <xdr:cNvPr id="86" name="Rectangle 85">
          <a:extLst>
            <a:ext uri="{FF2B5EF4-FFF2-40B4-BE49-F238E27FC236}">
              <a16:creationId xmlns:a16="http://schemas.microsoft.com/office/drawing/2014/main" id="{2193B518-C763-4E69-BE62-A7865AB40D04}"/>
            </a:ext>
          </a:extLst>
        </xdr:cNvPr>
        <xdr:cNvSpPr/>
      </xdr:nvSpPr>
      <xdr:spPr>
        <a:xfrm rot="674353">
          <a:off x="1952485" y="2448669"/>
          <a:ext cx="368705" cy="232720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>
              <a:solidFill>
                <a:srgbClr val="FF0000"/>
              </a:solidFill>
            </a:rPr>
            <a:t>////</a:t>
          </a:r>
        </a:p>
      </xdr:txBody>
    </xdr:sp>
    <xdr:clientData/>
  </xdr:twoCellAnchor>
  <xdr:twoCellAnchor>
    <xdr:from>
      <xdr:col>4</xdr:col>
      <xdr:colOff>15955</xdr:colOff>
      <xdr:row>14</xdr:row>
      <xdr:rowOff>65448</xdr:rowOff>
    </xdr:from>
    <xdr:to>
      <xdr:col>5</xdr:col>
      <xdr:colOff>3660</xdr:colOff>
      <xdr:row>15</xdr:row>
      <xdr:rowOff>147082</xdr:rowOff>
    </xdr:to>
    <xdr:sp macro="" textlink="">
      <xdr:nvSpPr>
        <xdr:cNvPr id="87" name="Rectangle 86">
          <a:extLst>
            <a:ext uri="{FF2B5EF4-FFF2-40B4-BE49-F238E27FC236}">
              <a16:creationId xmlns:a16="http://schemas.microsoft.com/office/drawing/2014/main" id="{84A49C72-738A-41EB-B1F7-37760516DA52}"/>
            </a:ext>
          </a:extLst>
        </xdr:cNvPr>
        <xdr:cNvSpPr/>
      </xdr:nvSpPr>
      <xdr:spPr>
        <a:xfrm rot="674353">
          <a:off x="1086696" y="2220069"/>
          <a:ext cx="368705" cy="232720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>
              <a:solidFill>
                <a:srgbClr val="FF0000"/>
              </a:solidFill>
            </a:rPr>
            <a:t>////</a:t>
          </a:r>
        </a:p>
      </xdr:txBody>
    </xdr:sp>
    <xdr:clientData/>
  </xdr:twoCellAnchor>
  <xdr:twoCellAnchor>
    <xdr:from>
      <xdr:col>18</xdr:col>
      <xdr:colOff>243209</xdr:colOff>
      <xdr:row>30</xdr:row>
      <xdr:rowOff>126771</xdr:rowOff>
    </xdr:from>
    <xdr:to>
      <xdr:col>20</xdr:col>
      <xdr:colOff>91108</xdr:colOff>
      <xdr:row>40</xdr:row>
      <xdr:rowOff>49695</xdr:rowOff>
    </xdr:to>
    <xdr:sp macro="" textlink="">
      <xdr:nvSpPr>
        <xdr:cNvPr id="169" name="Rectangle 168">
          <a:extLst>
            <a:ext uri="{FF2B5EF4-FFF2-40B4-BE49-F238E27FC236}">
              <a16:creationId xmlns:a16="http://schemas.microsoft.com/office/drawing/2014/main" id="{D023CCF2-0A1C-482B-ABFF-1BE72A4F5BDC}"/>
            </a:ext>
          </a:extLst>
        </xdr:cNvPr>
        <xdr:cNvSpPr/>
      </xdr:nvSpPr>
      <xdr:spPr>
        <a:xfrm>
          <a:off x="6653948" y="4640793"/>
          <a:ext cx="609899" cy="1446924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 b="1" u="sng">
              <a:solidFill>
                <a:srgbClr val="FF0000"/>
              </a:solidFill>
            </a:rPr>
            <a:t>K3-324F/ 127/45</a:t>
          </a:r>
        </a:p>
        <a:p>
          <a:pPr algn="ctr"/>
          <a:endParaRPr lang="en-US" sz="600" b="1" u="sng">
            <a:solidFill>
              <a:srgbClr val="FF0000"/>
            </a:solidFill>
          </a:endParaRPr>
        </a:p>
        <a:p>
          <a:pPr algn="l"/>
          <a:r>
            <a:rPr lang="en-US" sz="600">
              <a:solidFill>
                <a:srgbClr val="FF0000"/>
              </a:solidFill>
            </a:rPr>
            <a:t>1 C12-350</a:t>
          </a:r>
        </a:p>
        <a:p>
          <a:pPr algn="l"/>
          <a:r>
            <a:rPr lang="en-US" sz="600">
              <a:solidFill>
                <a:srgbClr val="FF0000"/>
              </a:solidFill>
            </a:rPr>
            <a:t>1 CC1-A</a:t>
          </a:r>
        </a:p>
        <a:p>
          <a:pPr algn="l"/>
          <a:r>
            <a:rPr lang="en-US" sz="600">
              <a:solidFill>
                <a:srgbClr val="FF0000"/>
              </a:solidFill>
            </a:rPr>
            <a:t>1 CG312A</a:t>
          </a:r>
        </a:p>
        <a:p>
          <a:pPr algn="l"/>
          <a:r>
            <a:rPr lang="en-US" sz="600">
              <a:solidFill>
                <a:srgbClr val="FF0000"/>
              </a:solidFill>
            </a:rPr>
            <a:t>1CM2-11M</a:t>
          </a:r>
        </a:p>
        <a:p>
          <a:pPr algn="l"/>
          <a:r>
            <a:rPr lang="en-US" sz="60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600">
              <a:solidFill>
                <a:srgbClr val="FF0000"/>
              </a:solidFill>
            </a:rPr>
            <a:t>1CM2-12A</a:t>
          </a:r>
        </a:p>
        <a:p>
          <a:pPr algn="l"/>
          <a:r>
            <a:rPr lang="en-US" sz="600">
              <a:solidFill>
                <a:srgbClr val="FF0000"/>
              </a:solidFill>
            </a:rPr>
            <a:t>1 CE1-3</a:t>
          </a:r>
        </a:p>
        <a:p>
          <a:pPr algn="l"/>
          <a:r>
            <a:rPr lang="en-US" sz="600">
              <a:solidFill>
                <a:srgbClr val="FF0000"/>
              </a:solidFill>
            </a:rPr>
            <a:t>1 F1-3</a:t>
          </a:r>
        </a:p>
        <a:p>
          <a:pPr algn="l"/>
          <a:r>
            <a:rPr lang="en-US" sz="600">
              <a:solidFill>
                <a:srgbClr val="FF0000"/>
              </a:solidFill>
            </a:rPr>
            <a:t>1 LVCB</a:t>
          </a:r>
        </a:p>
        <a:p>
          <a:pPr algn="l"/>
          <a:r>
            <a:rPr lang="en-US" sz="600">
              <a:solidFill>
                <a:srgbClr val="FF0000"/>
              </a:solidFill>
            </a:rPr>
            <a:t>1 CM2-11</a:t>
          </a:r>
        </a:p>
        <a:p>
          <a:pPr algn="l"/>
          <a:r>
            <a:rPr lang="en-US" sz="600">
              <a:solidFill>
                <a:srgbClr val="FF0000"/>
              </a:solidFill>
            </a:rPr>
            <a:t>1 CJ6-T</a:t>
          </a:r>
        </a:p>
      </xdr:txBody>
    </xdr:sp>
    <xdr:clientData/>
  </xdr:twoCellAnchor>
  <xdr:twoCellAnchor>
    <xdr:from>
      <xdr:col>9</xdr:col>
      <xdr:colOff>292566</xdr:colOff>
      <xdr:row>12</xdr:row>
      <xdr:rowOff>149153</xdr:rowOff>
    </xdr:from>
    <xdr:to>
      <xdr:col>11</xdr:col>
      <xdr:colOff>191068</xdr:colOff>
      <xdr:row>17</xdr:row>
      <xdr:rowOff>33515</xdr:rowOff>
    </xdr:to>
    <xdr:sp macro="" textlink="">
      <xdr:nvSpPr>
        <xdr:cNvPr id="90" name="Rectangle 89">
          <a:extLst>
            <a:ext uri="{FF2B5EF4-FFF2-40B4-BE49-F238E27FC236}">
              <a16:creationId xmlns:a16="http://schemas.microsoft.com/office/drawing/2014/main" id="{0EB75CBE-92AA-4069-AFFF-4D2A1E172C92}"/>
            </a:ext>
          </a:extLst>
        </xdr:cNvPr>
        <xdr:cNvSpPr/>
      </xdr:nvSpPr>
      <xdr:spPr>
        <a:xfrm rot="781617">
          <a:off x="3274305" y="1971327"/>
          <a:ext cx="660502" cy="646362"/>
        </a:xfrm>
        <a:prstGeom prst="rect">
          <a:avLst/>
        </a:prstGeom>
        <a:noFill/>
        <a:ln w="952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>
              <a:solidFill>
                <a:schemeClr val="tx1"/>
              </a:solidFill>
            </a:rPr>
            <a:t>MUSHOLA</a:t>
          </a:r>
        </a:p>
      </xdr:txBody>
    </xdr:sp>
    <xdr:clientData/>
  </xdr:twoCellAnchor>
  <xdr:twoCellAnchor>
    <xdr:from>
      <xdr:col>17</xdr:col>
      <xdr:colOff>157369</xdr:colOff>
      <xdr:row>22</xdr:row>
      <xdr:rowOff>99392</xdr:rowOff>
    </xdr:from>
    <xdr:to>
      <xdr:col>19</xdr:col>
      <xdr:colOff>55871</xdr:colOff>
      <xdr:row>27</xdr:row>
      <xdr:rowOff>320</xdr:rowOff>
    </xdr:to>
    <xdr:sp macro="" textlink="">
      <xdr:nvSpPr>
        <xdr:cNvPr id="91" name="Rectangle 90">
          <a:extLst>
            <a:ext uri="{FF2B5EF4-FFF2-40B4-BE49-F238E27FC236}">
              <a16:creationId xmlns:a16="http://schemas.microsoft.com/office/drawing/2014/main" id="{C09066D2-69AA-4B27-900B-BC62B287124D}"/>
            </a:ext>
          </a:extLst>
        </xdr:cNvPr>
        <xdr:cNvSpPr/>
      </xdr:nvSpPr>
      <xdr:spPr>
        <a:xfrm rot="1592003">
          <a:off x="6187108" y="3429001"/>
          <a:ext cx="660502" cy="646362"/>
        </a:xfrm>
        <a:prstGeom prst="rect">
          <a:avLst/>
        </a:prstGeom>
        <a:noFill/>
        <a:ln w="952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>
              <a:solidFill>
                <a:schemeClr val="tx1"/>
              </a:solidFill>
            </a:rPr>
            <a:t>MUSHOLA</a:t>
          </a:r>
        </a:p>
      </xdr:txBody>
    </xdr:sp>
    <xdr:clientData/>
  </xdr:twoCellAnchor>
  <xdr:twoCellAnchor>
    <xdr:from>
      <xdr:col>15</xdr:col>
      <xdr:colOff>132522</xdr:colOff>
      <xdr:row>27</xdr:row>
      <xdr:rowOff>107675</xdr:rowOff>
    </xdr:from>
    <xdr:to>
      <xdr:col>16</xdr:col>
      <xdr:colOff>361421</xdr:colOff>
      <xdr:row>31</xdr:row>
      <xdr:rowOff>124239</xdr:rowOff>
    </xdr:to>
    <xdr:sp macro="" textlink="">
      <xdr:nvSpPr>
        <xdr:cNvPr id="92" name="Rectangle 91">
          <a:extLst>
            <a:ext uri="{FF2B5EF4-FFF2-40B4-BE49-F238E27FC236}">
              <a16:creationId xmlns:a16="http://schemas.microsoft.com/office/drawing/2014/main" id="{28ACDDFC-EBE1-4FD1-B004-F005204BCBB7}"/>
            </a:ext>
          </a:extLst>
        </xdr:cNvPr>
        <xdr:cNvSpPr/>
      </xdr:nvSpPr>
      <xdr:spPr>
        <a:xfrm>
          <a:off x="5400261" y="4182718"/>
          <a:ext cx="609899" cy="604630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 b="1" u="sng">
              <a:solidFill>
                <a:srgbClr val="FF0000"/>
              </a:solidFill>
            </a:rPr>
            <a:t>K3-324F/ 127/45/1</a:t>
          </a:r>
        </a:p>
        <a:p>
          <a:pPr algn="ctr"/>
          <a:endParaRPr lang="en-US" sz="600" b="1" u="sng">
            <a:solidFill>
              <a:srgbClr val="FF0000"/>
            </a:solidFill>
          </a:endParaRPr>
        </a:p>
        <a:p>
          <a:pPr algn="l"/>
          <a:r>
            <a:rPr lang="en-US" sz="600">
              <a:solidFill>
                <a:srgbClr val="FF0000"/>
              </a:solidFill>
            </a:rPr>
            <a:t>1 C12-200</a:t>
          </a:r>
        </a:p>
        <a:p>
          <a:pPr algn="l"/>
          <a:r>
            <a:rPr lang="en-US" sz="600">
              <a:solidFill>
                <a:srgbClr val="FF0000"/>
              </a:solidFill>
            </a:rPr>
            <a:t>1 CJ5-T</a:t>
          </a:r>
        </a:p>
      </xdr:txBody>
    </xdr:sp>
    <xdr:clientData/>
  </xdr:twoCellAnchor>
  <xdr:twoCellAnchor>
    <xdr:from>
      <xdr:col>13</xdr:col>
      <xdr:colOff>103415</xdr:colOff>
      <xdr:row>24</xdr:row>
      <xdr:rowOff>65313</xdr:rowOff>
    </xdr:from>
    <xdr:to>
      <xdr:col>14</xdr:col>
      <xdr:colOff>332314</xdr:colOff>
      <xdr:row>28</xdr:row>
      <xdr:rowOff>70991</xdr:rowOff>
    </xdr:to>
    <xdr:sp macro="" textlink="">
      <xdr:nvSpPr>
        <xdr:cNvPr id="93" name="Rectangle 92">
          <a:extLst>
            <a:ext uri="{FF2B5EF4-FFF2-40B4-BE49-F238E27FC236}">
              <a16:creationId xmlns:a16="http://schemas.microsoft.com/office/drawing/2014/main" id="{074EEBA1-9166-40ED-AE6D-811CD3F0C8C1}"/>
            </a:ext>
          </a:extLst>
        </xdr:cNvPr>
        <xdr:cNvSpPr/>
      </xdr:nvSpPr>
      <xdr:spPr>
        <a:xfrm>
          <a:off x="4604658" y="3755570"/>
          <a:ext cx="609899" cy="615278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 b="1" u="sng">
              <a:solidFill>
                <a:srgbClr val="FF0000"/>
              </a:solidFill>
            </a:rPr>
            <a:t>K3-324F/ 127/45/2</a:t>
          </a:r>
        </a:p>
        <a:p>
          <a:pPr algn="ctr"/>
          <a:endParaRPr lang="en-US" sz="600" b="1" u="sng">
            <a:solidFill>
              <a:srgbClr val="FF0000"/>
            </a:solidFill>
          </a:endParaRPr>
        </a:p>
        <a:p>
          <a:pPr algn="l"/>
          <a:r>
            <a:rPr lang="en-US" sz="600">
              <a:solidFill>
                <a:srgbClr val="FF0000"/>
              </a:solidFill>
            </a:rPr>
            <a:t>1 C12-200</a:t>
          </a:r>
        </a:p>
        <a:p>
          <a:pPr algn="l"/>
          <a:r>
            <a:rPr lang="en-US" sz="600">
              <a:solidFill>
                <a:srgbClr val="FF0000"/>
              </a:solidFill>
            </a:rPr>
            <a:t>1 CJ5-T</a:t>
          </a:r>
        </a:p>
      </xdr:txBody>
    </xdr:sp>
    <xdr:clientData/>
  </xdr:twoCellAnchor>
  <xdr:twoCellAnchor>
    <xdr:from>
      <xdr:col>11</xdr:col>
      <xdr:colOff>130628</xdr:colOff>
      <xdr:row>20</xdr:row>
      <xdr:rowOff>141514</xdr:rowOff>
    </xdr:from>
    <xdr:to>
      <xdr:col>12</xdr:col>
      <xdr:colOff>359527</xdr:colOff>
      <xdr:row>24</xdr:row>
      <xdr:rowOff>147192</xdr:rowOff>
    </xdr:to>
    <xdr:sp macro="" textlink="">
      <xdr:nvSpPr>
        <xdr:cNvPr id="94" name="Rectangle 93">
          <a:extLst>
            <a:ext uri="{FF2B5EF4-FFF2-40B4-BE49-F238E27FC236}">
              <a16:creationId xmlns:a16="http://schemas.microsoft.com/office/drawing/2014/main" id="{6B93EAE2-8B8B-4CD9-96E4-2126FC849B42}"/>
            </a:ext>
          </a:extLst>
        </xdr:cNvPr>
        <xdr:cNvSpPr/>
      </xdr:nvSpPr>
      <xdr:spPr>
        <a:xfrm>
          <a:off x="3869871" y="3222171"/>
          <a:ext cx="609899" cy="615278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 b="1" u="sng">
              <a:solidFill>
                <a:srgbClr val="FF0000"/>
              </a:solidFill>
            </a:rPr>
            <a:t>K3-324F/ 127/45/3</a:t>
          </a:r>
        </a:p>
        <a:p>
          <a:pPr algn="ctr"/>
          <a:endParaRPr lang="en-US" sz="600" b="1" u="sng">
            <a:solidFill>
              <a:srgbClr val="FF0000"/>
            </a:solidFill>
          </a:endParaRPr>
        </a:p>
        <a:p>
          <a:pPr algn="l"/>
          <a:r>
            <a:rPr lang="en-US" sz="600">
              <a:solidFill>
                <a:srgbClr val="FF0000"/>
              </a:solidFill>
            </a:rPr>
            <a:t>1 C12-200</a:t>
          </a:r>
        </a:p>
        <a:p>
          <a:pPr algn="l"/>
          <a:r>
            <a:rPr lang="en-US" sz="600">
              <a:solidFill>
                <a:srgbClr val="FF0000"/>
              </a:solidFill>
            </a:rPr>
            <a:t>1 CJ7-T</a:t>
          </a:r>
        </a:p>
      </xdr:txBody>
    </xdr:sp>
    <xdr:clientData/>
  </xdr:twoCellAnchor>
  <xdr:twoCellAnchor>
    <xdr:from>
      <xdr:col>9</xdr:col>
      <xdr:colOff>27215</xdr:colOff>
      <xdr:row>19</xdr:row>
      <xdr:rowOff>81643</xdr:rowOff>
    </xdr:from>
    <xdr:to>
      <xdr:col>10</xdr:col>
      <xdr:colOff>256114</xdr:colOff>
      <xdr:row>23</xdr:row>
      <xdr:rowOff>87321</xdr:rowOff>
    </xdr:to>
    <xdr:sp macro="" textlink="">
      <xdr:nvSpPr>
        <xdr:cNvPr id="95" name="Rectangle 94">
          <a:extLst>
            <a:ext uri="{FF2B5EF4-FFF2-40B4-BE49-F238E27FC236}">
              <a16:creationId xmlns:a16="http://schemas.microsoft.com/office/drawing/2014/main" id="{E4BC6CBA-8EA0-478C-AD34-EBD38CC3008F}"/>
            </a:ext>
          </a:extLst>
        </xdr:cNvPr>
        <xdr:cNvSpPr/>
      </xdr:nvSpPr>
      <xdr:spPr>
        <a:xfrm>
          <a:off x="3004458" y="3009900"/>
          <a:ext cx="609899" cy="615278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 b="1" u="sng">
              <a:solidFill>
                <a:srgbClr val="FF0000"/>
              </a:solidFill>
            </a:rPr>
            <a:t>K3-324F/ 127/45/4</a:t>
          </a:r>
        </a:p>
        <a:p>
          <a:pPr algn="ctr"/>
          <a:endParaRPr lang="en-US" sz="600" b="1" u="sng">
            <a:solidFill>
              <a:srgbClr val="FF0000"/>
            </a:solidFill>
          </a:endParaRPr>
        </a:p>
        <a:p>
          <a:pPr algn="l"/>
          <a:r>
            <a:rPr lang="en-US" sz="600">
              <a:solidFill>
                <a:srgbClr val="FF0000"/>
              </a:solidFill>
            </a:rPr>
            <a:t>1 C12-200</a:t>
          </a:r>
        </a:p>
        <a:p>
          <a:pPr algn="l"/>
          <a:r>
            <a:rPr lang="en-US" sz="600">
              <a:solidFill>
                <a:srgbClr val="FF0000"/>
              </a:solidFill>
            </a:rPr>
            <a:t>1 CJ5-T</a:t>
          </a:r>
        </a:p>
      </xdr:txBody>
    </xdr:sp>
    <xdr:clientData/>
  </xdr:twoCellAnchor>
  <xdr:twoCellAnchor>
    <xdr:from>
      <xdr:col>6</xdr:col>
      <xdr:colOff>348344</xdr:colOff>
      <xdr:row>18</xdr:row>
      <xdr:rowOff>21772</xdr:rowOff>
    </xdr:from>
    <xdr:to>
      <xdr:col>8</xdr:col>
      <xdr:colOff>196243</xdr:colOff>
      <xdr:row>22</xdr:row>
      <xdr:rowOff>27450</xdr:rowOff>
    </xdr:to>
    <xdr:sp macro="" textlink="">
      <xdr:nvSpPr>
        <xdr:cNvPr id="96" name="Rectangle 95">
          <a:extLst>
            <a:ext uri="{FF2B5EF4-FFF2-40B4-BE49-F238E27FC236}">
              <a16:creationId xmlns:a16="http://schemas.microsoft.com/office/drawing/2014/main" id="{9B24E69B-45FC-41E5-899F-574E336B543B}"/>
            </a:ext>
          </a:extLst>
        </xdr:cNvPr>
        <xdr:cNvSpPr/>
      </xdr:nvSpPr>
      <xdr:spPr>
        <a:xfrm>
          <a:off x="2182587" y="2797629"/>
          <a:ext cx="609899" cy="615278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 b="1" u="sng">
              <a:solidFill>
                <a:srgbClr val="FF0000"/>
              </a:solidFill>
            </a:rPr>
            <a:t>K3-324F/ 127/45/5</a:t>
          </a:r>
        </a:p>
        <a:p>
          <a:pPr algn="ctr"/>
          <a:endParaRPr lang="en-US" sz="600" b="1" u="sng">
            <a:solidFill>
              <a:srgbClr val="FF0000"/>
            </a:solidFill>
          </a:endParaRPr>
        </a:p>
        <a:p>
          <a:pPr algn="l"/>
          <a:r>
            <a:rPr lang="en-US" sz="600">
              <a:solidFill>
                <a:srgbClr val="FF0000"/>
              </a:solidFill>
            </a:rPr>
            <a:t>1 C12-200</a:t>
          </a:r>
        </a:p>
        <a:p>
          <a:pPr algn="l"/>
          <a:r>
            <a:rPr lang="en-US" sz="600">
              <a:solidFill>
                <a:srgbClr val="FF0000"/>
              </a:solidFill>
            </a:rPr>
            <a:t>1 CJ5-T</a:t>
          </a:r>
        </a:p>
      </xdr:txBody>
    </xdr:sp>
    <xdr:clientData/>
  </xdr:twoCellAnchor>
  <xdr:twoCellAnchor>
    <xdr:from>
      <xdr:col>4</xdr:col>
      <xdr:colOff>223157</xdr:colOff>
      <xdr:row>16</xdr:row>
      <xdr:rowOff>130628</xdr:rowOff>
    </xdr:from>
    <xdr:to>
      <xdr:col>6</xdr:col>
      <xdr:colOff>71056</xdr:colOff>
      <xdr:row>20</xdr:row>
      <xdr:rowOff>136306</xdr:rowOff>
    </xdr:to>
    <xdr:sp macro="" textlink="">
      <xdr:nvSpPr>
        <xdr:cNvPr id="97" name="Rectangle 96">
          <a:extLst>
            <a:ext uri="{FF2B5EF4-FFF2-40B4-BE49-F238E27FC236}">
              <a16:creationId xmlns:a16="http://schemas.microsoft.com/office/drawing/2014/main" id="{24577AE8-CACB-44DF-9AB1-6274F856858B}"/>
            </a:ext>
          </a:extLst>
        </xdr:cNvPr>
        <xdr:cNvSpPr/>
      </xdr:nvSpPr>
      <xdr:spPr>
        <a:xfrm>
          <a:off x="1295400" y="2601685"/>
          <a:ext cx="609899" cy="615278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 b="1" u="sng">
              <a:solidFill>
                <a:srgbClr val="FF0000"/>
              </a:solidFill>
            </a:rPr>
            <a:t>K3-324F/ 127/45/6</a:t>
          </a:r>
        </a:p>
        <a:p>
          <a:pPr algn="ctr"/>
          <a:endParaRPr lang="en-US" sz="600" b="1" u="sng">
            <a:solidFill>
              <a:srgbClr val="FF0000"/>
            </a:solidFill>
          </a:endParaRPr>
        </a:p>
        <a:p>
          <a:pPr algn="l"/>
          <a:r>
            <a:rPr lang="en-US" sz="600">
              <a:solidFill>
                <a:srgbClr val="FF0000"/>
              </a:solidFill>
            </a:rPr>
            <a:t>1 C12-200</a:t>
          </a:r>
        </a:p>
        <a:p>
          <a:pPr algn="l"/>
          <a:r>
            <a:rPr lang="en-US" sz="600">
              <a:solidFill>
                <a:srgbClr val="FF0000"/>
              </a:solidFill>
            </a:rPr>
            <a:t>1 CJ5-T</a:t>
          </a:r>
        </a:p>
      </xdr:txBody>
    </xdr:sp>
    <xdr:clientData/>
  </xdr:twoCellAnchor>
  <xdr:twoCellAnchor>
    <xdr:from>
      <xdr:col>2</xdr:col>
      <xdr:colOff>332015</xdr:colOff>
      <xdr:row>7</xdr:row>
      <xdr:rowOff>38100</xdr:rowOff>
    </xdr:from>
    <xdr:to>
      <xdr:col>4</xdr:col>
      <xdr:colOff>65614</xdr:colOff>
      <xdr:row>13</xdr:row>
      <xdr:rowOff>59872</xdr:rowOff>
    </xdr:to>
    <xdr:sp macro="" textlink="">
      <xdr:nvSpPr>
        <xdr:cNvPr id="106" name="Rectangle 105">
          <a:extLst>
            <a:ext uri="{FF2B5EF4-FFF2-40B4-BE49-F238E27FC236}">
              <a16:creationId xmlns:a16="http://schemas.microsoft.com/office/drawing/2014/main" id="{142D56B2-5CCC-48DD-9847-21F52B0B0D76}"/>
            </a:ext>
          </a:extLst>
        </xdr:cNvPr>
        <xdr:cNvSpPr/>
      </xdr:nvSpPr>
      <xdr:spPr>
        <a:xfrm>
          <a:off x="527958" y="1126671"/>
          <a:ext cx="609899" cy="947058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 b="1" u="sng">
              <a:solidFill>
                <a:srgbClr val="FF0000"/>
              </a:solidFill>
            </a:rPr>
            <a:t>K3-324F/ 127/45/7</a:t>
          </a:r>
        </a:p>
        <a:p>
          <a:pPr algn="l"/>
          <a:r>
            <a:rPr lang="en-US" sz="600">
              <a:solidFill>
                <a:srgbClr val="FF0000"/>
              </a:solidFill>
            </a:rPr>
            <a:t>1 C12-200</a:t>
          </a:r>
        </a:p>
        <a:p>
          <a:pPr algn="l"/>
          <a:r>
            <a:rPr lang="en-US" sz="600">
              <a:solidFill>
                <a:srgbClr val="FF0000"/>
              </a:solidFill>
            </a:rPr>
            <a:t>1 CJ6-T</a:t>
          </a:r>
        </a:p>
        <a:p>
          <a:pPr algn="l"/>
          <a:r>
            <a:rPr lang="en-US" sz="600">
              <a:solidFill>
                <a:srgbClr val="FF0000"/>
              </a:solidFill>
            </a:rPr>
            <a:t>1 CE1-3</a:t>
          </a:r>
        </a:p>
        <a:p>
          <a:pPr algn="l"/>
          <a:r>
            <a:rPr lang="en-US" sz="600">
              <a:solidFill>
                <a:srgbClr val="FF0000"/>
              </a:solidFill>
            </a:rPr>
            <a:t>1 F1-3</a:t>
          </a:r>
        </a:p>
        <a:p>
          <a:pPr algn="l"/>
          <a:r>
            <a:rPr lang="en-US" sz="600">
              <a:solidFill>
                <a:srgbClr val="FF0000"/>
              </a:solidFill>
            </a:rPr>
            <a:t>1 CM2-12A</a:t>
          </a:r>
        </a:p>
        <a:p>
          <a:pPr algn="l"/>
          <a:r>
            <a:rPr lang="en-US" sz="600">
              <a:solidFill>
                <a:srgbClr val="FF0000"/>
              </a:solidFill>
            </a:rPr>
            <a:t>1 MJ6-T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595313</xdr:colOff>
      <xdr:row>12</xdr:row>
      <xdr:rowOff>23814</xdr:rowOff>
    </xdr:from>
    <xdr:to>
      <xdr:col>22</xdr:col>
      <xdr:colOff>211101</xdr:colOff>
      <xdr:row>53</xdr:row>
      <xdr:rowOff>48583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C5CF501-BACF-CCB9-4D14-FCBEF6AD9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90688" y="1928814"/>
          <a:ext cx="11117226" cy="6858957"/>
        </a:xfrm>
        <a:prstGeom prst="rect">
          <a:avLst/>
        </a:prstGeom>
      </xdr:spPr>
    </xdr:pic>
    <xdr:clientData/>
  </xdr:twoCellAnchor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>
    <xdr:from>
      <xdr:col>16</xdr:col>
      <xdr:colOff>285750</xdr:colOff>
      <xdr:row>31</xdr:row>
      <xdr:rowOff>71437</xdr:rowOff>
    </xdr:from>
    <xdr:to>
      <xdr:col>16</xdr:col>
      <xdr:colOff>285750</xdr:colOff>
      <xdr:row>37</xdr:row>
      <xdr:rowOff>142874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C8CB9580-7F65-92F0-64F0-FDEAD2BC3A20}"/>
            </a:ext>
          </a:extLst>
        </xdr:cNvPr>
        <xdr:cNvCxnSpPr/>
      </xdr:nvCxnSpPr>
      <xdr:spPr>
        <a:xfrm>
          <a:off x="8810625" y="5143500"/>
          <a:ext cx="0" cy="1071562"/>
        </a:xfrm>
        <a:prstGeom prst="line">
          <a:avLst/>
        </a:prstGeom>
        <a:ln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23812</xdr:colOff>
      <xdr:row>29</xdr:row>
      <xdr:rowOff>95249</xdr:rowOff>
    </xdr:from>
    <xdr:to>
      <xdr:col>16</xdr:col>
      <xdr:colOff>500062</xdr:colOff>
      <xdr:row>31</xdr:row>
      <xdr:rowOff>95249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DF980771-817D-758B-0ED5-476DF0442A9F}"/>
            </a:ext>
          </a:extLst>
        </xdr:cNvPr>
        <xdr:cNvSpPr/>
      </xdr:nvSpPr>
      <xdr:spPr>
        <a:xfrm>
          <a:off x="8548687" y="4833937"/>
          <a:ext cx="476250" cy="333375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149680</xdr:colOff>
      <xdr:row>9</xdr:row>
      <xdr:rowOff>48489</xdr:rowOff>
    </xdr:from>
    <xdr:to>
      <xdr:col>20</xdr:col>
      <xdr:colOff>585108</xdr:colOff>
      <xdr:row>51</xdr:row>
      <xdr:rowOff>7954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70AA27C-9473-1FE6-31A6-9042C3BF7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6609" y="1667739"/>
          <a:ext cx="10844892" cy="681746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acair\Documents\SUCOFINDO\DISNAKER\K: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%202023/PB-PD/3.%20KKP%20PB-PD%20TR%20Kolektif/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graf2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MEMO"/>
      <sheetName val="Breakdown Target"/>
      <sheetName val="2013"/>
      <sheetName val="DTU"/>
      <sheetName val="DeVIASI"/>
      <sheetName val="KoMposisi"/>
      <sheetName val="Kamus"/>
      <sheetName val="W-NAD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ipeg-U(12D2)"/>
      <sheetName val="BBaku(12C3)"/>
      <sheetName val="BiLuOp(14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INDEX"/>
      <sheetName val="W-NAD"/>
      <sheetName val="prod03"/>
      <sheetName val="REFERENSI"/>
      <sheetName val="aruskas"/>
      <sheetName val="Hal-1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Bipeg-U(12D2)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Cover"/>
      <sheetName val="Daftar I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MENU1"/>
      <sheetName val="Listrik Mati 05"/>
      <sheetName val="Tabel Kode"/>
      <sheetName val="rkap2008"/>
      <sheetName val="Smg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 refreshError="1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al 14b"/>
      <sheetName val="TABGAJI"/>
      <sheetName val="FORM-B"/>
      <sheetName val="Template-WBS APP"/>
      <sheetName val="dengan pembangkitan"/>
      <sheetName val="AHS-JTR"/>
      <sheetName val="PESUT TW2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DATA JML KEL"/>
      <sheetName val="Hopf"/>
      <sheetName val="LR"/>
      <sheetName val="PSP Master JEIA "/>
      <sheetName val="Cover_sheet"/>
      <sheetName val="DC REAL PER TW"/>
      <sheetName val="3-DIV2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>
        <row r="120">
          <cell r="H120">
            <v>9000</v>
          </cell>
        </row>
      </sheetData>
      <sheetData sheetId="214"/>
      <sheetData sheetId="215"/>
      <sheetData sheetId="216"/>
      <sheetData sheetId="217">
        <row r="120">
          <cell r="H120">
            <v>9000</v>
          </cell>
        </row>
      </sheetData>
      <sheetData sheetId="218"/>
      <sheetData sheetId="219">
        <row r="120">
          <cell r="H120">
            <v>9000</v>
          </cell>
        </row>
      </sheetData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Smg"/>
      <sheetName val="Chart1"/>
      <sheetName val="DeVIASI"/>
      <sheetName val="KoMposisi"/>
      <sheetName val="PMT"/>
      <sheetName val="Data"/>
      <sheetName val="DTU"/>
      <sheetName val="harga material hps 2013"/>
      <sheetName val="RAB"/>
      <sheetName val="JAN07"/>
      <sheetName val="Kamus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REFERENSI"/>
      <sheetName val="Analisa Upah &amp; Bahan Plum"/>
      <sheetName val="HRG BHN"/>
      <sheetName val="Bill of Qty MEP"/>
      <sheetName val="LR"/>
      <sheetName val="RKS"/>
      <sheetName val="aruskas"/>
      <sheetName val="Hal-1"/>
      <sheetName val="Sheet5"/>
      <sheetName val="Harga BBM Indonesia"/>
      <sheetName val="PUNCAK-89"/>
      <sheetName val="Resume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Neraca seAPJ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W-NAD"/>
      <sheetName val="HPSI-Portion"/>
      <sheetName val="JAN09"/>
      <sheetName val="LR"/>
      <sheetName val="Kamus"/>
      <sheetName val="Cover"/>
      <sheetName val="Sheet5"/>
      <sheetName val="MATERIAL juni 05"/>
      <sheetName val="D2. ANALISA HS INSHAR"/>
      <sheetName val="Harga BBM Indonesi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master rab"/>
      <sheetName val="Format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Harga BBM Indonesia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dengan pembangkitan"/>
      <sheetName val="Urai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E3. ANALISA HS HAR TEK SUTM"/>
      <sheetName val="E6. ANALISA HS HAR"/>
      <sheetName val="PMT"/>
      <sheetName val="JAN07"/>
      <sheetName val="Kontrak vs Realisasi Gas"/>
      <sheetName val="D2. ANALISA HS INSHAR"/>
      <sheetName val="Asumsi"/>
      <sheetName val="Neraca seAPJ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Cover"/>
      <sheetName val="Rekap PMG."/>
      <sheetName val="Usulan"/>
      <sheetName val="FORM-B"/>
      <sheetName val="UPDATE 25 JANUARI 2007"/>
      <sheetName val="DeVIASI"/>
      <sheetName val="KoMposisi"/>
      <sheetName val="BERKAS"/>
      <sheetName val="Database"/>
      <sheetName val="data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Asumsi"/>
      <sheetName val="NerSubsis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LAMP_1L"/>
      <sheetName val="LAMP_4L"/>
      <sheetName val="LAMP_5L"/>
      <sheetName val="LAMP_7L"/>
      <sheetName val="PMT"/>
      <sheetName val="Smg"/>
      <sheetName val="NO. PRK"/>
      <sheetName val="Cover"/>
      <sheetName val="D2. ANALISA HS INSHAR"/>
      <sheetName val="Asumsi"/>
      <sheetName val="ca"/>
      <sheetName val="LR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Data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DB"/>
      <sheetName val="JURNAL"/>
      <sheetName val="BB PUSAT"/>
      <sheetName val="DTstok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NO. PRK"/>
      <sheetName val="UPDATE 25 JANUARI 2007"/>
      <sheetName val="Sudah Berjalan"/>
      <sheetName val="W-NAD"/>
      <sheetName val="SuMBER"/>
      <sheetName val="PMT"/>
      <sheetName val="beban"/>
      <sheetName val="INPBA"/>
      <sheetName val="HARGA SATU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Rekap PMG."/>
      <sheetName val="Neraca seAPJ"/>
      <sheetName val="APBN"/>
      <sheetName val="Jasa"/>
      <sheetName val="Mat"/>
      <sheetName val="sr"/>
      <sheetName val="HB2"/>
      <sheetName val="Sensitivitas"/>
      <sheetName val="Analisa"/>
      <sheetName val="Blangko Analisa"/>
      <sheetName val="Blangko RAB"/>
      <sheetName val="HPS"/>
      <sheetName val="impedansi"/>
      <sheetName val="DTU"/>
      <sheetName val="JAN07"/>
      <sheetName val="entry REC  trip"/>
      <sheetName val="Hal-1"/>
      <sheetName val="Sudah Berjalan"/>
      <sheetName val="FORM-B"/>
      <sheetName val="LAIN2"/>
      <sheetName val="x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Sheet3"/>
      <sheetName val="TRANS"/>
      <sheetName val="ca"/>
      <sheetName val="D2. ANL WAKTU INSHAR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TRANS"/>
      <sheetName val="tabel"/>
      <sheetName val="HB BARU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Jasa"/>
      <sheetName val="Mat"/>
      <sheetName val="HB2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W1"/>
      <sheetName val="entry REC  trip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32" t="s">
        <v>1134</v>
      </c>
      <c r="C4" s="532"/>
      <c r="D4" s="532"/>
      <c r="E4" s="532"/>
      <c r="F4" s="532"/>
      <c r="G4" s="532"/>
      <c r="H4" s="532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33" t="s">
        <v>0</v>
      </c>
      <c r="C7" s="533" t="s">
        <v>1</v>
      </c>
      <c r="D7" s="534" t="s">
        <v>42</v>
      </c>
      <c r="E7" s="534" t="s">
        <v>43</v>
      </c>
      <c r="F7" s="534" t="s">
        <v>1135</v>
      </c>
      <c r="G7" s="535" t="s">
        <v>41</v>
      </c>
      <c r="H7" s="531" t="s">
        <v>1042</v>
      </c>
      <c r="I7" s="531" t="s">
        <v>1137</v>
      </c>
      <c r="J7" s="531" t="s">
        <v>1026</v>
      </c>
      <c r="K7" s="525" t="s">
        <v>1024</v>
      </c>
      <c r="L7" s="526"/>
    </row>
    <row r="8" spans="1:12" ht="15" customHeight="1">
      <c r="B8" s="533"/>
      <c r="C8" s="533"/>
      <c r="D8" s="534"/>
      <c r="E8" s="534"/>
      <c r="F8" s="534"/>
      <c r="G8" s="535"/>
      <c r="H8" s="531"/>
      <c r="I8" s="531"/>
      <c r="J8" s="531"/>
      <c r="K8" s="527"/>
      <c r="L8" s="528"/>
    </row>
    <row r="9" spans="1:12" ht="15" customHeight="1">
      <c r="B9" s="533"/>
      <c r="C9" s="533"/>
      <c r="D9" s="534"/>
      <c r="E9" s="534"/>
      <c r="F9" s="534"/>
      <c r="G9" s="535"/>
      <c r="H9" s="531"/>
      <c r="I9" s="531"/>
      <c r="J9" s="531"/>
      <c r="K9" s="529"/>
      <c r="L9" s="530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5(80) A; kls 1 (Pengukuran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1427400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Langsung Daya 10.6 kVA MCCB 16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3564900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50 kVA YNyn0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42757200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LVCB 2 Jurusan 400 A LBS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1</v>
      </c>
      <c r="G15" s="41">
        <f ca="1">IF(ISERROR(OFFSET('HARGA SATUAN'!$I$6,MATCH(C15,'HARGA SATUAN'!$C$7:$C$1492,0),0)),"",OFFSET('HARGA SATUAN'!$I$6,MATCH(C15,'HARGA SATUAN'!$C$7:$C$1492,0),0))</f>
        <v>12223800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FCO Polymer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3</v>
      </c>
      <c r="G16" s="41">
        <f ca="1">IF(ISERROR(OFFSET('HARGA SATUAN'!$I$6,MATCH(C16,'HARGA SATUAN'!$C$7:$C$1492,0),0)),"",OFFSET('HARGA SATUAN'!$I$6,MATCH(C16,'HARGA SATUAN'!$C$7:$C$1492,0),0))</f>
        <v>848250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Lightning Arester (Polymer) 21 KV, 10 KA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38">
        <f t="shared" ca="1" si="2"/>
        <v>3</v>
      </c>
      <c r="G17" s="41">
        <f ca="1">IF(ISERROR(OFFSET('HARGA SATUAN'!$I$6,MATCH(C17,'HARGA SATUAN'!$C$7:$C$1492,0),0)),"",OFFSET('HARGA SATUAN'!$I$6,MATCH(C17,'HARGA SATUAN'!$C$7:$C$1492,0),0))</f>
        <v>725900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Isolator Tumpu ( Line Post ) 20 KV Polymer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38">
        <f t="shared" ca="1" si="2"/>
        <v>3</v>
      </c>
      <c r="G18" s="41">
        <f ca="1">IF(ISERROR(OFFSET('HARGA SATUAN'!$I$6,MATCH(C18,'HARGA SATUAN'!$C$7:$C$1492,0),0)),"",OFFSET('HARGA SATUAN'!$I$6,MATCH(C18,'HARGA SATUAN'!$C$7:$C$1492,0),0))</f>
        <v>176900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AAAC 70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38">
        <f t="shared" ca="1" si="2"/>
        <v>9</v>
      </c>
      <c r="G19" s="41">
        <f ca="1">IF(ISERROR(OFFSET('HARGA SATUAN'!$I$6,MATCH(C19,'HARGA SATUAN'!$C$7:$C$1492,0),0)),"",OFFSET('HARGA SATUAN'!$I$6,MATCH(C19,'HARGA SATUAN'!$C$7:$C$1492,0),0))</f>
        <v>14200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NFA2X-T 3x70+1x70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Mtr</v>
      </c>
      <c r="F20" s="138">
        <f t="shared" ca="1" si="2"/>
        <v>383</v>
      </c>
      <c r="G20" s="41">
        <f ca="1">IF(ISERROR(OFFSET('HARGA SATUAN'!$I$6,MATCH(C20,'HARGA SATUAN'!$C$7:$C$1492,0),0)),"",OFFSET('HARGA SATUAN'!$I$6,MATCH(C20,'HARGA SATUAN'!$C$7:$C$1492,0),0))</f>
        <v>54500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>
        <f t="shared" ca="1" si="0"/>
        <v>10</v>
      </c>
      <c r="C21" s="109" t="str">
        <f t="shared" ca="1" si="1"/>
        <v>NFA2X 4 x 16 mm²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38">
        <f t="shared" ca="1" si="2"/>
        <v>30</v>
      </c>
      <c r="G21" s="41">
        <f ca="1">IF(ISERROR(OFFSET('HARGA SATUAN'!$I$6,MATCH(C21,'HARGA SATUAN'!$C$7:$C$1492,0),0)),"",OFFSET('HARGA SATUAN'!$I$6,MATCH(C21,'HARGA SATUAN'!$C$7:$C$1492,0),0))</f>
        <v>13500</v>
      </c>
      <c r="H21" s="136" t="e">
        <f ca="1">IF(B21="","",#REF!)</f>
        <v>#REF!</v>
      </c>
      <c r="I21" s="136" t="e">
        <f ca="1">IF(B21="","",#REF!)</f>
        <v>#REF!</v>
      </c>
      <c r="J21" s="136" t="e">
        <f ca="1">IF(B21="","",#REF!)</f>
        <v>#REF!</v>
      </c>
      <c r="K21" s="136" t="e">
        <f ca="1">IF(B21="","",#REF!)</f>
        <v>#REF!</v>
      </c>
      <c r="L21" s="136" t="e">
        <f ca="1">IF(C21="","",#REF!)</f>
        <v>#REF!</v>
      </c>
    </row>
    <row r="22" spans="1:12" s="137" customFormat="1">
      <c r="A22" s="112">
        <v>11</v>
      </c>
      <c r="B22" s="134">
        <f t="shared" ca="1" si="0"/>
        <v>11</v>
      </c>
      <c r="C22" s="109" t="str">
        <f t="shared" ca="1" si="1"/>
        <v>Kabel NYY 1 x 150 mm²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Mtr</v>
      </c>
      <c r="F22" s="138">
        <f t="shared" ca="1" si="2"/>
        <v>68</v>
      </c>
      <c r="G22" s="41">
        <f ca="1">IF(ISERROR(OFFSET('HARGA SATUAN'!$I$6,MATCH(C22,'HARGA SATUAN'!$C$7:$C$1492,0),0)),"",OFFSET('HARGA SATUAN'!$I$6,MATCH(C22,'HARGA SATUAN'!$C$7:$C$1492,0),0))</f>
        <v>218600</v>
      </c>
      <c r="H22" s="136" t="e">
        <f ca="1">IF(B22="","",#REF!)</f>
        <v>#REF!</v>
      </c>
      <c r="I22" s="136" t="e">
        <f ca="1">IF(B22="","",#REF!)</f>
        <v>#REF!</v>
      </c>
      <c r="J22" s="136" t="e">
        <f ca="1">IF(B22="","",#REF!)</f>
        <v>#REF!</v>
      </c>
      <c r="K22" s="136" t="e">
        <f ca="1">IF(B22="","",#REF!)</f>
        <v>#REF!</v>
      </c>
      <c r="L22" s="136" t="e">
        <f ca="1">IF(C22="","",#REF!)</f>
        <v>#REF!</v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SUMIFS(RAB!$F$14:$F$181,RAB!$C$14:$C$181,C714)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SUMIFS(RAB!$F$14:$F$181,RAB!$C$14:$C$181,C715)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SUMIFS(RAB!$F$14:$F$181,RAB!$C$14:$C$181,C716)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SUMIFS(RAB!$F$14:$F$181,RAB!$C$14:$C$181,C717)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SUMIFS(RAB!$F$14:$F$181,RAB!$C$14:$C$181,C718)</f>
        <v>1</v>
      </c>
      <c r="E718" s="26">
        <f t="shared" ca="1" si="33"/>
        <v>1</v>
      </c>
      <c r="F718" s="26">
        <f ca="1">IF(D718=0,0,SUM($E$713:E718))</f>
        <v>1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SUMIFS(RAB!$F$14:$F$181,RAB!$C$14:$C$181,C719)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SUMIFS(RAB!$F$14:$F$181,RAB!$C$14:$C$181,C720)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SUMIFS(RAB!$F$14:$F$181,RAB!$C$14:$C$181,C721)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SUMIFS(RAB!$F$14:$F$181,RAB!$C$14:$C$181,C722)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SUMIFS(RAB!$F$14:$F$181,RAB!$C$14:$C$181,C723)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SUMIFS(RAB!$F$14:$F$181,RAB!$C$14:$C$181,C724)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SUMIFS(RAB!$F$14:$F$181,RAB!$C$14:$C$181,C725)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SUMIFS(RAB!$F$14:$F$181,RAB!$C$14:$C$181,C726)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SUMIFS(RAB!$F$14:$F$181,RAB!$C$14:$C$181,C727)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SUMIFS(RAB!$F$14:$F$181,RAB!$C$14:$C$181,C728)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SUMIFS(RAB!$F$14:$F$181,RAB!$C$14:$C$181,C729)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SUMIFS(RAB!$F$14:$F$181,RAB!$C$14:$C$181,C730)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SUMIFS(RAB!$F$14:$F$181,RAB!$C$14:$C$181,C731)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SUMIFS(RAB!$F$14:$F$181,RAB!$C$14:$C$181,C732)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SUMIFS(RAB!$F$14:$F$181,RAB!$C$14:$C$181,C733)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SUMIFS(RAB!$F$14:$F$181,RAB!$C$14:$C$181,C734)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SUMIFS(RAB!$F$14:$F$181,RAB!$C$14:$C$181,C735)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SUMIFS(RAB!$F$14:$F$181,RAB!$C$14:$C$181,C736)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SUMIFS(RAB!$F$14:$F$181,RAB!$C$14:$C$181,C737)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SUMIFS(RAB!$F$14:$F$181,RAB!$C$14:$C$181,C738)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SUMIFS(RAB!$F$14:$F$181,RAB!$C$14:$C$181,C739)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SUMIFS(RAB!$F$14:$F$181,RAB!$C$14:$C$181,C740)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SUMIFS(RAB!$F$14:$F$181,RAB!$C$14:$C$181,C741)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SUMIFS(RAB!$F$14:$F$181,RAB!$C$14:$C$181,C742)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SUMIFS(RAB!$F$14:$F$181,RAB!$C$14:$C$181,C743)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SUMIFS(RAB!$F$14:$F$181,RAB!$C$14:$C$181,C744)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SUMIFS(RAB!$F$14:$F$181,RAB!$C$14:$C$181,C745)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SUMIFS(RAB!$F$14:$F$181,RAB!$C$14:$C$181,C746)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SUMIFS(RAB!$F$14:$F$181,RAB!$C$14:$C$181,C747)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SUMIFS(RAB!$F$14:$F$181,RAB!$C$14:$C$181,C748)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SUMIFS(RAB!$F$14:$F$181,RAB!$C$14:$C$181,C749)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SUMIFS(RAB!$F$14:$F$181,RAB!$C$14:$C$181,C750)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SUMIFS(RAB!$F$14:$F$181,RAB!$C$14:$C$181,C751)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SUMIFS(RAB!$F$14:$F$181,RAB!$C$14:$C$181,C752)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SUMIFS(RAB!$F$14:$F$181,RAB!$C$14:$C$181,C753)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SUMIFS(RAB!$F$14:$F$181,RAB!$C$14:$C$181,C754)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SUMIFS(RAB!$F$14:$F$181,RAB!$C$14:$C$181,C755)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SUMIFS(RAB!$F$14:$F$181,RAB!$C$14:$C$181,C756)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SUMIFS(RAB!$F$14:$F$181,RAB!$C$14:$C$181,C757)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SUMIFS(RAB!$F$14:$F$181,RAB!$C$14:$C$181,C758)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SUMIFS(RAB!$F$14:$F$181,RAB!$C$14:$C$181,C759)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SUMIFS(RAB!$F$14:$F$181,RAB!$C$14:$C$181,C760)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SUMIFS(RAB!$F$14:$F$181,RAB!$C$14:$C$181,C761)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SUMIFS(RAB!$F$14:$F$181,RAB!$C$14:$C$181,C762)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SUMIFS(RAB!$F$14:$F$181,RAB!$C$14:$C$181,C763)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SUMIFS(RAB!$F$14:$F$181,RAB!$C$14:$C$181,C764)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SUMIFS(RAB!$F$14:$F$181,RAB!$C$14:$C$181,C765)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SUMIFS(RAB!$F$14:$F$181,RAB!$C$14:$C$181,C766)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SUMIFS(RAB!$F$14:$F$181,RAB!$C$14:$C$181,C767)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SUMIFS(RAB!$F$14:$F$181,RAB!$C$14:$C$181,C768)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SUMIFS(RAB!$F$14:$F$181,RAB!$C$14:$C$181,C769)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SUMIFS(RAB!$F$14:$F$181,RAB!$C$14:$C$181,C770)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SUMIFS(RAB!$F$14:$F$181,RAB!$C$14:$C$181,C771)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SUMIFS(RAB!$F$14:$F$181,RAB!$C$14:$C$181,C772)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SUMIFS(RAB!$F$14:$F$181,RAB!$C$14:$C$181,C773)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SUMIFS(RAB!$F$14:$F$181,RAB!$C$14:$C$181,C774)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SUMIFS(RAB!$F$14:$F$181,RAB!$C$14:$C$181,C775)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SUMIFS(RAB!$F$14:$F$181,RAB!$C$14:$C$181,C776)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SUMIFS(RAB!$F$14:$F$181,RAB!$C$14:$C$181,C777)</f>
        <v>1</v>
      </c>
      <c r="E777" s="26">
        <f t="shared" ca="1" si="33"/>
        <v>1</v>
      </c>
      <c r="F777" s="26">
        <f ca="1">IF(D777=0,0,SUM($E$713:E777))</f>
        <v>2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SUMIFS(RAB!$F$14:$F$181,RAB!$C$14:$C$181,C778)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SUMIFS(RAB!$F$14:$F$181,RAB!$C$14:$C$181,C779)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SUMIFS(RAB!$F$14:$F$181,RAB!$C$14:$C$181,C780)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SUMIFS(RAB!$F$14:$F$181,RAB!$C$14:$C$181,C781)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SUMIFS(RAB!$F$14:$F$181,RAB!$C$14:$C$181,C782)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SUMIFS(RAB!$F$14:$F$181,RAB!$C$14:$C$181,C783)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SUMIFS(RAB!$F$14:$F$181,RAB!$C$14:$C$181,C784)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SUMIFS(RAB!$F$14:$F$181,RAB!$C$14:$C$181,C785)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SUMIFS(RAB!$F$14:$F$181,RAB!$C$14:$C$181,C786)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SUMIFS(RAB!$F$14:$F$181,RAB!$C$14:$C$181,C787)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SUMIFS(RAB!$F$14:$F$181,RAB!$C$14:$C$181,C788)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SUMIFS(RAB!$F$14:$F$181,RAB!$C$14:$C$181,C789)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SUMIFS(RAB!$F$14:$F$181,RAB!$C$14:$C$181,C790)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SUMIFS(RAB!$F$14:$F$181,RAB!$C$14:$C$181,C791)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SUMIFS(RAB!$F$14:$F$181,RAB!$C$14:$C$181,C792)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SUMIFS(RAB!$F$14:$F$181,RAB!$C$14:$C$181,C793)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SUMIFS(RAB!$F$14:$F$181,RAB!$C$14:$C$181,C794)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SUMIFS(RAB!$F$14:$F$181,RAB!$C$14:$C$181,C795)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SUMIFS(RAB!$F$14:$F$181,RAB!$C$14:$C$181,C796)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SUMIFS(RAB!$F$14:$F$181,RAB!$C$14:$C$181,C797)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SUMIFS(RAB!$F$14:$F$181,RAB!$C$14:$C$181,C798)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SUMIFS(RAB!$F$14:$F$181,RAB!$C$14:$C$181,C799)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SUMIFS(RAB!$F$14:$F$181,RAB!$C$14:$C$181,C800)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SUMIFS(RAB!$F$14:$F$181,RAB!$C$14:$C$181,C801)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SUMIFS(RAB!$F$14:$F$181,RAB!$C$14:$C$181,C802)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SUMIFS(RAB!$F$14:$F$181,RAB!$C$14:$C$181,C803)</f>
        <v>1</v>
      </c>
      <c r="E803" s="26">
        <f t="shared" ca="1" si="34"/>
        <v>1</v>
      </c>
      <c r="F803" s="26">
        <f ca="1">IF(D803=0,0,SUM($E$713:E803))</f>
        <v>3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SUMIFS(RAB!$F$14:$F$181,RAB!$C$14:$C$181,C804)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SUMIFS(RAB!$F$14:$F$181,RAB!$C$14:$C$181,C805)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SUMIFS(RAB!$F$14:$F$181,RAB!$C$14:$C$181,C806)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SUMIFS(RAB!$F$14:$F$181,RAB!$C$14:$C$181,C807)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SUMIFS(RAB!$F$14:$F$181,RAB!$C$14:$C$181,C808)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SUMIFS(RAB!$F$14:$F$181,RAB!$C$14:$C$181,C809)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SUMIFS(RAB!$F$14:$F$181,RAB!$C$14:$C$181,C810)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SUMIFS(RAB!$F$14:$F$181,RAB!$C$14:$C$181,C811)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SUMIFS(RAB!$F$14:$F$181,RAB!$C$14:$C$181,C812)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SUMIFS(RAB!$F$14:$F$181,RAB!$C$14:$C$181,C813)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SUMIFS(RAB!$F$14:$F$181,RAB!$C$14:$C$181,C814)</f>
        <v>1</v>
      </c>
      <c r="E814" s="26">
        <f t="shared" ca="1" si="34"/>
        <v>1</v>
      </c>
      <c r="F814" s="26">
        <f ca="1">IF(D814=0,0,SUM($E$713:E814))</f>
        <v>4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SUMIFS(RAB!$F$14:$F$181,RAB!$C$14:$C$181,C815)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SUMIFS(RAB!$F$14:$F$181,RAB!$C$14:$C$181,C816)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SUMIFS(RAB!$F$14:$F$181,RAB!$C$14:$C$181,C817)</f>
        <v>3</v>
      </c>
      <c r="E817" s="26">
        <f t="shared" ca="1" si="34"/>
        <v>1</v>
      </c>
      <c r="F817" s="26">
        <f ca="1">IF(D817=0,0,SUM($E$713:E817))</f>
        <v>5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SUMIFS(RAB!$F$14:$F$181,RAB!$C$14:$C$181,C818)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SUMIFS(RAB!$F$14:$F$181,RAB!$C$14:$C$181,C819)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SUMIFS(RAB!$F$14:$F$181,RAB!$C$14:$C$181,C820)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SUMIFS(RAB!$F$14:$F$181,RAB!$C$14:$C$181,C821)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SUMIFS(RAB!$F$14:$F$181,RAB!$C$14:$C$181,C822)</f>
        <v>3</v>
      </c>
      <c r="E822" s="26">
        <f t="shared" ca="1" si="34"/>
        <v>1</v>
      </c>
      <c r="F822" s="26">
        <f ca="1">IF(D822=0,0,SUM($E$713:E822))</f>
        <v>6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SUMIFS(RAB!$F$14:$F$181,RAB!$C$14:$C$181,C823)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SUMIFS(RAB!$F$14:$F$181,RAB!$C$14:$C$181,C824)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SUMIFS(RAB!$F$14:$F$181,RAB!$C$14:$C$181,C825)</f>
        <v>3</v>
      </c>
      <c r="E825" s="26">
        <f t="shared" ca="1" si="34"/>
        <v>1</v>
      </c>
      <c r="F825" s="26">
        <f ca="1">IF(D825=0,0,SUM($E$713:E825))</f>
        <v>7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SUMIFS(RAB!$F$14:$F$181,RAB!$C$14:$C$181,C826)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SUMIFS(RAB!$F$14:$F$181,RAB!$C$14:$C$181,C827)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SUMIFS(RAB!$F$14:$F$181,RAB!$C$14:$C$181,C828)</f>
        <v>9</v>
      </c>
      <c r="E828" s="26">
        <f t="shared" ca="1" si="34"/>
        <v>1</v>
      </c>
      <c r="F828" s="26">
        <f ca="1">IF(D828=0,0,SUM($E$713:E828))</f>
        <v>8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SUMIFS(RAB!$F$14:$F$181,RAB!$C$14:$C$181,C829)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SUMIFS(RAB!$F$14:$F$181,RAB!$C$14:$C$181,C830)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SUMIFS(RAB!$F$14:$F$181,RAB!$C$14:$C$181,C831)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SUMIFS(RAB!$F$14:$F$181,RAB!$C$14:$C$181,C832)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SUMIFS(RAB!$F$14:$F$181,RAB!$C$14:$C$181,C833)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SUMIFS(RAB!$F$14:$F$181,RAB!$C$14:$C$181,C834)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SUMIFS(RAB!$F$14:$F$181,RAB!$C$14:$C$181,C835)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SUMIFS(RAB!$F$14:$F$181,RAB!$C$14:$C$181,C836)</f>
        <v>383</v>
      </c>
      <c r="E836" s="26">
        <f t="shared" ca="1" si="34"/>
        <v>1</v>
      </c>
      <c r="F836" s="26">
        <f ca="1">IF(D836=0,0,SUM($E$713:E836))</f>
        <v>9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SUMIFS(RAB!$F$14:$F$181,RAB!$C$14:$C$181,C837)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SUMIFS(RAB!$F$14:$F$181,RAB!$C$14:$C$181,C838)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SUMIFS(RAB!$F$14:$F$181,RAB!$C$14:$C$181,C839)</f>
        <v>30</v>
      </c>
      <c r="E839" s="26">
        <f t="shared" ca="1" si="34"/>
        <v>1</v>
      </c>
      <c r="F839" s="26">
        <f ca="1">IF(D839=0,0,SUM($E$713:E839))</f>
        <v>10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SUMIFS(RAB!$F$14:$F$181,RAB!$C$14:$C$181,C840)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SUMIFS(RAB!$F$14:$F$181,RAB!$C$14:$C$181,C841)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SUMIFS(RAB!$F$14:$F$181,RAB!$C$14:$C$181,C842)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SUMIFS(RAB!$F$14:$F$181,RAB!$C$14:$C$181,C843)</f>
        <v>68</v>
      </c>
      <c r="E843" s="26">
        <f t="shared" ref="E843:E906" ca="1" si="35">IF(D843=0,0,1)</f>
        <v>1</v>
      </c>
      <c r="F843" s="26">
        <f ca="1">IF(D843=0,0,SUM($E$713:E843))</f>
        <v>11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SUMIFS(RAB!$F$14:$F$181,RAB!$C$14:$C$181,C844)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SUMIFS(RAB!$F$14:$F$181,RAB!$C$14:$C$181,C845)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SUMIFS(RAB!$F$14:$F$181,RAB!$C$14:$C$181,C846)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SUMIFS(RAB!$F$14:$F$181,RAB!$C$14:$C$181,C847)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SUMIFS(RAB!$F$14:$F$181,RAB!$C$14:$C$181,C848)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SUMIFS(RAB!$F$14:$F$181,RAB!$C$14:$C$181,C849)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SUMIFS(RAB!$F$14:$F$181,RAB!$C$14:$C$181,C850)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SUMIFS(RAB!$F$14:$F$181,RAB!$C$14:$C$181,C851)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SUMIFS(RAB!$F$14:$F$181,RAB!$C$14:$C$181,C852)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SUMIFS(RAB!$F$14:$F$181,RAB!$C$14:$C$181,C853)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SUMIFS(RAB!$F$14:$F$181,RAB!$C$14:$C$181,C854)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SUMIFS(RAB!$F$14:$F$181,RAB!$C$14:$C$181,C855)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SUMIFS(RAB!$F$14:$F$181,RAB!$C$14:$C$181,C856)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SUMIFS(RAB!$F$14:$F$181,RAB!$C$14:$C$181,C857)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SUMIFS(RAB!$F$14:$F$181,RAB!$C$14:$C$181,C858)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SUMIFS(RAB!$F$14:$F$181,RAB!$C$14:$C$181,C859)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SUMIFS(RAB!$F$14:$F$181,RAB!$C$14:$C$181,C860)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SUMIFS(RAB!$F$14:$F$181,RAB!$C$14:$C$181,C861)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SUMIFS(RAB!$F$14:$F$181,RAB!$C$14:$C$181,C862)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SUMIFS(RAB!$F$14:$F$181,RAB!$C$14:$C$181,C863)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SUMIFS(RAB!$F$14:$F$181,RAB!$C$14:$C$181,C864)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SUMIFS(RAB!$F$14:$F$181,RAB!$C$14:$C$181,C865)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SUMIFS(RAB!$F$14:$F$181,RAB!$C$14:$C$181,C866)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SUMIFS(RAB!$F$14:$F$181,RAB!$C$14:$C$181,C867)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SUMIFS(RAB!$F$14:$F$181,RAB!$C$14:$C$181,C868)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SUMIFS(RAB!$F$14:$F$181,RAB!$C$14:$C$181,C869)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SUMIFS(RAB!$F$14:$F$181,RAB!$C$14:$C$181,C870)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SUMIFS(RAB!$F$14:$F$181,RAB!$C$14:$C$181,C871)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SUMIFS(RAB!$F$14:$F$181,RAB!$C$14:$C$181,C872)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SUMIFS(RAB!$F$14:$F$181,RAB!$C$14:$C$181,C873)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SUMIFS(RAB!$F$14:$F$181,RAB!$C$14:$C$181,C874)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SUMIFS(RAB!$F$14:$F$181,RAB!$C$14:$C$181,C875)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SUMIFS(RAB!$F$14:$F$181,RAB!$C$14:$C$181,C876)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SUMIFS(RAB!$F$14:$F$181,RAB!$C$14:$C$181,C877)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SUMIFS(RAB!$F$14:$F$181,RAB!$C$14:$C$181,C878)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SUMIFS(RAB!$F$14:$F$181,RAB!$C$14:$C$181,C879)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SUMIFS(RAB!$F$14:$F$181,RAB!$C$14:$C$181,C880)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SUMIFS(RAB!$F$14:$F$181,RAB!$C$14:$C$181,C881)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SUMIFS(RAB!$F$14:$F$181,RAB!$C$14:$C$181,C882)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SUMIFS(RAB!$F$14:$F$181,RAB!$C$14:$C$181,C883)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SUMIFS(RAB!$F$14:$F$181,RAB!$C$14:$C$181,C884)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SUMIFS(RAB!$F$14:$F$181,RAB!$C$14:$C$181,C885)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SUMIFS(RAB!$F$14:$F$181,RAB!$C$14:$C$181,C886)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SUMIFS(RAB!$F$14:$F$181,RAB!$C$14:$C$181,C887)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SUMIFS(RAB!$F$14:$F$181,RAB!$C$14:$C$181,C888)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SUMIFS(RAB!$F$14:$F$181,RAB!$C$14:$C$181,C889)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SUMIFS(RAB!$F$14:$F$181,RAB!$C$14:$C$181,C890)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SUMIFS(RAB!$F$14:$F$181,RAB!$C$14:$C$181,C891)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SUMIFS(RAB!$F$14:$F$181,RAB!$C$14:$C$181,C892)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SUMIFS(RAB!$F$14:$F$181,RAB!$C$14:$C$181,C893)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SUMIFS(RAB!$F$14:$F$181,RAB!$C$14:$C$181,C894)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SUMIFS(RAB!$F$14:$F$181,RAB!$C$14:$C$181,C895)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SUMIFS(RAB!$F$14:$F$181,RAB!$C$14:$C$181,C896)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SUMIFS(RAB!$F$14:$F$181,RAB!$C$14:$C$181,C897)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SUMIFS(RAB!$F$14:$F$181,RAB!$C$14:$C$181,C898)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SUMIFS(RAB!$F$14:$F$181,RAB!$C$14:$C$181,C899)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SUMIFS(RAB!$F$14:$F$181,RAB!$C$14:$C$181,C900)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SUMIFS(RAB!$F$14:$F$181,RAB!$C$14:$C$181,C901)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SUMIFS(RAB!$F$14:$F$181,RAB!$C$14:$C$181,C902)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SUMIFS(RAB!$F$14:$F$181,RAB!$C$14:$C$181,C903)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SUMIFS(RAB!$F$14:$F$181,RAB!$C$14:$C$181,C904)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SUMIFS(RAB!$F$14:$F$181,RAB!$C$14:$C$181,C905)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SUMIFS(RAB!$F$14:$F$181,RAB!$C$14:$C$181,C906)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SUMIFS(RAB!$F$14:$F$181,RAB!$C$14:$C$181,C907)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SUMIFS(RAB!$F$14:$F$181,RAB!$C$14:$C$181,C908)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SUMIFS(RAB!$F$14:$F$181,RAB!$C$14:$C$181,C909)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SUMIFS(RAB!$F$14:$F$181,RAB!$C$14:$C$181,C910)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SUMIFS(RAB!$F$14:$F$181,RAB!$C$14:$C$181,C911)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SUMIFS(RAB!$F$14:$F$181,RAB!$C$14:$C$181,C912)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SUMIFS(RAB!$F$14:$F$181,RAB!$C$14:$C$181,C913)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SUMIFS(RAB!$F$14:$F$181,RAB!$C$14:$C$181,C914)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SUMIFS(RAB!$F$14:$F$181,RAB!$C$14:$C$181,C915)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SUMIFS(RAB!$F$14:$F$181,RAB!$C$14:$C$181,C916)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SUMIFS(RAB!$F$14:$F$181,RAB!$C$14:$C$181,C917)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SUMIFS(RAB!$F$14:$F$181,RAB!$C$14:$C$181,C918)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SUMIFS(RAB!$F$14:$F$181,RAB!$C$14:$C$181,C919)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SUMIFS(RAB!$F$14:$F$181,RAB!$C$14:$C$181,C920)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SUMIFS(RAB!$F$14:$F$181,RAB!$C$14:$C$181,C921)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SUMIFS(RAB!$F$14:$F$181,RAB!$C$14:$C$181,C922)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SUMIFS(RAB!$F$14:$F$181,RAB!$C$14:$C$181,C923)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SUMIFS(RAB!$F$14:$F$181,RAB!$C$14:$C$181,C924)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SUMIFS(RAB!$F$14:$F$181,RAB!$C$14:$C$181,C925)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SUMIFS(RAB!$F$14:$F$181,RAB!$C$14:$C$181,C926)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SUMIFS(RAB!$F$14:$F$181,RAB!$C$14:$C$181,C927)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SUMIFS(RAB!$F$14:$F$181,RAB!$C$14:$C$181,C928)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SUMIFS(RAB!$F$14:$F$181,RAB!$C$14:$C$181,C929)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SUMIFS(RAB!$F$14:$F$181,RAB!$C$14:$C$181,C930)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SUMIFS(RAB!$F$14:$F$181,RAB!$C$14:$C$181,C931)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SUMIFS(RAB!$F$14:$F$181,RAB!$C$14:$C$181,C932)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SUMIFS(RAB!$F$14:$F$181,RAB!$C$14:$C$181,C933)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SUMIFS(RAB!$F$14:$F$181,RAB!$C$14:$C$181,C934)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SUMIFS(RAB!$F$14:$F$181,RAB!$C$14:$C$181,C935)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SUMIFS(RAB!$F$14:$F$181,RAB!$C$14:$C$181,C936)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SUMIFS(RAB!$F$14:$F$181,RAB!$C$14:$C$181,C937)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SUMIFS(RAB!$F$14:$F$181,RAB!$C$14:$C$181,C938)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SUMIFS(RAB!$F$14:$F$181,RAB!$C$14:$C$181,C939)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SUMIFS(RAB!$F$14:$F$181,RAB!$C$14:$C$181,C940)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SUMIFS(RAB!$F$14:$F$181,RAB!$C$14:$C$181,C941)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SUMIFS(RAB!$F$14:$F$181,RAB!$C$14:$C$181,C942)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SUMIFS(RAB!$F$14:$F$181,RAB!$C$14:$C$181,C943)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SUMIFS(RAB!$F$14:$F$181,RAB!$C$14:$C$181,C944)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SUMIFS(RAB!$F$14:$F$181,RAB!$C$14:$C$181,C945)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SUMIFS(RAB!$F$14:$F$181,RAB!$C$14:$C$181,C946)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SUMIFS(RAB!$F$14:$F$181,RAB!$C$14:$C$181,C947)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SUMIFS(RAB!$F$14:$F$181,RAB!$C$14:$C$181,C948)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SUMIFS(RAB!$F$14:$F$181,RAB!$C$14:$C$181,C949)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SUMIFS(RAB!$F$14:$F$181,RAB!$C$14:$C$181,C950)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SUMIFS(RAB!$F$14:$F$181,RAB!$C$14:$C$181,C951)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SUMIFS(RAB!$F$14:$F$181,RAB!$C$14:$C$181,C952)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SUMIFS(RAB!$F$14:$F$181,RAB!$C$14:$C$181,C953)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SUMIFS(RAB!$F$14:$F$181,RAB!$C$14:$C$181,C954)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SUMIFS(RAB!$F$14:$F$181,RAB!$C$14:$C$181,C955)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SUMIFS(RAB!$F$14:$F$181,RAB!$C$14:$C$181,C956)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SUMIFS(RAB!$F$14:$F$181,RAB!$C$14:$C$181,C957)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SUMIFS(RAB!$F$14:$F$181,RAB!$C$14:$C$181,C958)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SUMIFS(RAB!$F$14:$F$181,RAB!$C$14:$C$181,C959)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SUMIFS(RAB!$F$14:$F$181,RAB!$C$14:$C$181,C960)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SUMIFS(RAB!$F$14:$F$181,RAB!$C$14:$C$181,C961)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SUMIFS(RAB!$F$14:$F$181,RAB!$C$14:$C$181,C962)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SUMIFS(RAB!$F$14:$F$181,RAB!$C$14:$C$181,C963)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SUMIFS(RAB!$F$14:$F$181,RAB!$C$14:$C$181,C964)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SUMIFS(RAB!$F$14:$F$181,RAB!$C$14:$C$181,C965)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SUMIFS(RAB!$F$14:$F$181,RAB!$C$14:$C$181,C966)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SUMIFS(RAB!$F$14:$F$181,RAB!$C$14:$C$181,C967)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SUMIFS(RAB!$F$14:$F$181,RAB!$C$14:$C$181,C968)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SUMIFS(RAB!$F$14:$F$181,RAB!$C$14:$C$181,C969)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SUMIFS(RAB!$F$14:$F$181,RAB!$C$14:$C$181,C970)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SUMIFS(RAB!$F$14:$F$181,RAB!$C$14:$C$181,C971)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SUMIFS(RAB!$F$14:$F$181,RAB!$C$14:$C$181,C972)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SUMIFS(RAB!$F$14:$F$181,RAB!$C$14:$C$181,C973)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SUMIFS(RAB!$F$14:$F$181,RAB!$C$14:$C$181,C974)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SUMIFS(RAB!$F$14:$F$181,RAB!$C$14:$C$181,C975)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SUMIFS(RAB!$F$14:$F$181,RAB!$C$14:$C$181,C976)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SUMIFS(RAB!$F$14:$F$181,RAB!$C$14:$C$181,C977)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SUMIFS(RAB!$F$14:$F$181,RAB!$C$14:$C$181,C978)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SUMIFS(RAB!$F$14:$F$181,RAB!$C$14:$C$181,C979)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SUMIFS(RAB!$F$14:$F$181,RAB!$C$14:$C$181,C980)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SUMIFS(RAB!$F$14:$F$181,RAB!$C$14:$C$181,C981)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SUMIFS(RAB!$F$14:$F$181,RAB!$C$14:$C$181,C982)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SUMIFS(RAB!$F$14:$F$181,RAB!$C$14:$C$181,C983)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SUMIFS(RAB!$F$14:$F$181,RAB!$C$14:$C$181,C984)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SUMIFS(RAB!$F$14:$F$181,RAB!$C$14:$C$181,C985)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SUMIFS(RAB!$F$14:$F$181,RAB!$C$14:$C$181,C986)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SUMIFS(RAB!$F$14:$F$181,RAB!$C$14:$C$181,C987)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SUMIFS(RAB!$F$14:$F$181,RAB!$C$14:$C$181,C988)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SUMIFS(RAB!$F$14:$F$181,RAB!$C$14:$C$181,C989)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SUMIFS(RAB!$F$14:$F$181,RAB!$C$14:$C$181,C990)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SUMIFS(RAB!$F$14:$F$181,RAB!$C$14:$C$181,C991)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SUMIFS(RAB!$F$14:$F$181,RAB!$C$14:$C$181,C992)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SUMIFS(RAB!$F$14:$F$181,RAB!$C$14:$C$181,C993)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SUMIFS(RAB!$F$14:$F$181,RAB!$C$14:$C$181,C994)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SUMIFS(RAB!$F$14:$F$181,RAB!$C$14:$C$181,C995)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SUMIFS(RAB!$F$14:$F$181,RAB!$C$14:$C$181,C996)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SUMIFS(RAB!$F$14:$F$181,RAB!$C$14:$C$181,C997)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SUMIFS(RAB!$F$14:$F$181,RAB!$C$14:$C$181,C998)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SUMIFS(RAB!$F$14:$F$181,RAB!$C$14:$C$181,C999)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SUMIFS(RAB!$F$14:$F$181,RAB!$C$14:$C$181,C1000)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SUMIFS(RAB!$F$14:$F$181,RAB!$C$14:$C$181,C1001)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SUMIFS(RAB!$F$14:$F$181,RAB!$C$14:$C$181,C1002)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SUMIFS(RAB!$F$14:$F$181,RAB!$C$14:$C$181,C1003)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SUMIFS(RAB!$F$14:$F$181,RAB!$C$14:$C$181,C1004)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SUMIFS(RAB!$F$14:$F$181,RAB!$C$14:$C$181,C1005)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SUMIFS(RAB!$F$14:$F$181,RAB!$C$14:$C$181,C1006)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SUMIFS(RAB!$F$14:$F$181,RAB!$C$14:$C$181,C1007)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SUMIFS(RAB!$F$14:$F$181,RAB!$C$14:$C$181,C1008)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SUMIFS(RAB!$F$14:$F$181,RAB!$C$14:$C$181,C1009)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SUMIFS(RAB!$F$14:$F$181,RAB!$C$14:$C$181,C1010)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SUMIFS(RAB!$F$14:$F$181,RAB!$C$14:$C$181,C1011)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SUMIFS(RAB!$F$14:$F$181,RAB!$C$14:$C$181,C1012)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SUMIFS(RAB!$F$14:$F$181,RAB!$C$14:$C$181,C1013)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SUMIFS(RAB!$F$14:$F$181,RAB!$C$14:$C$181,C1014)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SUMIFS(RAB!$F$14:$F$181,RAB!$C$14:$C$181,C1015)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SUMIFS(RAB!$F$14:$F$181,RAB!$C$14:$C$181,C1016)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SUMIFS(RAB!$F$14:$F$181,RAB!$C$14:$C$181,C1017)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SUMIFS(RAB!$F$14:$F$181,RAB!$C$14:$C$181,C1018)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SUMIFS(RAB!$F$14:$F$181,RAB!$C$14:$C$181,C1019)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SUMIFS(RAB!$F$14:$F$181,RAB!$C$14:$C$181,C1020)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SUMIFS(RAB!$F$14:$F$181,RAB!$C$14:$C$181,C1021)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SUMIFS(RAB!$F$14:$F$181,RAB!$C$14:$C$181,C1022)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SUMIFS(RAB!$F$14:$F$181,RAB!$C$14:$C$181,C1023)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SUMIFS(RAB!$F$14:$F$181,RAB!$C$14:$C$181,C1024)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SUMIFS(RAB!$F$14:$F$181,RAB!$C$14:$C$181,C1025)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SUMIFS(RAB!$F$14:$F$181,RAB!$C$14:$C$181,C1026)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SUMIFS(RAB!$F$14:$F$181,RAB!$C$14:$C$181,C1027)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SUMIFS(RAB!$F$14:$F$181,RAB!$C$14:$C$181,C1028)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SUMIFS(RAB!$F$14:$F$181,RAB!$C$14:$C$181,C1029)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SUMIFS(RAB!$F$14:$F$181,RAB!$C$14:$C$181,C1030)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SUMIFS(RAB!$F$14:$F$181,RAB!$C$14:$C$181,C1031)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SUMIFS(RAB!$F$14:$F$181,RAB!$C$14:$C$181,C1032)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SUMIFS(RAB!$F$14:$F$181,RAB!$C$14:$C$181,C1033)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SUMIFS(RAB!$F$14:$F$181,RAB!$C$14:$C$181,C1034)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SUMIFS(RAB!$F$14:$F$181,RAB!$C$14:$C$181,C1035)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SUMIFS(RAB!$F$14:$F$181,RAB!$C$14:$C$181,C1036)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SUMIFS(RAB!$F$14:$F$181,RAB!$C$14:$C$181,C1037)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SUMIFS(RAB!$F$14:$F$181,RAB!$C$14:$C$181,C1038)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SUMIFS(RAB!$F$14:$F$181,RAB!$C$14:$C$181,C1039)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SUMIFS(RAB!$F$14:$F$181,RAB!$C$14:$C$181,C1040)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SUMIFS(RAB!$F$14:$F$181,RAB!$C$14:$C$181,C1041)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SUMIFS(RAB!$F$14:$F$181,RAB!$C$14:$C$181,C1042)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SUMIFS(RAB!$F$14:$F$181,RAB!$C$14:$C$181,C1043)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SUMIFS(RAB!$F$14:$F$181,RAB!$C$14:$C$181,C1044)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SUMIFS(RAB!$F$14:$F$181,RAB!$C$14:$C$181,C1045)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SUMIFS(RAB!$F$14:$F$181,RAB!$C$14:$C$181,C1046)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SUMIFS(RAB!$F$14:$F$181,RAB!$C$14:$C$181,C1047)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SUMIFS(RAB!$F$14:$F$181,RAB!$C$14:$C$181,C1048)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SUMIFS(RAB!$F$14:$F$181,RAB!$C$14:$C$181,C1049)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SUMIFS(RAB!$F$14:$F$181,RAB!$C$14:$C$181,C1050)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SUMIFS(RAB!$F$14:$F$181,RAB!$C$14:$C$181,C1051)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SUMIFS(RAB!$F$14:$F$181,RAB!$C$14:$C$181,C1052)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SUMIFS(RAB!$F$14:$F$181,RAB!$C$14:$C$181,C1053)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SUMIFS(RAB!$F$14:$F$181,RAB!$C$14:$C$181,C1054)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SUMIFS(RAB!$F$14:$F$181,RAB!$C$14:$C$181,C1055)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SUMIFS(RAB!$F$14:$F$181,RAB!$C$14:$C$181,C1056)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SUMIFS(RAB!$F$14:$F$181,RAB!$C$14:$C$181,C1057)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SUMIFS(RAB!$F$14:$F$181,RAB!$C$14:$C$181,C1058)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SUMIFS(RAB!$F$14:$F$181,RAB!$C$14:$C$181,C1059)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SUMIFS(RAB!$F$14:$F$181,RAB!$C$14:$C$181,C1060)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SUMIFS(RAB!$F$14:$F$181,RAB!$C$14:$C$181,C1061)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SUMIFS(RAB!$F$14:$F$181,RAB!$C$14:$C$181,C1062)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SUMIFS(RAB!$F$14:$F$181,RAB!$C$14:$C$181,C1063)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SUMIFS(RAB!$F$14:$F$181,RAB!$C$14:$C$181,C1064)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SUMIFS(RAB!$F$14:$F$181,RAB!$C$14:$C$181,C1065)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SUMIFS(RAB!$F$14:$F$181,RAB!$C$14:$C$181,C1066)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SUMIFS(RAB!$F$14:$F$181,RAB!$C$14:$C$181,C1067)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SUMIFS(RAB!$F$14:$F$181,RAB!$C$14:$C$181,C1068)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SUMIFS(RAB!$F$14:$F$181,RAB!$C$14:$C$181,C1069)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SUMIFS(RAB!$F$14:$F$181,RAB!$C$14:$C$181,C1070)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SUMIFS(RAB!$F$14:$F$181,RAB!$C$14:$C$181,C1071)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SUMIFS(RAB!$F$14:$F$181,RAB!$C$14:$C$181,C1072)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SUMIFS(RAB!$F$14:$F$181,RAB!$C$14:$C$181,C1073)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SUMIFS(RAB!$F$14:$F$181,RAB!$C$14:$C$181,C1074)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SUMIFS(RAB!$F$14:$F$181,RAB!$C$14:$C$181,C1075)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SUMIFS(RAB!$F$14:$F$181,RAB!$C$14:$C$181,C1076)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SUMIFS(RAB!$F$14:$F$181,RAB!$C$14:$C$181,C1077)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SUMIFS(RAB!$F$14:$F$181,RAB!$C$14:$C$181,C1078)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SUMIFS(RAB!$F$14:$F$181,RAB!$C$14:$C$181,C1079)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SUMIFS(RAB!$F$14:$F$181,RAB!$C$14:$C$181,C1080)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SUMIFS(RAB!$F$14:$F$181,RAB!$C$14:$C$181,C1081)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SUMIFS(RAB!$F$14:$F$181,RAB!$C$14:$C$181,C1082)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SUMIFS(RAB!$F$14:$F$181,RAB!$C$14:$C$181,C1083)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SUMIFS(RAB!$F$14:$F$181,RAB!$C$14:$C$181,C1084)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SUMIFS(RAB!$F$14:$F$181,RAB!$C$14:$C$181,C1085)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SUMIFS(RAB!$F$14:$F$181,RAB!$C$14:$C$181,C1086)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SUMIFS(RAB!$F$14:$F$181,RAB!$C$14:$C$181,C1087)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SUMIFS(RAB!$F$14:$F$181,RAB!$C$14:$C$181,C1088)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SUMIFS(RAB!$F$14:$F$181,RAB!$C$14:$C$181,C1089)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SUMIFS(RAB!$F$14:$F$181,RAB!$C$14:$C$181,C1090)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SUMIFS(RAB!$F$14:$F$181,RAB!$C$14:$C$181,C1091)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SUMIFS(RAB!$F$14:$F$181,RAB!$C$14:$C$181,C1092)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SUMIFS(RAB!$F$14:$F$181,RAB!$C$14:$C$181,C1093)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SUMIFS(RAB!$F$14:$F$181,RAB!$C$14:$C$181,C1094)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SUMIFS(RAB!$F$14:$F$181,RAB!$C$14:$C$181,C1095)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SUMIFS(RAB!$F$14:$F$181,RAB!$C$14:$C$181,C1096)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SUMIFS(RAB!$F$14:$F$181,RAB!$C$14:$C$181,C1097)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SUMIFS(RAB!$F$14:$F$181,RAB!$C$14:$C$181,C1098)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SUMIFS(RAB!$F$14:$F$181,RAB!$C$14:$C$181,C1099)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SUMIFS(RAB!$F$14:$F$181,RAB!$C$14:$C$181,C1100)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SUMIFS(RAB!$F$14:$F$181,RAB!$C$14:$C$181,C1101)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SUMIFS(RAB!$F$14:$F$181,RAB!$C$14:$C$181,C1102)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SUMIFS(RAB!$F$14:$F$181,RAB!$C$14:$C$181,C1103)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SUMIFS(RAB!$F$14:$F$181,RAB!$C$14:$C$181,C1104)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SUMIFS(RAB!$F$14:$F$181,RAB!$C$14:$C$181,C1105)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SUMIFS(RAB!$F$14:$F$181,RAB!$C$14:$C$181,C1106)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SUMIFS(RAB!$F$14:$F$181,RAB!$C$14:$C$181,C1107)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SUMIFS(RAB!$F$14:$F$181,RAB!$C$14:$C$181,C1108)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SUMIFS(RAB!$F$14:$F$181,RAB!$C$14:$C$181,C1109)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SUMIFS(RAB!$F$14:$F$181,RAB!$C$14:$C$181,C1110)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SUMIFS(RAB!$F$14:$F$181,RAB!$C$14:$C$181,C1111)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SUMIFS(RAB!$F$14:$F$181,RAB!$C$14:$C$181,C1112)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SUMIFS(RAB!$F$14:$F$181,RAB!$C$14:$C$181,C1113)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SUMIFS(RAB!$F$14:$F$181,RAB!$C$14:$C$181,C1114)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SUMIFS(RAB!$F$14:$F$181,RAB!$C$14:$C$181,C1115)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SUMIFS(RAB!$F$14:$F$181,RAB!$C$14:$C$181,C1116)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SUMIFS(RAB!$F$14:$F$181,RAB!$C$14:$C$181,C1117)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SUMIFS(RAB!$F$14:$F$181,RAB!$C$14:$C$181,C1118)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SUMIFS(RAB!$F$14:$F$181,RAB!$C$14:$C$181,C1119)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SUMIFS(RAB!$F$14:$F$181,RAB!$C$14:$C$181,C1120)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SUMIFS(RAB!$F$14:$F$181,RAB!$C$14:$C$181,C1121)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SUMIFS(RAB!$F$14:$F$181,RAB!$C$14:$C$181,C1122)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SUMIFS(RAB!$F$14:$F$181,RAB!$C$14:$C$181,C1123)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SUMIFS(RAB!$F$14:$F$181,RAB!$C$14:$C$181,C1124)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SUMIFS(RAB!$F$14:$F$181,RAB!$C$14:$C$181,C1125)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SUMIFS(RAB!$F$14:$F$181,RAB!$C$14:$C$181,C1126)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SUMIFS(RAB!$F$14:$F$181,RAB!$C$14:$C$181,C1127)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SUMIFS(RAB!$F$14:$F$181,RAB!$C$14:$C$181,C1128)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SUMIFS(RAB!$F$14:$F$181,RAB!$C$14:$C$181,C1129)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SUMIFS(RAB!$F$14:$F$181,RAB!$C$14:$C$181,C1130)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SUMIFS(RAB!$F$14:$F$181,RAB!$C$14:$C$181,C1131)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SUMIFS(RAB!$F$14:$F$181,RAB!$C$14:$C$181,C1132)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SUMIFS(RAB!$F$14:$F$181,RAB!$C$14:$C$181,C1133)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SUMIFS(RAB!$F$14:$F$181,RAB!$C$14:$C$181,C1134)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SUMIFS(RAB!$F$14:$F$181,RAB!$C$14:$C$181,C1135)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SUMIFS(RAB!$F$14:$F$181,RAB!$C$14:$C$181,C1136)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SUMIFS(RAB!$F$14:$F$181,RAB!$C$14:$C$181,C1137)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SUMIFS(RAB!$F$14:$F$181,RAB!$C$14:$C$181,C1138)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SUMIFS(RAB!$F$14:$F$181,RAB!$C$14:$C$181,C1139)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SUMIFS(RAB!$F$14:$F$181,RAB!$C$14:$C$181,C1140)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SUMIFS(RAB!$F$14:$F$181,RAB!$C$14:$C$181,C1141)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SUMIFS(RAB!$F$14:$F$181,RAB!$C$14:$C$181,C1142)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SUMIFS(RAB!$F$14:$F$181,RAB!$C$14:$C$181,C1143)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SUMIFS(RAB!$F$14:$F$181,RAB!$C$14:$C$181,C1144)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SUMIFS(RAB!$F$14:$F$181,RAB!$C$14:$C$181,C1145)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SUMIFS(RAB!$F$14:$F$181,RAB!$C$14:$C$181,C1146)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SUMIFS(RAB!$F$14:$F$181,RAB!$C$14:$C$181,C1147)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SUMIFS(RAB!$F$14:$F$181,RAB!$C$14:$C$181,C1148)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SUMIFS(RAB!$F$14:$F$181,RAB!$C$14:$C$181,C1149)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SUMIFS(RAB!$F$14:$F$181,RAB!$C$14:$C$181,C1150)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SUMIFS(RAB!$F$14:$F$181,RAB!$C$14:$C$181,C1151)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SUMIFS(RAB!$F$14:$F$181,RAB!$C$14:$C$181,C1152)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SUMIFS(RAB!$F$14:$F$181,RAB!$C$14:$C$181,C1153)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SUMIFS(RAB!$F$14:$F$181,RAB!$C$14:$C$181,C1154)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SUMIFS(RAB!$F$14:$F$181,RAB!$C$14:$C$181,C1155)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SUMIFS(RAB!$F$14:$F$181,RAB!$C$14:$C$181,C1156)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SUMIFS(RAB!$F$14:$F$181,RAB!$C$14:$C$181,C1157)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SUMIFS(RAB!$F$14:$F$181,RAB!$C$14:$C$181,C1158)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SUMIFS(RAB!$F$14:$F$181,RAB!$C$14:$C$181,C1159)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SUMIFS(RAB!$F$14:$F$181,RAB!$C$14:$C$181,C1160)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SUMIFS(RAB!$F$14:$F$181,RAB!$C$14:$C$181,C1161)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SUMIFS(RAB!$F$14:$F$181,RAB!$C$14:$C$181,C1162)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SUMIFS(RAB!$F$14:$F$181,RAB!$C$14:$C$181,C1163)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SUMIFS(RAB!$F$14:$F$181,RAB!$C$14:$C$181,C1164)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SUMIFS(RAB!$F$14:$F$181,RAB!$C$14:$C$181,C1165)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SUMIFS(RAB!$F$14:$F$181,RAB!$C$14:$C$181,C1166)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SUMIFS(RAB!$F$14:$F$181,RAB!$C$14:$C$181,C1167)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SUMIFS(RAB!$F$14:$F$181,RAB!$C$14:$C$181,C1168)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SUMIFS(RAB!$F$14:$F$181,RAB!$C$14:$C$181,C1169)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SUMIFS(RAB!$F$14:$F$181,RAB!$C$14:$C$181,C1170)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SUMIFS(RAB!$F$14:$F$181,RAB!$C$14:$C$181,C1171)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SUMIFS(RAB!$F$14:$F$181,RAB!$C$14:$C$181,C1172)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SUMIFS(RAB!$F$14:$F$181,RAB!$C$14:$C$181,C1173)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SUMIFS(RAB!$F$14:$F$181,RAB!$C$14:$C$181,C1174)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SUMIFS(RAB!$F$14:$F$181,RAB!$C$14:$C$181,C1175)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SUMIFS(RAB!$F$14:$F$181,RAB!$C$14:$C$181,C1176)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SUMIFS(RAB!$F$14:$F$181,RAB!$C$14:$C$181,C1177)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SUMIFS(RAB!$F$14:$F$181,RAB!$C$14:$C$181,C1178)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SUMIFS(RAB!$F$14:$F$181,RAB!$C$14:$C$181,C1179)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SUMIFS(RAB!$F$14:$F$181,RAB!$C$14:$C$181,C1180)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SUMIFS(RAB!$F$14:$F$181,RAB!$C$14:$C$181,C1181)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SUMIFS(RAB!$F$14:$F$181,RAB!$C$14:$C$181,C1182)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SUMIFS(RAB!$F$14:$F$181,RAB!$C$14:$C$181,C1183)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SUMIFS(RAB!$F$14:$F$181,RAB!$C$14:$C$181,C1184)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SUMIFS(RAB!$F$14:$F$181,RAB!$C$14:$C$181,C1185)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SUMIFS(RAB!$F$14:$F$181,RAB!$C$14:$C$181,C1186)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SUMIFS(RAB!$F$14:$F$181,RAB!$C$14:$C$181,C1187)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SUMIFS(RAB!$F$14:$F$181,RAB!$C$14:$C$181,C1188)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SUMIFS(RAB!$F$14:$F$181,RAB!$C$14:$C$181,C1189)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SUMIFS(RAB!$F$14:$F$181,RAB!$C$14:$C$181,C1190)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SUMIFS(RAB!$F$14:$F$181,RAB!$C$14:$C$181,C1191)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SUMIFS(RAB!$F$14:$F$181,RAB!$C$14:$C$181,C1192)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SUMIFS(RAB!$F$14:$F$181,RAB!$C$14:$C$181,C1193)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SUMIFS(RAB!$F$14:$F$181,RAB!$C$14:$C$181,C1194)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SUMIFS(RAB!$F$14:$F$181,RAB!$C$14:$C$181,C1195)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SUMIFS(RAB!$F$14:$F$181,RAB!$C$14:$C$181,C1196)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SUMIFS(RAB!$F$14:$F$181,RAB!$C$14:$C$181,C1197)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SUMIFS(RAB!$F$14:$F$181,RAB!$C$14:$C$181,C1198)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SUMIFS(RAB!$F$14:$F$181,RAB!$C$14:$C$181,C1199)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SUMIFS(RAB!$F$14:$F$181,RAB!$C$14:$C$181,C1200)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SUMIFS(RAB!$F$14:$F$181,RAB!$C$14:$C$181,C1201)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SUMIFS(RAB!$F$14:$F$181,RAB!$C$14:$C$181,C1202)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SUMIFS(RAB!$F$14:$F$181,RAB!$C$14:$C$181,C1203)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SUMIFS(RAB!$F$14:$F$181,RAB!$C$14:$C$181,C1204)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SUMIFS(RAB!$F$14:$F$181,RAB!$C$14:$C$181,C1205)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SUMIFS(RAB!$F$14:$F$181,RAB!$C$14:$C$181,C1206)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SUMIFS(RAB!$F$14:$F$181,RAB!$C$14:$C$181,C1207)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SUMIFS(RAB!$F$14:$F$181,RAB!$C$14:$C$181,C1208)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SUMIFS(RAB!$F$14:$F$181,RAB!$C$14:$C$181,C1209)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SUMIFS(RAB!$F$14:$F$181,RAB!$C$14:$C$181,C1210)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SUMIFS(RAB!$F$14:$F$181,RAB!$C$14:$C$181,C1211)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SUMIFS(RAB!$F$14:$F$181,RAB!$C$14:$C$181,C1212)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SUMIFS(RAB!$F$14:$F$181,RAB!$C$14:$C$181,C1213)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SUMIFS(RAB!$F$14:$F$181,RAB!$C$14:$C$181,C1214)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SUMIFS(RAB!$F$14:$F$181,RAB!$C$14:$C$181,C1215)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SUMIFS(RAB!$F$14:$F$181,RAB!$C$14:$C$181,C1216)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SUMIFS(RAB!$F$14:$F$181,RAB!$C$14:$C$181,C1217)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SUMIFS(RAB!$F$14:$F$181,RAB!$C$14:$C$181,C1218)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SUMIFS(RAB!$F$14:$F$181,RAB!$C$14:$C$181,C1219)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SUMIFS(RAB!$F$14:$F$181,RAB!$C$14:$C$181,C1220)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SUMIFS(RAB!$F$14:$F$181,RAB!$C$14:$C$181,C1221)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SUMIFS(RAB!$F$14:$F$181,RAB!$C$14:$C$181,C1222)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SUMIFS(RAB!$F$14:$F$181,RAB!$C$14:$C$181,C1223)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SUMIFS(RAB!$F$14:$F$181,RAB!$C$14:$C$181,C1224)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SUMIFS(RAB!$F$14:$F$181,RAB!$C$14:$C$181,C1225)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SUMIFS(RAB!$F$14:$F$181,RAB!$C$14:$C$181,C1226)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SUMIFS(RAB!$F$14:$F$181,RAB!$C$14:$C$181,C1227)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SUMIFS(RAB!$F$14:$F$181,RAB!$C$14:$C$181,C1228)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SUMIFS(RAB!$F$14:$F$181,RAB!$C$14:$C$181,C1229)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SUMIFS(RAB!$F$14:$F$181,RAB!$C$14:$C$181,C1230)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SUMIFS(RAB!$F$14:$F$181,RAB!$C$14:$C$181,C1231)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SUMIFS(RAB!$F$14:$F$181,RAB!$C$14:$C$181,C1232)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SUMIFS(RAB!$F$14:$F$181,RAB!$C$14:$C$181,C1233)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SUMIFS(RAB!$F$14:$F$181,RAB!$C$14:$C$181,C1234)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SUMIFS(RAB!$F$14:$F$181,RAB!$C$14:$C$181,C1235)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SUMIFS(RAB!$F$14:$F$181,RAB!$C$14:$C$181,C1236)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SUMIFS(RAB!$F$14:$F$181,RAB!$C$14:$C$181,C1237)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SUMIFS(RAB!$F$14:$F$181,RAB!$C$14:$C$181,C1238)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SUMIFS(RAB!$F$14:$F$181,RAB!$C$14:$C$181,C1239)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SUMIFS(RAB!$F$14:$F$181,RAB!$C$14:$C$181,C1240)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SUMIFS(RAB!$F$14:$F$181,RAB!$C$14:$C$181,C1241)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SUMIFS(RAB!$F$14:$F$181,RAB!$C$14:$C$181,C1242)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SUMIFS(RAB!$F$14:$F$181,RAB!$C$14:$C$181,C1243)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SUMIFS(RAB!$F$14:$F$181,RAB!$C$14:$C$181,C1244)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SUMIFS(RAB!$F$14:$F$181,RAB!$C$14:$C$181,C1245)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SUMIFS(RAB!$F$14:$F$181,RAB!$C$14:$C$181,C1246)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SUMIFS(RAB!$F$14:$F$181,RAB!$C$14:$C$181,C1247)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SUMIFS(RAB!$F$14:$F$181,RAB!$C$14:$C$181,C1248)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SUMIFS(RAB!$F$14:$F$181,RAB!$C$14:$C$181,C1249)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SUMIFS(RAB!$F$14:$F$181,RAB!$C$14:$C$181,C1250)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SUMIFS(RAB!$F$14:$F$181,RAB!$C$14:$C$181,C1251)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SUMIFS(RAB!$F$14:$F$181,RAB!$C$14:$C$181,C1252)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SUMIFS(RAB!$F$14:$F$181,RAB!$C$14:$C$181,C1253)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SUMIFS(RAB!$F$14:$F$181,RAB!$C$14:$C$181,C1254)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SUMIFS(RAB!$F$14:$F$181,RAB!$C$14:$C$181,C1255)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SUMIFS(RAB!$F$14:$F$181,RAB!$C$14:$C$181,C1256)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SUMIFS(RAB!$F$14:$F$181,RAB!$C$14:$C$181,C1257)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SUMIFS(RAB!$F$14:$F$181,RAB!$C$14:$C$181,C1258)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SUMIFS(RAB!$F$14:$F$181,RAB!$C$14:$C$181,C1259)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SUMIFS(RAB!$F$14:$F$181,RAB!$C$14:$C$181,C1260)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SUMIFS(RAB!$F$14:$F$181,RAB!$C$14:$C$181,C1261)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SUMIFS(RAB!$F$14:$F$181,RAB!$C$14:$C$181,C1262)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SUMIFS(RAB!$F$14:$F$181,RAB!$C$14:$C$181,C1263)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SUMIFS(RAB!$F$14:$F$181,RAB!$C$14:$C$181,C1264)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SUMIFS(RAB!$F$14:$F$181,RAB!$C$14:$C$181,C1265)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SUMIFS(RAB!$F$14:$F$181,RAB!$C$14:$C$181,C1266)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SUMIFS(RAB!$F$14:$F$181,RAB!$C$14:$C$181,C1267)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SUMIFS(RAB!$F$14:$F$181,RAB!$C$14:$C$181,C1268)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SUMIFS(RAB!$F$14:$F$181,RAB!$C$14:$C$181,C1269)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SUMIFS(RAB!$F$14:$F$181,RAB!$C$14:$C$181,C1270)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SUMIFS(RAB!$F$14:$F$181,RAB!$C$14:$C$181,C1271)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SUMIFS(RAB!$F$14:$F$181,RAB!$C$14:$C$181,C1272)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SUMIFS(RAB!$F$14:$F$181,RAB!$C$14:$C$181,C1273)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SUMIFS(RAB!$F$14:$F$181,RAB!$C$14:$C$181,C1274)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SUMIFS(RAB!$F$14:$F$181,RAB!$C$14:$C$181,C1275)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SUMIFS(RAB!$F$14:$F$181,RAB!$C$14:$C$181,C1276)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SUMIFS(RAB!$F$14:$F$181,RAB!$C$14:$C$181,C1277)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SUMIFS(RAB!$F$14:$F$181,RAB!$C$14:$C$181,C1278)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SUMIFS(RAB!$F$14:$F$181,RAB!$C$14:$C$181,C1279)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SUMIFS(RAB!$F$14:$F$181,RAB!$C$14:$C$181,C1280)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SUMIFS(RAB!$F$14:$F$181,RAB!$C$14:$C$181,C1281)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SUMIFS(RAB!$F$14:$F$181,RAB!$C$14:$C$181,C1282)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SUMIFS(RAB!$F$14:$F$181,RAB!$C$14:$C$181,C1283)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SUMIFS(RAB!$F$14:$F$181,RAB!$C$14:$C$181,C1284)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SUMIFS(RAB!$F$14:$F$181,RAB!$C$14:$C$181,C1285)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SUMIFS(RAB!$F$14:$F$181,RAB!$C$14:$C$181,C1286)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SUMIFS(RAB!$F$14:$F$181,RAB!$C$14:$C$181,C1287)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SUMIFS(RAB!$F$14:$F$181,RAB!$C$14:$C$181,C1288)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SUMIFS(RAB!$F$14:$F$181,RAB!$C$14:$C$181,C1289)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SUMIFS(RAB!$F$14:$F$181,RAB!$C$14:$C$181,C1290)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SUMIFS(RAB!$F$14:$F$181,RAB!$C$14:$C$181,C1291)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SUMIFS(RAB!$F$14:$F$181,RAB!$C$14:$C$181,C1292)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SUMIFS(RAB!$F$14:$F$181,RAB!$C$14:$C$181,C1293)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SUMIFS(RAB!$F$14:$F$181,RAB!$C$14:$C$181,C1294)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SUMIFS(RAB!$F$14:$F$181,RAB!$C$14:$C$181,C1295)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SUMIFS(RAB!$F$14:$F$181,RAB!$C$14:$C$181,C1296)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SUMIFS(RAB!$F$14:$F$181,RAB!$C$14:$C$181,C1297)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SUMIFS(RAB!$F$14:$F$181,RAB!$C$14:$C$181,C1298)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SUMIFS(RAB!$F$14:$F$181,RAB!$C$14:$C$181,C1299)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SUMIFS(RAB!$F$14:$F$181,RAB!$C$14:$C$181,C1300)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SUMIFS(RAB!$F$14:$F$181,RAB!$C$14:$C$181,C1301)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SUMIFS(RAB!$F$14:$F$181,RAB!$C$14:$C$181,C1302)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SUMIFS(RAB!$F$14:$F$181,RAB!$C$14:$C$181,C1303)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SUMIFS(RAB!$F$14:$F$181,RAB!$C$14:$C$181,C1304)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SUMIFS(RAB!$F$14:$F$181,RAB!$C$14:$C$181,C1305)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SUMIFS(RAB!$F$14:$F$181,RAB!$C$14:$C$181,C1306)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SUMIFS(RAB!$F$14:$F$181,RAB!$C$14:$C$181,C1307)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SUMIFS(RAB!$F$14:$F$181,RAB!$C$14:$C$181,C1308)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SUMIFS(RAB!$F$14:$F$181,RAB!$C$14:$C$181,C1309)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SUMIFS(RAB!$F$14:$F$181,RAB!$C$14:$C$181,C1310)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SUMIFS(RAB!$F$14:$F$181,RAB!$C$14:$C$181,C1311)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SUMIFS(RAB!$F$14:$F$181,RAB!$C$14:$C$181,C1312)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SUMIFS(RAB!$F$14:$F$181,RAB!$C$14:$C$181,C1313)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SUMIFS(RAB!$F$14:$F$181,RAB!$C$14:$C$181,C1314)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SUMIFS(RAB!$F$14:$F$181,RAB!$C$14:$C$181,C1315)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SUMIFS(RAB!$F$14:$F$181,RAB!$C$14:$C$181,C1316)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SUMIFS(RAB!$F$14:$F$181,RAB!$C$14:$C$181,C1317)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SUMIFS(RAB!$F$14:$F$181,RAB!$C$14:$C$181,C1318)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SUMIFS(RAB!$F$14:$F$181,RAB!$C$14:$C$181,C1319)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SUMIFS(RAB!$F$14:$F$181,RAB!$C$14:$C$181,C1320)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62" priority="5" operator="equal">
      <formula>0</formula>
    </cfRule>
  </conditionalFormatting>
  <conditionalFormatting sqref="A10:L65536">
    <cfRule type="cellIs" dxfId="61" priority="1" operator="equal">
      <formula>0</formula>
    </cfRule>
  </conditionalFormatting>
  <conditionalFormatting sqref="C12:C711">
    <cfRule type="cellIs" dxfId="60" priority="66" stopIfTrue="1" operator="equal">
      <formula>0</formula>
    </cfRule>
  </conditionalFormatting>
  <conditionalFormatting sqref="E712:E65536">
    <cfRule type="cellIs" dxfId="59" priority="16" stopIfTrue="1" operator="equal">
      <formula>0</formula>
    </cfRule>
  </conditionalFormatting>
  <conditionalFormatting sqref="G1:G11 E6:E11 E1:E3 H7 H10:H11 F10:F711 G712:G65536">
    <cfRule type="cellIs" dxfId="58" priority="69" stopIfTrue="1" operator="equal">
      <formula>0</formula>
    </cfRule>
  </conditionalFormatting>
  <conditionalFormatting sqref="G12:H711">
    <cfRule type="cellIs" dxfId="57" priority="12" stopIfTrue="1" operator="equal">
      <formula>0</formula>
    </cfRule>
  </conditionalFormatting>
  <conditionalFormatting sqref="I7:K7">
    <cfRule type="cellIs" dxfId="56" priority="4" stopIfTrue="1" operator="equal">
      <formula>0</formula>
    </cfRule>
  </conditionalFormatting>
  <conditionalFormatting sqref="I10:L711">
    <cfRule type="cellIs" dxfId="55" priority="2" stopIfTrue="1" operator="equal">
      <formula>0</formula>
    </cfRule>
  </conditionalFormatting>
  <conditionalFormatting sqref="L1:L6">
    <cfRule type="cellIs" dxfId="54" priority="10" operator="equal">
      <formula>0</formula>
    </cfRule>
  </conditionalFormatting>
  <conditionalFormatting sqref="M1:IV1048576 A8:G9">
    <cfRule type="cellIs" dxfId="53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7" sqref="D27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6" t="s">
        <v>1127</v>
      </c>
      <c r="C4" s="536"/>
      <c r="D4" s="536"/>
      <c r="E4" s="536"/>
      <c r="F4" s="536"/>
      <c r="G4" s="536"/>
      <c r="H4" s="536"/>
      <c r="I4" s="536"/>
      <c r="J4" s="536"/>
      <c r="K4" s="536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60" t="str">
        <f>RAB!G6</f>
        <v>LULUK NASEKAH</v>
      </c>
      <c r="H6" s="560"/>
      <c r="I6" s="560"/>
      <c r="J6" s="560"/>
      <c r="K6" s="560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JATIROGO KEC BONANG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37" t="s">
        <v>0</v>
      </c>
      <c r="C11" s="539" t="s">
        <v>1</v>
      </c>
      <c r="D11" s="542" t="s">
        <v>42</v>
      </c>
      <c r="E11" s="542" t="s">
        <v>43</v>
      </c>
      <c r="F11" s="542" t="s">
        <v>2</v>
      </c>
      <c r="G11" s="544" t="s">
        <v>41</v>
      </c>
      <c r="H11" s="542" t="s">
        <v>3</v>
      </c>
      <c r="I11" s="542"/>
      <c r="J11" s="542"/>
      <c r="K11" s="547"/>
      <c r="M11" s="33"/>
      <c r="N11" s="33"/>
      <c r="O11" s="33"/>
      <c r="P11" s="33"/>
      <c r="R11" s="34"/>
      <c r="S11" s="74"/>
      <c r="T11" s="74"/>
    </row>
    <row r="12" spans="1:21" ht="15" customHeight="1">
      <c r="B12" s="538"/>
      <c r="C12" s="540"/>
      <c r="D12" s="543"/>
      <c r="E12" s="543"/>
      <c r="F12" s="543"/>
      <c r="G12" s="545"/>
      <c r="H12" s="551" t="s">
        <v>46</v>
      </c>
      <c r="I12" s="551" t="s">
        <v>5</v>
      </c>
      <c r="J12" s="543" t="s">
        <v>47</v>
      </c>
      <c r="K12" s="550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8"/>
      <c r="C13" s="541"/>
      <c r="D13" s="543"/>
      <c r="E13" s="543"/>
      <c r="F13" s="543"/>
      <c r="G13" s="546"/>
      <c r="H13" s="552"/>
      <c r="I13" s="552"/>
      <c r="J13" s="543"/>
      <c r="K13" s="550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12M-200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7</v>
      </c>
      <c r="G16" s="41">
        <f ca="1">IF(ISERROR(OFFSET('HARGA SATUAN'!$I$6,MATCH(C16,'HARGA SATUAN'!$C$7:$C$1492,0),0)),"",OFFSET('HARGA SATUAN'!$I$6,MATCH(C16,'HARGA SATUAN'!$C$7:$C$1492,0),0))</f>
        <v>5800000</v>
      </c>
      <c r="H16" s="42">
        <f t="shared" ca="1" si="1"/>
        <v>0</v>
      </c>
      <c r="I16" s="42">
        <f t="shared" ca="1" si="2"/>
        <v>40600000</v>
      </c>
      <c r="J16" s="42">
        <f t="shared" ca="1" si="3"/>
        <v>0</v>
      </c>
      <c r="K16" s="43">
        <f t="shared" ca="1" si="0"/>
        <v>40600000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23" ca="1" si="6">IF(C17="","",A17)</f>
        <v>2</v>
      </c>
      <c r="C17" s="109" t="str">
        <f t="shared" ca="1" si="4"/>
        <v>Tiang Beton 12M-350 daN+E</v>
      </c>
      <c r="D17" s="101" t="str">
        <f ca="1">IF(ISERROR(OFFSET('HARGA SATUAN'!$D$6,MATCH(C17,'HARGA SATUAN'!$C$7:$C$1492,0),0)),"",OFFSET('HARGA SATUAN'!$D$6,MATCH(C17,'HARGA SATUAN'!$C$7:$C$1492,0),0))</f>
        <v>HDW</v>
      </c>
      <c r="E17" s="101" t="str">
        <f ca="1">IF(B17="+","Unit",IF(ISERROR(OFFSET('HARGA SATUAN'!$E$6,MATCH(C17,'HARGA SATUAN'!$C$7:$C$1492,0),0)),"",OFFSET('HARGA SATUAN'!$E$6,MATCH(C17,'HARGA SATUAN'!$C$7:$C$1492,0),0)))</f>
        <v>Btg</v>
      </c>
      <c r="F17" s="101">
        <f t="shared" ca="1" si="5"/>
        <v>1</v>
      </c>
      <c r="G17" s="41">
        <f ca="1">IF(ISERROR(OFFSET('HARGA SATUAN'!$I$6,MATCH(C17,'HARGA SATUAN'!$C$7:$C$1492,0),0)),"",OFFSET('HARGA SATUAN'!$I$6,MATCH(C17,'HARGA SATUAN'!$C$7:$C$1492,0),0))</f>
        <v>6074400</v>
      </c>
      <c r="H17" s="42">
        <f t="shared" ca="1" si="1"/>
        <v>0</v>
      </c>
      <c r="I17" s="42">
        <f t="shared" ca="1" si="2"/>
        <v>6074400</v>
      </c>
      <c r="J17" s="42">
        <f t="shared" ca="1" si="3"/>
        <v>0</v>
      </c>
      <c r="K17" s="43">
        <f t="shared" ca="1" si="0"/>
        <v>6074400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61" t="s">
        <v>1008</v>
      </c>
      <c r="D38" s="561"/>
      <c r="E38" s="561"/>
      <c r="F38" s="561"/>
      <c r="G38" s="77" t="s">
        <v>9</v>
      </c>
      <c r="H38" s="55">
        <f ca="1">SUM(H14:H37)</f>
        <v>0</v>
      </c>
      <c r="I38" s="55">
        <f ca="1">SUM(I14:I37)</f>
        <v>46674400</v>
      </c>
      <c r="J38" s="55">
        <f ca="1">SUM(J14:J37)</f>
        <v>0</v>
      </c>
      <c r="K38" s="55">
        <f ca="1">SUM(K14:K37)</f>
        <v>46674400</v>
      </c>
      <c r="L38" s="44"/>
      <c r="R38" s="99"/>
      <c r="S38" s="99"/>
      <c r="T38" s="99"/>
    </row>
    <row r="39" spans="1:20" s="36" customFormat="1">
      <c r="A39" s="30"/>
      <c r="B39" s="56"/>
      <c r="C39" s="562" t="s">
        <v>462</v>
      </c>
      <c r="D39" s="562"/>
      <c r="E39" s="562"/>
      <c r="F39" s="562"/>
      <c r="G39" s="59" t="s">
        <v>9</v>
      </c>
      <c r="H39" s="60">
        <f ca="1">H38*0.1</f>
        <v>0</v>
      </c>
      <c r="I39" s="60">
        <f ca="1">I38*0.1</f>
        <v>4667440</v>
      </c>
      <c r="J39" s="60">
        <f ca="1">J38*0.1</f>
        <v>0</v>
      </c>
      <c r="K39" s="60">
        <f ca="1">K38*0.1</f>
        <v>4667440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53" t="s">
        <v>463</v>
      </c>
      <c r="D40" s="553"/>
      <c r="E40" s="553"/>
      <c r="F40" s="553"/>
      <c r="G40" s="61" t="s">
        <v>9</v>
      </c>
      <c r="H40" s="78">
        <f ca="1">SUM(H38:H39)</f>
        <v>0</v>
      </c>
      <c r="I40" s="78">
        <f ca="1">SUM(I38:I39)</f>
        <v>51341840</v>
      </c>
      <c r="J40" s="61">
        <f ca="1">SUM(J38:J39)</f>
        <v>0</v>
      </c>
      <c r="K40" s="61">
        <f ca="1">SUM(K38:K39)</f>
        <v>51341840</v>
      </c>
      <c r="L40" s="44"/>
      <c r="R40" s="99"/>
      <c r="S40" s="99"/>
      <c r="T40" s="99"/>
    </row>
    <row r="41" spans="1:20" s="36" customFormat="1">
      <c r="A41" s="30"/>
      <c r="B41" s="554" t="e">
        <f ca="1">"Terbilang : ( "&amp;L42&amp;" Rupiah )"</f>
        <v>#NAME?</v>
      </c>
      <c r="C41" s="555"/>
      <c r="D41" s="555"/>
      <c r="E41" s="555"/>
      <c r="F41" s="555"/>
      <c r="G41" s="555"/>
      <c r="H41" s="555"/>
      <c r="I41" s="555"/>
      <c r="J41" s="555"/>
      <c r="K41" s="556"/>
      <c r="L41" s="44"/>
      <c r="R41" s="58"/>
      <c r="S41" s="58"/>
      <c r="T41" s="58"/>
    </row>
    <row r="42" spans="1:20" s="36" customFormat="1">
      <c r="A42" s="30"/>
      <c r="B42" s="557"/>
      <c r="C42" s="558"/>
      <c r="D42" s="558"/>
      <c r="E42" s="558"/>
      <c r="F42" s="558"/>
      <c r="G42" s="558"/>
      <c r="H42" s="558"/>
      <c r="I42" s="558"/>
      <c r="J42" s="558"/>
      <c r="K42" s="559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48"/>
      <c r="I45" s="548"/>
      <c r="J45" s="549"/>
      <c r="K45" s="549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48"/>
      <c r="I46" s="548"/>
      <c r="J46" s="549"/>
      <c r="K46" s="549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48"/>
      <c r="I47" s="548"/>
      <c r="J47" s="549"/>
      <c r="K47" s="549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48"/>
      <c r="I52" s="548"/>
      <c r="J52" s="549"/>
      <c r="K52" s="549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SUMIFS(RAB!$F$14:$F$181,RAB!$C$14:$C$181,'REKAP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SUMIFS(RAB!$F$14:$F$181,RAB!$C$14:$C$181,'REKAP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SUMIFS(RAB!$F$14:$F$181,RAB!$C$14:$C$181,'REKAP TIANG'!C59)</f>
        <v>7</v>
      </c>
      <c r="E59" s="24">
        <f t="shared" ca="1" si="12"/>
        <v>1</v>
      </c>
      <c r="F59" s="24">
        <f ca="1">IF(D59=0,0,SUM($E$56:E59))</f>
        <v>1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SUMIFS(RAB!$F$14:$F$181,RAB!$C$14:$C$181,'REKAP TIANG'!C60)</f>
        <v>1</v>
      </c>
      <c r="E60" s="24">
        <f t="shared" ca="1" si="12"/>
        <v>1</v>
      </c>
      <c r="F60" s="24">
        <f ca="1">IF(D60=0,0,SUM($E$56:E60))</f>
        <v>2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SUMIFS(RAB!$F$14:$F$181,RAB!$C$14:$C$181,'REKAP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SUMIFS(RAB!$F$14:$F$181,RAB!$C$14:$C$181,'REKAP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SUMIFS(RAB!$F$14:$F$181,RAB!$C$14:$C$181,'REKAP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SUMIFS(RAB!$F$14:$F$181,RAB!$C$14:$C$181,'REKAP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SUMIFS(RAB!$F$14:$F$181,RAB!$C$14:$C$181,'REKAP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SUMIFS(RAB!$F$14:$F$181,RAB!$C$14:$C$181,'REKAP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SUMIFS(RAB!$F$14:$F$181,RAB!$C$14:$C$181,'REKAP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SUMIFS(RAB!$F$14:$F$181,RAB!$C$14:$C$181,'REKAP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SUMIFS(RAB!$F$14:$F$181,RAB!$C$14:$C$181,'REKAP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SUMIFS(RAB!$F$14:$F$181,RAB!$C$14:$C$181,'REKAP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SUMIFS(RAB!$F$14:$F$181,RAB!$C$14:$C$181,'REKAP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SUMIFS(RAB!$F$14:$F$181,RAB!$C$14:$C$181,'REKAP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SUMIFS(RAB!$F$14:$F$181,RAB!$C$14:$C$181,'REKAP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SUMIFS(RAB!$F$14:$F$181,RAB!$C$14:$C$181,'REKAP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SUMIFS(RAB!$F$14:$F$181,RAB!$C$14:$C$181,'REKAP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SUMIFS(RAB!$F$14:$F$181,RAB!$C$14:$C$181,'REKAP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52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51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6" t="s">
        <v>1034</v>
      </c>
      <c r="C4" s="536"/>
      <c r="D4" s="536"/>
      <c r="E4" s="536"/>
      <c r="F4" s="536"/>
      <c r="G4" s="536"/>
      <c r="H4" s="536"/>
      <c r="I4" s="536"/>
      <c r="J4" s="536"/>
      <c r="K4" s="536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60" t="str">
        <f>RAB!G6</f>
        <v>LULUK NASEKAH</v>
      </c>
      <c r="H6" s="560"/>
      <c r="I6" s="560"/>
      <c r="J6" s="560"/>
      <c r="K6" s="560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JATIROGO KEC BONANG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37" t="s">
        <v>0</v>
      </c>
      <c r="C11" s="539" t="s">
        <v>1</v>
      </c>
      <c r="D11" s="542" t="s">
        <v>42</v>
      </c>
      <c r="E11" s="542" t="s">
        <v>43</v>
      </c>
      <c r="F11" s="542" t="s">
        <v>2</v>
      </c>
      <c r="G11" s="544" t="s">
        <v>41</v>
      </c>
      <c r="H11" s="542" t="s">
        <v>3</v>
      </c>
      <c r="I11" s="542"/>
      <c r="J11" s="542"/>
      <c r="K11" s="547"/>
      <c r="M11" s="33"/>
      <c r="N11" s="33"/>
      <c r="O11" s="33"/>
      <c r="P11" s="33"/>
      <c r="R11" s="34"/>
      <c r="S11" s="74"/>
      <c r="T11" s="74"/>
    </row>
    <row r="12" spans="1:21" ht="15" customHeight="1">
      <c r="B12" s="538"/>
      <c r="C12" s="540"/>
      <c r="D12" s="543"/>
      <c r="E12" s="543"/>
      <c r="F12" s="543"/>
      <c r="G12" s="545"/>
      <c r="H12" s="551" t="s">
        <v>46</v>
      </c>
      <c r="I12" s="551" t="s">
        <v>5</v>
      </c>
      <c r="J12" s="543" t="s">
        <v>47</v>
      </c>
      <c r="K12" s="550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8"/>
      <c r="C13" s="541"/>
      <c r="D13" s="543"/>
      <c r="E13" s="543"/>
      <c r="F13" s="543"/>
      <c r="G13" s="546"/>
      <c r="H13" s="552"/>
      <c r="I13" s="552"/>
      <c r="J13" s="543"/>
      <c r="K13" s="550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5(80) A; kls 1 (Pengukuran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1427400</v>
      </c>
      <c r="H16" s="42">
        <f t="shared" ca="1" si="1"/>
        <v>1427400</v>
      </c>
      <c r="I16" s="42">
        <f t="shared" ca="1" si="2"/>
        <v>0</v>
      </c>
      <c r="J16" s="42">
        <f t="shared" ca="1" si="3"/>
        <v>0</v>
      </c>
      <c r="K16" s="43">
        <f t="shared" ca="1" si="0"/>
        <v>1427400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Langsung Daya 10.6 kVA MCCB 16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3564900</v>
      </c>
      <c r="H17" s="42">
        <f t="shared" ca="1" si="1"/>
        <v>3564900</v>
      </c>
      <c r="I17" s="42">
        <f t="shared" ca="1" si="2"/>
        <v>0</v>
      </c>
      <c r="J17" s="42">
        <f t="shared" ca="1" si="3"/>
        <v>0</v>
      </c>
      <c r="K17" s="43">
        <f t="shared" ca="1" si="0"/>
        <v>3564900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50 kVA YNyn0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42757200</v>
      </c>
      <c r="H18" s="42">
        <f t="shared" ca="1" si="1"/>
        <v>42757200</v>
      </c>
      <c r="I18" s="42">
        <f t="shared" ca="1" si="2"/>
        <v>0</v>
      </c>
      <c r="J18" s="42">
        <f t="shared" ca="1" si="3"/>
        <v>0</v>
      </c>
      <c r="K18" s="43">
        <f t="shared" ca="1" si="0"/>
        <v>42757200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LVCB 2 Jurusan 400 A LBS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1</v>
      </c>
      <c r="G19" s="41">
        <f ca="1">IF(ISERROR(OFFSET('HARGA SATUAN'!$I$6,MATCH(C19,'HARGA SATUAN'!$C$7:$C$1492,0),0)),"",OFFSET('HARGA SATUAN'!$I$6,MATCH(C19,'HARGA SATUAN'!$C$7:$C$1492,0),0))</f>
        <v>12223800</v>
      </c>
      <c r="H19" s="42">
        <f t="shared" ca="1" si="1"/>
        <v>12223800</v>
      </c>
      <c r="I19" s="42">
        <f t="shared" ca="1" si="2"/>
        <v>0</v>
      </c>
      <c r="J19" s="42">
        <f t="shared" ca="1" si="3"/>
        <v>0</v>
      </c>
      <c r="K19" s="43">
        <f t="shared" ca="1" si="0"/>
        <v>12223800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FCO Polymer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3</v>
      </c>
      <c r="G20" s="41">
        <f ca="1">IF(ISERROR(OFFSET('HARGA SATUAN'!$I$6,MATCH(C20,'HARGA SATUAN'!$C$7:$C$1492,0),0)),"",OFFSET('HARGA SATUAN'!$I$6,MATCH(C20,'HARGA SATUAN'!$C$7:$C$1492,0),0))</f>
        <v>848250</v>
      </c>
      <c r="H20" s="42">
        <f t="shared" ca="1" si="1"/>
        <v>2544750</v>
      </c>
      <c r="I20" s="42">
        <f t="shared" ca="1" si="2"/>
        <v>0</v>
      </c>
      <c r="J20" s="42">
        <f t="shared" ca="1" si="3"/>
        <v>0</v>
      </c>
      <c r="K20" s="43">
        <f t="shared" ca="1" si="0"/>
        <v>2544750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Lightning Arester (Polymer) 21 KV, 10 KA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Bh</v>
      </c>
      <c r="F21" s="101">
        <f t="shared" ca="1" si="6"/>
        <v>3</v>
      </c>
      <c r="G21" s="41">
        <f ca="1">IF(ISERROR(OFFSET('HARGA SATUAN'!$I$6,MATCH(C21,'HARGA SATUAN'!$C$7:$C$1492,0),0)),"",OFFSET('HARGA SATUAN'!$I$6,MATCH(C21,'HARGA SATUAN'!$C$7:$C$1492,0),0))</f>
        <v>725900</v>
      </c>
      <c r="H21" s="42">
        <f t="shared" ca="1" si="1"/>
        <v>2177700</v>
      </c>
      <c r="I21" s="42">
        <f t="shared" ca="1" si="2"/>
        <v>0</v>
      </c>
      <c r="J21" s="42">
        <f t="shared" ca="1" si="3"/>
        <v>0</v>
      </c>
      <c r="K21" s="43">
        <f t="shared" ca="1" si="0"/>
        <v>2177700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Isolator Tumpu ( Line Post ) 20 KV Polymer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Bh</v>
      </c>
      <c r="F22" s="101">
        <f t="shared" ca="1" si="6"/>
        <v>3</v>
      </c>
      <c r="G22" s="41">
        <f ca="1">IF(ISERROR(OFFSET('HARGA SATUAN'!$I$6,MATCH(C22,'HARGA SATUAN'!$C$7:$C$1492,0),0)),"",OFFSET('HARGA SATUAN'!$I$6,MATCH(C22,'HARGA SATUAN'!$C$7:$C$1492,0),0))</f>
        <v>176900</v>
      </c>
      <c r="H22" s="42">
        <f t="shared" ca="1" si="1"/>
        <v>530700</v>
      </c>
      <c r="I22" s="42">
        <f t="shared" ca="1" si="2"/>
        <v>0</v>
      </c>
      <c r="J22" s="42">
        <f t="shared" ca="1" si="3"/>
        <v>0</v>
      </c>
      <c r="K22" s="43">
        <f t="shared" ca="1" si="0"/>
        <v>530700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AAAC 70 mm²</v>
      </c>
      <c r="D23" s="101" t="str">
        <f ca="1">IF(ISERROR(OFFSET('HARGA SATUAN'!$D$6,MATCH(C23,'HARGA SATUAN'!$C$7:$C$1492,0),0)),"",OFFSET('HARGA SATUAN'!$D$6,MATCH(C23,'HARGA SATUAN'!$C$7:$C$1492,0),0))</f>
        <v>MDU-KD</v>
      </c>
      <c r="E23" s="101" t="str">
        <f ca="1">IF(B23="+","Unit",IF(ISERROR(OFFSET('HARGA SATUAN'!$E$6,MATCH(C23,'HARGA SATUAN'!$C$7:$C$1492,0),0)),"",OFFSET('HARGA SATUAN'!$E$6,MATCH(C23,'HARGA SATUAN'!$C$7:$C$1492,0),0)))</f>
        <v>Mtr</v>
      </c>
      <c r="F23" s="101">
        <f t="shared" ca="1" si="6"/>
        <v>9</v>
      </c>
      <c r="G23" s="41">
        <f ca="1">IF(ISERROR(OFFSET('HARGA SATUAN'!$I$6,MATCH(C23,'HARGA SATUAN'!$C$7:$C$1492,0),0)),"",OFFSET('HARGA SATUAN'!$I$6,MATCH(C23,'HARGA SATUAN'!$C$7:$C$1492,0),0))</f>
        <v>14200</v>
      </c>
      <c r="H23" s="42">
        <f t="shared" ca="1" si="1"/>
        <v>127800</v>
      </c>
      <c r="I23" s="42">
        <f t="shared" ca="1" si="2"/>
        <v>0</v>
      </c>
      <c r="J23" s="42">
        <f t="shared" ca="1" si="3"/>
        <v>0</v>
      </c>
      <c r="K23" s="43">
        <f t="shared" ca="1" si="0"/>
        <v>127800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>
        <f t="shared" ca="1" si="4"/>
        <v>9</v>
      </c>
      <c r="C24" s="109" t="str">
        <f t="shared" ca="1" si="5"/>
        <v>NFA2X-T 3x70+1x70</v>
      </c>
      <c r="D24" s="101" t="str">
        <f ca="1">IF(ISERROR(OFFSET('HARGA SATUAN'!$D$6,MATCH(C24,'HARGA SATUAN'!$C$7:$C$1492,0),0)),"",OFFSET('HARGA SATUAN'!$D$6,MATCH(C24,'HARGA SATUAN'!$C$7:$C$1492,0),0))</f>
        <v>MDU-KD</v>
      </c>
      <c r="E24" s="101" t="str">
        <f ca="1">IF(B24="+","Unit",IF(ISERROR(OFFSET('HARGA SATUAN'!$E$6,MATCH(C24,'HARGA SATUAN'!$C$7:$C$1492,0),0)),"",OFFSET('HARGA SATUAN'!$E$6,MATCH(C24,'HARGA SATUAN'!$C$7:$C$1492,0),0)))</f>
        <v>Mtr</v>
      </c>
      <c r="F24" s="101">
        <f t="shared" ca="1" si="6"/>
        <v>383</v>
      </c>
      <c r="G24" s="41">
        <f ca="1">IF(ISERROR(OFFSET('HARGA SATUAN'!$I$6,MATCH(C24,'HARGA SATUAN'!$C$7:$C$1492,0),0)),"",OFFSET('HARGA SATUAN'!$I$6,MATCH(C24,'HARGA SATUAN'!$C$7:$C$1492,0),0))</f>
        <v>54500</v>
      </c>
      <c r="H24" s="42">
        <f t="shared" ca="1" si="1"/>
        <v>20873500</v>
      </c>
      <c r="I24" s="42">
        <f t="shared" ca="1" si="2"/>
        <v>0</v>
      </c>
      <c r="J24" s="42">
        <f t="shared" ca="1" si="3"/>
        <v>0</v>
      </c>
      <c r="K24" s="43">
        <f t="shared" ca="1" si="0"/>
        <v>20873500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>
        <f t="shared" ca="1" si="4"/>
        <v>10</v>
      </c>
      <c r="C25" s="109" t="str">
        <f t="shared" ca="1" si="5"/>
        <v>NFA2X 4 x 16 mm²</v>
      </c>
      <c r="D25" s="101" t="str">
        <f ca="1">IF(ISERROR(OFFSET('HARGA SATUAN'!$D$6,MATCH(C25,'HARGA SATUAN'!$C$7:$C$1492,0),0)),"",OFFSET('HARGA SATUAN'!$D$6,MATCH(C25,'HARGA SATUAN'!$C$7:$C$1492,0),0))</f>
        <v>MDU-KD</v>
      </c>
      <c r="E25" s="101" t="str">
        <f ca="1">IF(B25="+","Unit",IF(ISERROR(OFFSET('HARGA SATUAN'!$E$6,MATCH(C25,'HARGA SATUAN'!$C$7:$C$1492,0),0)),"",OFFSET('HARGA SATUAN'!$E$6,MATCH(C25,'HARGA SATUAN'!$C$7:$C$1492,0),0)))</f>
        <v>Mtr</v>
      </c>
      <c r="F25" s="101">
        <f t="shared" ca="1" si="6"/>
        <v>30</v>
      </c>
      <c r="G25" s="41">
        <f ca="1">IF(ISERROR(OFFSET('HARGA SATUAN'!$I$6,MATCH(C25,'HARGA SATUAN'!$C$7:$C$1492,0),0)),"",OFFSET('HARGA SATUAN'!$I$6,MATCH(C25,'HARGA SATUAN'!$C$7:$C$1492,0),0))</f>
        <v>13500</v>
      </c>
      <c r="H25" s="42">
        <f t="shared" ca="1" si="1"/>
        <v>405000</v>
      </c>
      <c r="I25" s="42">
        <f t="shared" ca="1" si="2"/>
        <v>0</v>
      </c>
      <c r="J25" s="42">
        <f t="shared" ca="1" si="3"/>
        <v>0</v>
      </c>
      <c r="K25" s="43">
        <f t="shared" ca="1" si="0"/>
        <v>405000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>
        <f t="shared" ca="1" si="4"/>
        <v>11</v>
      </c>
      <c r="C26" s="109" t="str">
        <f t="shared" ca="1" si="5"/>
        <v>Kabel NYY 1 x 150 mm²</v>
      </c>
      <c r="D26" s="101" t="str">
        <f ca="1">IF(ISERROR(OFFSET('HARGA SATUAN'!$D$6,MATCH(C26,'HARGA SATUAN'!$C$7:$C$1492,0),0)),"",OFFSET('HARGA SATUAN'!$D$6,MATCH(C26,'HARGA SATUAN'!$C$7:$C$1492,0),0))</f>
        <v>MDU-KD</v>
      </c>
      <c r="E26" s="101" t="str">
        <f ca="1">IF(B26="+","Unit",IF(ISERROR(OFFSET('HARGA SATUAN'!$E$6,MATCH(C26,'HARGA SATUAN'!$C$7:$C$1492,0),0)),"",OFFSET('HARGA SATUAN'!$E$6,MATCH(C26,'HARGA SATUAN'!$C$7:$C$1492,0),0)))</f>
        <v>Mtr</v>
      </c>
      <c r="F26" s="101">
        <f t="shared" ca="1" si="6"/>
        <v>68</v>
      </c>
      <c r="G26" s="41">
        <f ca="1">IF(ISERROR(OFFSET('HARGA SATUAN'!$I$6,MATCH(C26,'HARGA SATUAN'!$C$7:$C$1492,0),0)),"",OFFSET('HARGA SATUAN'!$I$6,MATCH(C26,'HARGA SATUAN'!$C$7:$C$1492,0),0))</f>
        <v>218600</v>
      </c>
      <c r="H26" s="42">
        <f t="shared" ca="1" si="1"/>
        <v>14864800</v>
      </c>
      <c r="I26" s="42">
        <f t="shared" ca="1" si="2"/>
        <v>0</v>
      </c>
      <c r="J26" s="42">
        <f t="shared" ca="1" si="3"/>
        <v>0</v>
      </c>
      <c r="K26" s="43">
        <f t="shared" ca="1" si="0"/>
        <v>14864800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61" t="s">
        <v>1008</v>
      </c>
      <c r="D168" s="561"/>
      <c r="E168" s="561"/>
      <c r="F168" s="561"/>
      <c r="G168" s="77" t="s">
        <v>9</v>
      </c>
      <c r="H168" s="55">
        <f ca="1">SUM(H14:H167)</f>
        <v>101497550</v>
      </c>
      <c r="I168" s="55">
        <f ca="1">SUM(I14:I167)</f>
        <v>0</v>
      </c>
      <c r="J168" s="55">
        <f ca="1">SUM(J14:J167)</f>
        <v>0</v>
      </c>
      <c r="K168" s="55">
        <f ca="1">SUM(K14:K167)</f>
        <v>101497550</v>
      </c>
      <c r="L168" s="44"/>
      <c r="R168" s="99"/>
      <c r="S168" s="99"/>
      <c r="T168" s="99"/>
    </row>
    <row r="169" spans="1:20" s="36" customFormat="1">
      <c r="A169" s="30"/>
      <c r="B169" s="56"/>
      <c r="C169" s="562" t="s">
        <v>462</v>
      </c>
      <c r="D169" s="562"/>
      <c r="E169" s="562"/>
      <c r="F169" s="562"/>
      <c r="G169" s="59" t="s">
        <v>9</v>
      </c>
      <c r="H169" s="60">
        <f ca="1">H168*0.1</f>
        <v>10149755</v>
      </c>
      <c r="I169" s="60">
        <f ca="1">I168*0.1</f>
        <v>0</v>
      </c>
      <c r="J169" s="60">
        <f ca="1">J168*0.1</f>
        <v>0</v>
      </c>
      <c r="K169" s="60">
        <f ca="1">K168*0.1</f>
        <v>10149755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53" t="s">
        <v>463</v>
      </c>
      <c r="D170" s="553"/>
      <c r="E170" s="553"/>
      <c r="F170" s="553"/>
      <c r="G170" s="61" t="s">
        <v>9</v>
      </c>
      <c r="H170" s="78">
        <f ca="1">SUM(H168:H169)</f>
        <v>111647305</v>
      </c>
      <c r="I170" s="78">
        <f ca="1">SUM(I168:I169)</f>
        <v>0</v>
      </c>
      <c r="J170" s="61">
        <f ca="1">SUM(J168:J169)</f>
        <v>0</v>
      </c>
      <c r="K170" s="61">
        <f ca="1">SUM(K168:K169)</f>
        <v>111647305</v>
      </c>
      <c r="L170" s="44"/>
      <c r="R170" s="99"/>
      <c r="S170" s="99"/>
      <c r="T170" s="99"/>
    </row>
    <row r="171" spans="1:20" s="36" customFormat="1">
      <c r="A171" s="30"/>
      <c r="B171" s="554" t="e">
        <f ca="1">"Terbilang : ( "&amp;L172&amp;" Rupiah )"</f>
        <v>#NAME?</v>
      </c>
      <c r="C171" s="555"/>
      <c r="D171" s="555"/>
      <c r="E171" s="555"/>
      <c r="F171" s="555"/>
      <c r="G171" s="555"/>
      <c r="H171" s="555"/>
      <c r="I171" s="555"/>
      <c r="J171" s="555"/>
      <c r="K171" s="556"/>
      <c r="L171" s="44"/>
      <c r="R171" s="58"/>
      <c r="S171" s="58"/>
      <c r="T171" s="58"/>
    </row>
    <row r="172" spans="1:20" s="36" customFormat="1">
      <c r="A172" s="30"/>
      <c r="B172" s="557"/>
      <c r="C172" s="558"/>
      <c r="D172" s="558"/>
      <c r="E172" s="558"/>
      <c r="F172" s="558"/>
      <c r="G172" s="558"/>
      <c r="H172" s="558"/>
      <c r="I172" s="558"/>
      <c r="J172" s="558"/>
      <c r="K172" s="559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48"/>
      <c r="I175" s="548"/>
      <c r="J175" s="549"/>
      <c r="K175" s="549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48"/>
      <c r="I176" s="548"/>
      <c r="J176" s="549"/>
      <c r="K176" s="549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48"/>
      <c r="I177" s="548"/>
      <c r="J177" s="549"/>
      <c r="K177" s="549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48"/>
      <c r="I182" s="548"/>
      <c r="J182" s="549"/>
      <c r="K182" s="549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SUMIFS(RAB!$F$14:$F$181,RAB!$C$14:$C$181,C224)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SUMIFS(RAB!$F$14:$F$181,RAB!$C$14:$C$181,C225)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SUMIFS(RAB!$F$14:$F$181,RAB!$C$14:$C$181,C226)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SUMIFS(RAB!$F$14:$F$181,RAB!$C$14:$C$181,C227)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SUMIFS(RAB!$F$14:$F$181,RAB!$C$14:$C$181,C228)</f>
        <v>1</v>
      </c>
      <c r="E228" s="24">
        <f t="shared" ca="1" si="21"/>
        <v>1</v>
      </c>
      <c r="F228" s="24">
        <f ca="1">IF(D228=0,0,SUM($E$223:E228))</f>
        <v>1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SUMIFS(RAB!$F$14:$F$181,RAB!$C$14:$C$181,C229)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SUMIFS(RAB!$F$14:$F$181,RAB!$C$14:$C$181,C230)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SUMIFS(RAB!$F$14:$F$181,RAB!$C$14:$C$181,C231)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SUMIFS(RAB!$F$14:$F$181,RAB!$C$14:$C$181,C232)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SUMIFS(RAB!$F$14:$F$181,RAB!$C$14:$C$181,C233)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SUMIFS(RAB!$F$14:$F$181,RAB!$C$14:$C$181,C234)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SUMIFS(RAB!$F$14:$F$181,RAB!$C$14:$C$181,C235)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SUMIFS(RAB!$F$14:$F$181,RAB!$C$14:$C$181,C236)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SUMIFS(RAB!$F$14:$F$181,RAB!$C$14:$C$181,C237)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SUMIFS(RAB!$F$14:$F$181,RAB!$C$14:$C$181,C238)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SUMIFS(RAB!$F$14:$F$181,RAB!$C$14:$C$181,C239)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SUMIFS(RAB!$F$14:$F$181,RAB!$C$14:$C$181,C240)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SUMIFS(RAB!$F$14:$F$181,RAB!$C$14:$C$181,C241)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SUMIFS(RAB!$F$14:$F$181,RAB!$C$14:$C$181,C242)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SUMIFS(RAB!$F$14:$F$181,RAB!$C$14:$C$181,C243)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SUMIFS(RAB!$F$14:$F$181,RAB!$C$14:$C$181,C244)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SUMIFS(RAB!$F$14:$F$181,RAB!$C$14:$C$181,C245)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SUMIFS(RAB!$F$14:$F$181,RAB!$C$14:$C$181,C246)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SUMIFS(RAB!$F$14:$F$181,RAB!$C$14:$C$181,C247)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SUMIFS(RAB!$F$14:$F$181,RAB!$C$14:$C$181,C248)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SUMIFS(RAB!$F$14:$F$181,RAB!$C$14:$C$181,C249)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SUMIFS(RAB!$F$14:$F$181,RAB!$C$14:$C$181,C250)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SUMIFS(RAB!$F$14:$F$181,RAB!$C$14:$C$181,C251)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SUMIFS(RAB!$F$14:$F$181,RAB!$C$14:$C$181,C252)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SUMIFS(RAB!$F$14:$F$181,RAB!$C$14:$C$181,C253)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SUMIFS(RAB!$F$14:$F$181,RAB!$C$14:$C$181,C254)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SUMIFS(RAB!$F$14:$F$181,RAB!$C$14:$C$181,C255)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SUMIFS(RAB!$F$14:$F$181,RAB!$C$14:$C$181,C256)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SUMIFS(RAB!$F$14:$F$181,RAB!$C$14:$C$181,C257)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SUMIFS(RAB!$F$14:$F$181,RAB!$C$14:$C$181,C258)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SUMIFS(RAB!$F$14:$F$181,RAB!$C$14:$C$181,C259)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SUMIFS(RAB!$F$14:$F$181,RAB!$C$14:$C$181,C260)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SUMIFS(RAB!$F$14:$F$181,RAB!$C$14:$C$181,C261)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SUMIFS(RAB!$F$14:$F$181,RAB!$C$14:$C$181,C262)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SUMIFS(RAB!$F$14:$F$181,RAB!$C$14:$C$181,C263)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SUMIFS(RAB!$F$14:$F$181,RAB!$C$14:$C$181,C264)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SUMIFS(RAB!$F$14:$F$181,RAB!$C$14:$C$181,C265)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SUMIFS(RAB!$F$14:$F$181,RAB!$C$14:$C$181,C266)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SUMIFS(RAB!$F$14:$F$181,RAB!$C$14:$C$181,C267)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SUMIFS(RAB!$F$14:$F$181,RAB!$C$14:$C$181,C268)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SUMIFS(RAB!$F$14:$F$181,RAB!$C$14:$C$181,C269)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SUMIFS(RAB!$F$14:$F$181,RAB!$C$14:$C$181,C270)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SUMIFS(RAB!$F$14:$F$181,RAB!$C$14:$C$181,C271)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SUMIFS(RAB!$F$14:$F$181,RAB!$C$14:$C$181,C272)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SUMIFS(RAB!$F$14:$F$181,RAB!$C$14:$C$181,C273)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SUMIFS(RAB!$F$14:$F$181,RAB!$C$14:$C$181,C274)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SUMIFS(RAB!$F$14:$F$181,RAB!$C$14:$C$181,C275)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SUMIFS(RAB!$F$14:$F$181,RAB!$C$14:$C$181,C276)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SUMIFS(RAB!$F$14:$F$181,RAB!$C$14:$C$181,C277)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SUMIFS(RAB!$F$14:$F$181,RAB!$C$14:$C$181,C278)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SUMIFS(RAB!$F$14:$F$181,RAB!$C$14:$C$181,C279)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SUMIFS(RAB!$F$14:$F$181,RAB!$C$14:$C$181,C280)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SUMIFS(RAB!$F$14:$F$181,RAB!$C$14:$C$181,C281)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SUMIFS(RAB!$F$14:$F$181,RAB!$C$14:$C$181,C282)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SUMIFS(RAB!$F$14:$F$181,RAB!$C$14:$C$181,C283)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SUMIFS(RAB!$F$14:$F$181,RAB!$C$14:$C$181,C284)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SUMIFS(RAB!$F$14:$F$181,RAB!$C$14:$C$181,C285)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SUMIFS(RAB!$F$14:$F$181,RAB!$C$14:$C$181,C286)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SUMIFS(RAB!$F$14:$F$181,RAB!$C$14:$C$181,C287)</f>
        <v>1</v>
      </c>
      <c r="E287" s="24">
        <f t="shared" ca="1" si="21"/>
        <v>1</v>
      </c>
      <c r="F287" s="24">
        <f ca="1">IF(D287=0,0,SUM($E$223:E287))</f>
        <v>2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SUMIFS(RAB!$F$14:$F$181,RAB!$C$14:$C$181,C288)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SUMIFS(RAB!$F$14:$F$181,RAB!$C$14:$C$181,C289)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SUMIFS(RAB!$F$14:$F$181,RAB!$C$14:$C$181,C290)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SUMIFS(RAB!$F$14:$F$181,RAB!$C$14:$C$181,C291)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SUMIFS(RAB!$F$14:$F$181,RAB!$C$14:$C$181,C292)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SUMIFS(RAB!$F$14:$F$181,RAB!$C$14:$C$181,C293)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SUMIFS(RAB!$F$14:$F$181,RAB!$C$14:$C$181,C294)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SUMIFS(RAB!$F$14:$F$181,RAB!$C$14:$C$181,C295)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SUMIFS(RAB!$F$14:$F$181,RAB!$C$14:$C$181,C296)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SUMIFS(RAB!$F$14:$F$181,RAB!$C$14:$C$181,C297)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SUMIFS(RAB!$F$14:$F$181,RAB!$C$14:$C$181,C298)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SUMIFS(RAB!$F$14:$F$181,RAB!$C$14:$C$181,C299)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SUMIFS(RAB!$F$14:$F$181,RAB!$C$14:$C$181,C300)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SUMIFS(RAB!$F$14:$F$181,RAB!$C$14:$C$181,C301)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SUMIFS(RAB!$F$14:$F$181,RAB!$C$14:$C$181,C302)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SUMIFS(RAB!$F$14:$F$181,RAB!$C$14:$C$181,C303)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SUMIFS(RAB!$F$14:$F$181,RAB!$C$14:$C$181,C304)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SUMIFS(RAB!$F$14:$F$181,RAB!$C$14:$C$181,C305)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SUMIFS(RAB!$F$14:$F$181,RAB!$C$14:$C$181,C306)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SUMIFS(RAB!$F$14:$F$181,RAB!$C$14:$C$181,C307)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SUMIFS(RAB!$F$14:$F$181,RAB!$C$14:$C$181,C308)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SUMIFS(RAB!$F$14:$F$181,RAB!$C$14:$C$181,C309)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SUMIFS(RAB!$F$14:$F$181,RAB!$C$14:$C$181,C310)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SUMIFS(RAB!$F$14:$F$181,RAB!$C$14:$C$181,C311)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SUMIFS(RAB!$F$14:$F$181,RAB!$C$14:$C$181,C312)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SUMIFS(RAB!$F$14:$F$181,RAB!$C$14:$C$181,C313)</f>
        <v>1</v>
      </c>
      <c r="E313" s="24">
        <f t="shared" ca="1" si="22"/>
        <v>1</v>
      </c>
      <c r="F313" s="24">
        <f ca="1">IF(D313=0,0,SUM($E$223:E313))</f>
        <v>3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SUMIFS(RAB!$F$14:$F$181,RAB!$C$14:$C$181,C314)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SUMIFS(RAB!$F$14:$F$181,RAB!$C$14:$C$181,C315)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SUMIFS(RAB!$F$14:$F$181,RAB!$C$14:$C$181,C316)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SUMIFS(RAB!$F$14:$F$181,RAB!$C$14:$C$181,C317)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SUMIFS(RAB!$F$14:$F$181,RAB!$C$14:$C$181,C318)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SUMIFS(RAB!$F$14:$F$181,RAB!$C$14:$C$181,C319)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SUMIFS(RAB!$F$14:$F$181,RAB!$C$14:$C$181,C320)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SUMIFS(RAB!$F$14:$F$181,RAB!$C$14:$C$181,C321)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SUMIFS(RAB!$F$14:$F$181,RAB!$C$14:$C$181,C322)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SUMIFS(RAB!$F$14:$F$181,RAB!$C$14:$C$181,C323)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SUMIFS(RAB!$F$14:$F$181,RAB!$C$14:$C$181,C324)</f>
        <v>1</v>
      </c>
      <c r="E324" s="24">
        <f t="shared" ca="1" si="22"/>
        <v>1</v>
      </c>
      <c r="F324" s="24">
        <f ca="1">IF(D324=0,0,SUM($E$223:E324))</f>
        <v>4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SUMIFS(RAB!$F$14:$F$181,RAB!$C$14:$C$181,C325)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SUMIFS(RAB!$F$14:$F$181,RAB!$C$14:$C$181,C326)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SUMIFS(RAB!$F$14:$F$181,RAB!$C$14:$C$181,C327)</f>
        <v>3</v>
      </c>
      <c r="E327" s="24">
        <f t="shared" ca="1" si="22"/>
        <v>1</v>
      </c>
      <c r="F327" s="24">
        <f ca="1">IF(D327=0,0,SUM($E$223:E327))</f>
        <v>5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SUMIFS(RAB!$F$14:$F$181,RAB!$C$14:$C$181,C328)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SUMIFS(RAB!$F$14:$F$181,RAB!$C$14:$C$181,C329)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SUMIFS(RAB!$F$14:$F$181,RAB!$C$14:$C$181,C330)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SUMIFS(RAB!$F$14:$F$181,RAB!$C$14:$C$181,C331)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SUMIFS(RAB!$F$14:$F$181,RAB!$C$14:$C$181,C332)</f>
        <v>3</v>
      </c>
      <c r="E332" s="24">
        <f t="shared" ca="1" si="22"/>
        <v>1</v>
      </c>
      <c r="F332" s="24">
        <f ca="1">IF(D332=0,0,SUM($E$223:E332))</f>
        <v>6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SUMIFS(RAB!$F$14:$F$181,RAB!$C$14:$C$181,C333)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SUMIFS(RAB!$F$14:$F$181,RAB!$C$14:$C$181,C334)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SUMIFS(RAB!$F$14:$F$181,RAB!$C$14:$C$181,C335)</f>
        <v>3</v>
      </c>
      <c r="E335" s="24">
        <f t="shared" ca="1" si="22"/>
        <v>1</v>
      </c>
      <c r="F335" s="24">
        <f ca="1">IF(D335=0,0,SUM($E$223:E335))</f>
        <v>7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SUMIFS(RAB!$F$14:$F$181,RAB!$C$14:$C$181,C336)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SUMIFS(RAB!$F$14:$F$181,RAB!$C$14:$C$181,C337)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SUMIFS(RAB!$F$14:$F$181,RAB!$C$14:$C$181,C338)</f>
        <v>9</v>
      </c>
      <c r="E338" s="24">
        <f t="shared" ca="1" si="22"/>
        <v>1</v>
      </c>
      <c r="F338" s="24">
        <f ca="1">IF(D338=0,0,SUM($E$223:E338))</f>
        <v>8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SUMIFS(RAB!$F$14:$F$181,RAB!$C$14:$C$181,C339)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SUMIFS(RAB!$F$14:$F$181,RAB!$C$14:$C$181,C340)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SUMIFS(RAB!$F$14:$F$181,RAB!$C$14:$C$181,C341)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SUMIFS(RAB!$F$14:$F$181,RAB!$C$14:$C$181,C342)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SUMIFS(RAB!$F$14:$F$181,RAB!$C$14:$C$181,C343)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SUMIFS(RAB!$F$14:$F$181,RAB!$C$14:$C$181,C344)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SUMIFS(RAB!$F$14:$F$181,RAB!$C$14:$C$181,C345)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SUMIFS(RAB!$F$14:$F$181,RAB!$C$14:$C$181,C346)</f>
        <v>383</v>
      </c>
      <c r="E346" s="24">
        <f t="shared" ca="1" si="22"/>
        <v>1</v>
      </c>
      <c r="F346" s="24">
        <f ca="1">IF(D346=0,0,SUM($E$223:E346))</f>
        <v>9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SUMIFS(RAB!$F$14:$F$181,RAB!$C$14:$C$181,C347)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SUMIFS(RAB!$F$14:$F$181,RAB!$C$14:$C$181,C348)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SUMIFS(RAB!$F$14:$F$181,RAB!$C$14:$C$181,C349)</f>
        <v>30</v>
      </c>
      <c r="E349" s="24">
        <f t="shared" ca="1" si="22"/>
        <v>1</v>
      </c>
      <c r="F349" s="24">
        <f ca="1">IF(D349=0,0,SUM($E$223:E349))</f>
        <v>10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SUMIFS(RAB!$F$14:$F$181,RAB!$C$14:$C$181,C350)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SUMIFS(RAB!$F$14:$F$181,RAB!$C$14:$C$181,C351)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SUMIFS(RAB!$F$14:$F$181,RAB!$C$14:$C$181,C352)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SUMIFS(RAB!$F$14:$F$181,RAB!$C$14:$C$181,C353)</f>
        <v>68</v>
      </c>
      <c r="E353" s="24">
        <f t="shared" ref="E353:E373" ca="1" si="23">IF(D353=0,0,1)</f>
        <v>1</v>
      </c>
      <c r="F353" s="24">
        <f ca="1">IF(D353=0,0,SUM($E$223:E353))</f>
        <v>11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SUMIFS(RAB!$F$14:$F$181,RAB!$C$14:$C$181,C354)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SUMIFS(RAB!$F$14:$F$181,RAB!$C$14:$C$181,C355)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SUMIFS(RAB!$F$14:$F$181,RAB!$C$14:$C$181,C356)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SUMIFS(RAB!$F$14:$F$181,RAB!$C$14:$C$181,C357)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SUMIFS(RAB!$F$14:$F$181,RAB!$C$14:$C$181,C358)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SUMIFS(RAB!$F$14:$F$181,RAB!$C$14:$C$181,C359)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SUMIFS(RAB!$F$14:$F$181,RAB!$C$14:$C$181,C360)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SUMIFS(RAB!$F$14:$F$181,RAB!$C$14:$C$181,C361)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SUMIFS(RAB!$F$14:$F$181,RAB!$C$14:$C$181,C362)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SUMIFS(RAB!$F$14:$F$181,RAB!$C$14:$C$181,C363)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SUMIFS(RAB!$F$14:$F$181,RAB!$C$14:$C$181,C364)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SUMIFS(RAB!$F$14:$F$181,RAB!$C$14:$C$181,C365)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SUMIFS(RAB!$F$14:$F$181,RAB!$C$14:$C$181,C366)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SUMIFS(RAB!$F$14:$F$181,RAB!$C$14:$C$181,C367)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SUMIFS(RAB!$F$14:$F$181,RAB!$C$14:$C$181,C368)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SUMIFS(RAB!$F$14:$F$181,RAB!$C$14:$C$181,C369)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SUMIFS(RAB!$F$14:$F$181,RAB!$C$14:$C$181,C370)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SUMIFS(RAB!$F$14:$F$181,RAB!$C$14:$C$181,C371)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SUMIFS(RAB!$F$14:$F$181,RAB!$C$14:$C$181,C372)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SUMIFS(RAB!$F$14:$F$181,RAB!$C$14:$C$181,C373)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50" priority="5" operator="equal">
      <formula>0</formula>
    </cfRule>
  </conditionalFormatting>
  <conditionalFormatting sqref="C16:C165">
    <cfRule type="cellIs" dxfId="49" priority="4" stopIfTrue="1" operator="equal">
      <formula>0</formula>
    </cfRule>
  </conditionalFormatting>
  <conditionalFormatting sqref="C16:E165">
    <cfRule type="cellIs" dxfId="48" priority="1" operator="equal">
      <formula>0</formula>
    </cfRule>
  </conditionalFormatting>
  <conditionalFormatting sqref="D224:F373">
    <cfRule type="cellIs" dxfId="47" priority="8" operator="equal">
      <formula>0</formula>
    </cfRule>
  </conditionalFormatting>
  <conditionalFormatting sqref="E1:E3 G1:G115 E6:E15 H12:I12 N13 F14:F15 H14:K115 E166:K166 G166:G223 E167:F167 H167:K167">
    <cfRule type="cellIs" dxfId="46" priority="43" stopIfTrue="1" operator="equal">
      <formula>0</formula>
    </cfRule>
  </conditionalFormatting>
  <conditionalFormatting sqref="E171:E65536">
    <cfRule type="cellIs" dxfId="45" priority="9" stopIfTrue="1" operator="equal">
      <formula>0</formula>
    </cfRule>
  </conditionalFormatting>
  <conditionalFormatting sqref="G224">
    <cfRule type="cellIs" dxfId="44" priority="10" operator="equal">
      <formula>0</formula>
    </cfRule>
  </conditionalFormatting>
  <conditionalFormatting sqref="G225:G65536">
    <cfRule type="cellIs" dxfId="43" priority="14" stopIfTrue="1" operator="equal">
      <formula>0</formula>
    </cfRule>
  </conditionalFormatting>
  <conditionalFormatting sqref="R14:T166 G116:K165">
    <cfRule type="cellIs" dxfId="42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59"/>
    </row>
    <row r="4" spans="4:4" ht="57" customHeight="1">
      <c r="D4" s="459">
        <v>3</v>
      </c>
    </row>
    <row r="5" spans="4:4" ht="57" customHeight="1">
      <c r="D5" s="459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274" activePane="bottomRight" state="frozen"/>
      <selection activeCell="D209" sqref="D209"/>
      <selection pane="topRight" activeCell="D209" sqref="D209"/>
      <selection pane="bottomLeft" activeCell="D209" sqref="D209"/>
      <selection pane="bottomRight" activeCell="C280" sqref="C280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64" t="s">
        <v>41</v>
      </c>
      <c r="C2" s="564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5" t="s">
        <v>23</v>
      </c>
      <c r="C4" s="566" t="s">
        <v>1012</v>
      </c>
      <c r="D4" s="566" t="s">
        <v>42</v>
      </c>
      <c r="E4" s="565" t="s">
        <v>43</v>
      </c>
      <c r="F4" s="108" t="s">
        <v>1609</v>
      </c>
      <c r="G4" s="108" t="s">
        <v>1608</v>
      </c>
      <c r="H4" s="563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5"/>
      <c r="C5" s="566"/>
      <c r="D5" s="566"/>
      <c r="E5" s="565"/>
      <c r="F5" s="93"/>
      <c r="G5" s="93"/>
      <c r="H5" s="563"/>
      <c r="I5" s="193" t="s">
        <v>1608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8"/>
      <c r="E8" s="279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8" t="s">
        <v>44</v>
      </c>
      <c r="E9" s="279" t="s">
        <v>8</v>
      </c>
      <c r="F9" s="280">
        <v>294100</v>
      </c>
      <c r="G9" s="280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8" t="s">
        <v>45</v>
      </c>
      <c r="E10" s="279" t="s">
        <v>8</v>
      </c>
      <c r="F10" s="280">
        <v>1719200</v>
      </c>
      <c r="G10" s="280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8" t="s">
        <v>44</v>
      </c>
      <c r="E11" s="279" t="s">
        <v>8</v>
      </c>
      <c r="F11" s="280">
        <v>151000</v>
      </c>
      <c r="G11" s="280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8" t="s">
        <v>44</v>
      </c>
      <c r="E12" s="279" t="s">
        <v>8</v>
      </c>
      <c r="F12" s="280">
        <v>1430000</v>
      </c>
      <c r="G12" s="280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8" t="s">
        <v>44</v>
      </c>
      <c r="E13" s="279" t="s">
        <v>8</v>
      </c>
      <c r="F13" s="280">
        <v>16495000</v>
      </c>
      <c r="G13" s="280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8" t="s">
        <v>44</v>
      </c>
      <c r="E14" s="279" t="s">
        <v>8</v>
      </c>
      <c r="F14" s="280">
        <v>1281430</v>
      </c>
      <c r="G14" s="280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8" t="s">
        <v>44</v>
      </c>
      <c r="E15" s="279" t="s">
        <v>8</v>
      </c>
      <c r="F15" s="280">
        <v>1344430</v>
      </c>
      <c r="G15" s="280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8" t="s">
        <v>44</v>
      </c>
      <c r="E16" s="279" t="s">
        <v>8</v>
      </c>
      <c r="F16" s="280">
        <v>1350430</v>
      </c>
      <c r="G16" s="280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8" t="s">
        <v>45</v>
      </c>
      <c r="E17" s="279" t="s">
        <v>14</v>
      </c>
      <c r="F17" s="280">
        <v>1000000</v>
      </c>
      <c r="G17" s="280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8" t="s">
        <v>44</v>
      </c>
      <c r="E18" s="279" t="s">
        <v>8</v>
      </c>
      <c r="F18" s="280">
        <v>35000</v>
      </c>
      <c r="G18" s="280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8" t="s">
        <v>44</v>
      </c>
      <c r="E19" s="279" t="s">
        <v>8</v>
      </c>
      <c r="F19" s="280">
        <v>35000</v>
      </c>
      <c r="G19" s="280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8" t="s">
        <v>44</v>
      </c>
      <c r="E20" s="279" t="s">
        <v>8</v>
      </c>
      <c r="F20" s="280">
        <v>35000</v>
      </c>
      <c r="G20" s="280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8" t="s">
        <v>44</v>
      </c>
      <c r="E21" s="279" t="s">
        <v>8</v>
      </c>
      <c r="F21" s="280">
        <v>35000</v>
      </c>
      <c r="G21" s="280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8" t="s">
        <v>44</v>
      </c>
      <c r="E22" s="279" t="s">
        <v>8</v>
      </c>
      <c r="F22" s="280">
        <v>35000</v>
      </c>
      <c r="G22" s="280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8" t="s">
        <v>44</v>
      </c>
      <c r="E23" s="279" t="s">
        <v>8</v>
      </c>
      <c r="F23" s="280">
        <v>35000</v>
      </c>
      <c r="G23" s="280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8" t="s">
        <v>44</v>
      </c>
      <c r="E24" s="279" t="s">
        <v>8</v>
      </c>
      <c r="F24" s="280">
        <v>35000</v>
      </c>
      <c r="G24" s="280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8" t="s">
        <v>44</v>
      </c>
      <c r="E25" s="279" t="s">
        <v>8</v>
      </c>
      <c r="F25" s="280">
        <v>35000</v>
      </c>
      <c r="G25" s="280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8" t="s">
        <v>44</v>
      </c>
      <c r="E26" s="279" t="s">
        <v>8</v>
      </c>
      <c r="F26" s="280">
        <v>35000</v>
      </c>
      <c r="G26" s="280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8" t="s">
        <v>44</v>
      </c>
      <c r="E27" s="279" t="s">
        <v>8</v>
      </c>
      <c r="F27" s="280">
        <v>155100</v>
      </c>
      <c r="G27" s="280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8" t="s">
        <v>44</v>
      </c>
      <c r="E28" s="279" t="s">
        <v>8</v>
      </c>
      <c r="F28" s="280">
        <v>155100</v>
      </c>
      <c r="G28" s="280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8" t="s">
        <v>44</v>
      </c>
      <c r="E29" s="279" t="s">
        <v>8</v>
      </c>
      <c r="F29" s="280">
        <v>155100</v>
      </c>
      <c r="G29" s="280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8" t="s">
        <v>44</v>
      </c>
      <c r="E30" s="279" t="s">
        <v>8</v>
      </c>
      <c r="F30" s="280">
        <v>155100</v>
      </c>
      <c r="G30" s="280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8" t="s">
        <v>44</v>
      </c>
      <c r="E31" s="279" t="s">
        <v>8</v>
      </c>
      <c r="F31" s="280">
        <v>155100</v>
      </c>
      <c r="G31" s="280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8" t="s">
        <v>45</v>
      </c>
      <c r="E32" s="279" t="s">
        <v>8</v>
      </c>
      <c r="F32" s="280">
        <v>723500</v>
      </c>
      <c r="G32" s="280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8" t="s">
        <v>45</v>
      </c>
      <c r="E33" s="279" t="s">
        <v>8</v>
      </c>
      <c r="F33" s="280">
        <v>723500</v>
      </c>
      <c r="G33" s="280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8" t="s">
        <v>45</v>
      </c>
      <c r="E34" s="279" t="s">
        <v>8</v>
      </c>
      <c r="F34" s="280">
        <v>757500</v>
      </c>
      <c r="G34" s="280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8" t="s">
        <v>45</v>
      </c>
      <c r="E35" s="279" t="s">
        <v>8</v>
      </c>
      <c r="F35" s="280">
        <v>757500</v>
      </c>
      <c r="G35" s="280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1552</v>
      </c>
      <c r="D36" s="278" t="s">
        <v>45</v>
      </c>
      <c r="E36" s="279" t="s">
        <v>8</v>
      </c>
      <c r="F36" s="280">
        <v>733500</v>
      </c>
      <c r="G36" s="280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1553</v>
      </c>
      <c r="D37" s="278" t="s">
        <v>45</v>
      </c>
      <c r="E37" s="279" t="s">
        <v>8</v>
      </c>
      <c r="F37" s="280">
        <v>823500</v>
      </c>
      <c r="G37" s="280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1554</v>
      </c>
      <c r="D38" s="278" t="s">
        <v>45</v>
      </c>
      <c r="E38" s="279" t="s">
        <v>8</v>
      </c>
      <c r="F38" s="280">
        <v>1156500</v>
      </c>
      <c r="G38" s="280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1555</v>
      </c>
      <c r="D39" s="278" t="s">
        <v>45</v>
      </c>
      <c r="E39" s="279" t="s">
        <v>8</v>
      </c>
      <c r="F39" s="280">
        <v>1237500</v>
      </c>
      <c r="G39" s="280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1556</v>
      </c>
      <c r="D40" s="278" t="s">
        <v>45</v>
      </c>
      <c r="E40" s="279" t="s">
        <v>8</v>
      </c>
      <c r="F40" s="280">
        <v>1287000</v>
      </c>
      <c r="G40" s="280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1557</v>
      </c>
      <c r="D41" s="278" t="s">
        <v>45</v>
      </c>
      <c r="E41" s="279" t="s">
        <v>8</v>
      </c>
      <c r="F41" s="280">
        <v>1336500</v>
      </c>
      <c r="G41" s="280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1558</v>
      </c>
      <c r="D42" s="278" t="s">
        <v>45</v>
      </c>
      <c r="E42" s="279" t="s">
        <v>8</v>
      </c>
      <c r="F42" s="280">
        <v>1336500</v>
      </c>
      <c r="G42" s="280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1559</v>
      </c>
      <c r="D43" s="278" t="s">
        <v>45</v>
      </c>
      <c r="E43" s="279" t="s">
        <v>8</v>
      </c>
      <c r="F43" s="280">
        <v>2866500</v>
      </c>
      <c r="G43" s="280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8" t="s">
        <v>45</v>
      </c>
      <c r="E44" s="279" t="s">
        <v>8</v>
      </c>
      <c r="F44" s="280">
        <v>545000</v>
      </c>
      <c r="G44" s="280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8" t="s">
        <v>45</v>
      </c>
      <c r="E45" s="279" t="s">
        <v>8</v>
      </c>
      <c r="F45" s="280">
        <v>545000</v>
      </c>
      <c r="G45" s="280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8" t="s">
        <v>44</v>
      </c>
      <c r="E46" s="279" t="s">
        <v>8</v>
      </c>
      <c r="F46" s="280">
        <v>2250810</v>
      </c>
      <c r="G46" s="280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8" t="s">
        <v>44</v>
      </c>
      <c r="E47" s="279" t="s">
        <v>8</v>
      </c>
      <c r="F47" s="280">
        <v>2250810</v>
      </c>
      <c r="G47" s="280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8" t="s">
        <v>44</v>
      </c>
      <c r="E48" s="279" t="s">
        <v>8</v>
      </c>
      <c r="F48" s="280">
        <v>2250810</v>
      </c>
      <c r="G48" s="280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8" t="s">
        <v>44</v>
      </c>
      <c r="E49" s="279" t="s">
        <v>8</v>
      </c>
      <c r="F49" s="280">
        <v>2250810</v>
      </c>
      <c r="G49" s="280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8" t="s">
        <v>44</v>
      </c>
      <c r="E50" s="279" t="s">
        <v>8</v>
      </c>
      <c r="F50" s="280">
        <v>2250810</v>
      </c>
      <c r="G50" s="280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8" t="s">
        <v>44</v>
      </c>
      <c r="E51" s="279" t="s">
        <v>8</v>
      </c>
      <c r="F51" s="280">
        <v>2250810</v>
      </c>
      <c r="G51" s="280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8" t="s">
        <v>44</v>
      </c>
      <c r="E52" s="279" t="s">
        <v>8</v>
      </c>
      <c r="F52" s="280">
        <v>2250810</v>
      </c>
      <c r="G52" s="280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8" t="s">
        <v>44</v>
      </c>
      <c r="E53" s="279" t="s">
        <v>8</v>
      </c>
      <c r="F53" s="280">
        <v>2250810</v>
      </c>
      <c r="G53" s="280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8" t="s">
        <v>44</v>
      </c>
      <c r="E54" s="279" t="s">
        <v>8</v>
      </c>
      <c r="F54" s="280">
        <v>2250810</v>
      </c>
      <c r="G54" s="280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8" t="s">
        <v>44</v>
      </c>
      <c r="E55" s="279" t="s">
        <v>8</v>
      </c>
      <c r="F55" s="280">
        <v>2250810</v>
      </c>
      <c r="G55" s="280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8" t="s">
        <v>44</v>
      </c>
      <c r="E56" s="279" t="s">
        <v>8</v>
      </c>
      <c r="F56" s="280">
        <v>2250810</v>
      </c>
      <c r="G56" s="280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8" t="s">
        <v>44</v>
      </c>
      <c r="E57" s="279" t="s">
        <v>8</v>
      </c>
      <c r="F57" s="280">
        <v>2250810</v>
      </c>
      <c r="G57" s="280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8" t="s">
        <v>44</v>
      </c>
      <c r="E58" s="279" t="s">
        <v>8</v>
      </c>
      <c r="F58" s="280">
        <v>2250810</v>
      </c>
      <c r="G58" s="280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8" t="s">
        <v>44</v>
      </c>
      <c r="E59" s="279" t="s">
        <v>8</v>
      </c>
      <c r="F59" s="280">
        <v>2250810</v>
      </c>
      <c r="G59" s="280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8" t="s">
        <v>44</v>
      </c>
      <c r="E60" s="279" t="s">
        <v>8</v>
      </c>
      <c r="F60" s="280">
        <v>2250810</v>
      </c>
      <c r="G60" s="280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8" t="s">
        <v>44</v>
      </c>
      <c r="E61" s="279" t="s">
        <v>8</v>
      </c>
      <c r="F61" s="280">
        <v>2250810</v>
      </c>
      <c r="G61" s="280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8" t="s">
        <v>44</v>
      </c>
      <c r="E62" s="279" t="s">
        <v>8</v>
      </c>
      <c r="F62" s="280">
        <v>2250810</v>
      </c>
      <c r="G62" s="280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8" t="s">
        <v>44</v>
      </c>
      <c r="E63" s="279" t="s">
        <v>8</v>
      </c>
      <c r="F63" s="280">
        <v>2250810</v>
      </c>
      <c r="G63" s="280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8" t="s">
        <v>44</v>
      </c>
      <c r="E64" s="279" t="s">
        <v>8</v>
      </c>
      <c r="F64" s="280">
        <v>2250810</v>
      </c>
      <c r="G64" s="280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8" t="s">
        <v>44</v>
      </c>
      <c r="E65" s="279" t="s">
        <v>8</v>
      </c>
      <c r="F65" s="280">
        <v>2250810</v>
      </c>
      <c r="G65" s="280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8" t="s">
        <v>44</v>
      </c>
      <c r="E66" s="279" t="s">
        <v>8</v>
      </c>
      <c r="F66" s="280">
        <v>7034000</v>
      </c>
      <c r="G66" s="280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8" t="s">
        <v>44</v>
      </c>
      <c r="E67" s="279" t="s">
        <v>8</v>
      </c>
      <c r="F67" s="280">
        <v>7034000</v>
      </c>
      <c r="G67" s="280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8" t="s">
        <v>44</v>
      </c>
      <c r="E68" s="279" t="s">
        <v>8</v>
      </c>
      <c r="F68" s="280">
        <v>3826640</v>
      </c>
      <c r="G68" s="280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8" t="s">
        <v>44</v>
      </c>
      <c r="E69" s="279" t="s">
        <v>8</v>
      </c>
      <c r="F69" s="280">
        <v>3826640</v>
      </c>
      <c r="G69" s="280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8" t="s">
        <v>44</v>
      </c>
      <c r="E70" s="279" t="s">
        <v>8</v>
      </c>
      <c r="F70" s="280">
        <v>3826640</v>
      </c>
      <c r="G70" s="280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8" t="s">
        <v>44</v>
      </c>
      <c r="E71" s="279" t="s">
        <v>8</v>
      </c>
      <c r="F71" s="280">
        <v>3826640</v>
      </c>
      <c r="G71" s="280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8" t="s">
        <v>44</v>
      </c>
      <c r="E72" s="279" t="s">
        <v>8</v>
      </c>
      <c r="F72" s="280">
        <v>3826640</v>
      </c>
      <c r="G72" s="280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8" t="s">
        <v>44</v>
      </c>
      <c r="E73" s="279" t="s">
        <v>8</v>
      </c>
      <c r="F73" s="280">
        <v>3826640</v>
      </c>
      <c r="G73" s="280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8" t="s">
        <v>44</v>
      </c>
      <c r="E74" s="279" t="s">
        <v>8</v>
      </c>
      <c r="F74" s="280">
        <v>3826640</v>
      </c>
      <c r="G74" s="280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8" t="s">
        <v>44</v>
      </c>
      <c r="E75" s="279" t="s">
        <v>8</v>
      </c>
      <c r="F75" s="280">
        <v>3826640</v>
      </c>
      <c r="G75" s="280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8" t="s">
        <v>44</v>
      </c>
      <c r="E76" s="279" t="s">
        <v>8</v>
      </c>
      <c r="F76" s="280">
        <v>3826640</v>
      </c>
      <c r="G76" s="280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8" t="s">
        <v>44</v>
      </c>
      <c r="E77" s="279" t="s">
        <v>8</v>
      </c>
      <c r="F77" s="280">
        <v>3826640</v>
      </c>
      <c r="G77" s="280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8" t="s">
        <v>44</v>
      </c>
      <c r="E78" s="279" t="s">
        <v>8</v>
      </c>
      <c r="F78" s="280">
        <v>3826640</v>
      </c>
      <c r="G78" s="280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8" t="s">
        <v>44</v>
      </c>
      <c r="E79" s="279" t="s">
        <v>8</v>
      </c>
      <c r="F79" s="280">
        <v>3826640</v>
      </c>
      <c r="G79" s="280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8" t="s">
        <v>44</v>
      </c>
      <c r="E80" s="279" t="s">
        <v>8</v>
      </c>
      <c r="F80" s="280">
        <v>3826640</v>
      </c>
      <c r="G80" s="280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8" t="s">
        <v>44</v>
      </c>
      <c r="E81" s="279" t="s">
        <v>8</v>
      </c>
      <c r="F81" s="280">
        <v>3826640</v>
      </c>
      <c r="G81" s="280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8" t="s">
        <v>44</v>
      </c>
      <c r="E82" s="279" t="s">
        <v>8</v>
      </c>
      <c r="F82" s="280">
        <v>3826640</v>
      </c>
      <c r="G82" s="280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8" t="s">
        <v>44</v>
      </c>
      <c r="E83" s="279" t="s">
        <v>8</v>
      </c>
      <c r="F83" s="280">
        <v>3826640</v>
      </c>
      <c r="G83" s="280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8" t="s">
        <v>44</v>
      </c>
      <c r="E84" s="279" t="s">
        <v>8</v>
      </c>
      <c r="F84" s="280">
        <v>3551000</v>
      </c>
      <c r="G84" s="280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8" t="s">
        <v>44</v>
      </c>
      <c r="E85" s="279" t="s">
        <v>8</v>
      </c>
      <c r="F85" s="280">
        <v>4585000</v>
      </c>
      <c r="G85" s="280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8" t="s">
        <v>48</v>
      </c>
      <c r="E86" s="279"/>
      <c r="F86" s="280"/>
      <c r="G86" s="280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8" t="s">
        <v>48</v>
      </c>
      <c r="E87" s="279"/>
      <c r="F87" s="280"/>
      <c r="G87" s="280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8" t="s">
        <v>44</v>
      </c>
      <c r="E88" s="279" t="s">
        <v>14</v>
      </c>
      <c r="F88" s="280">
        <v>2980000</v>
      </c>
      <c r="G88" s="280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8" t="s">
        <v>44</v>
      </c>
      <c r="E89" s="279" t="s">
        <v>14</v>
      </c>
      <c r="F89" s="280">
        <v>2980000</v>
      </c>
      <c r="G89" s="280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8" t="s">
        <v>44</v>
      </c>
      <c r="E90" s="279" t="s">
        <v>14</v>
      </c>
      <c r="F90" s="280">
        <v>2980000</v>
      </c>
      <c r="G90" s="280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8" t="s">
        <v>44</v>
      </c>
      <c r="E91" s="279" t="s">
        <v>14</v>
      </c>
      <c r="F91" s="280">
        <v>2980000</v>
      </c>
      <c r="G91" s="280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8" t="s">
        <v>44</v>
      </c>
      <c r="E92" s="279" t="s">
        <v>14</v>
      </c>
      <c r="F92" s="280">
        <v>2980000</v>
      </c>
      <c r="G92" s="280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8" t="s">
        <v>44</v>
      </c>
      <c r="E93" s="279" t="s">
        <v>14</v>
      </c>
      <c r="F93" s="280">
        <v>2980000</v>
      </c>
      <c r="G93" s="280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8" t="s">
        <v>44</v>
      </c>
      <c r="E94" s="279" t="s">
        <v>14</v>
      </c>
      <c r="F94" s="280">
        <v>2980000</v>
      </c>
      <c r="G94" s="280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8" t="s">
        <v>44</v>
      </c>
      <c r="E95" s="279" t="s">
        <v>14</v>
      </c>
      <c r="F95" s="280">
        <v>2980000</v>
      </c>
      <c r="G95" s="280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8" t="s">
        <v>44</v>
      </c>
      <c r="E96" s="279" t="s">
        <v>14</v>
      </c>
      <c r="F96" s="280">
        <v>12249100</v>
      </c>
      <c r="G96" s="280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8" t="s">
        <v>44</v>
      </c>
      <c r="E97" s="279" t="s">
        <v>14</v>
      </c>
      <c r="F97" s="280">
        <v>12249100</v>
      </c>
      <c r="G97" s="280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8" t="s">
        <v>44</v>
      </c>
      <c r="E98" s="279" t="s">
        <v>14</v>
      </c>
      <c r="F98" s="280">
        <v>12764100</v>
      </c>
      <c r="G98" s="280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8" t="s">
        <v>44</v>
      </c>
      <c r="E99" s="279" t="s">
        <v>14</v>
      </c>
      <c r="F99" s="280">
        <v>12764100</v>
      </c>
      <c r="G99" s="280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8" t="s">
        <v>44</v>
      </c>
      <c r="E100" s="279" t="s">
        <v>14</v>
      </c>
      <c r="F100" s="280">
        <v>13444100</v>
      </c>
      <c r="G100" s="280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8" t="s">
        <v>44</v>
      </c>
      <c r="E101" s="279" t="s">
        <v>14</v>
      </c>
      <c r="F101" s="280">
        <v>13444100</v>
      </c>
      <c r="G101" s="280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8" t="s">
        <v>44</v>
      </c>
      <c r="E102" s="279" t="s">
        <v>14</v>
      </c>
      <c r="F102" s="280">
        <v>13444100</v>
      </c>
      <c r="G102" s="280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8" t="s">
        <v>44</v>
      </c>
      <c r="E103" s="279" t="s">
        <v>14</v>
      </c>
      <c r="F103" s="280">
        <v>14119100</v>
      </c>
      <c r="G103" s="280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8" t="s">
        <v>44</v>
      </c>
      <c r="E104" s="279" t="s">
        <v>14</v>
      </c>
      <c r="F104" s="280">
        <v>3050000</v>
      </c>
      <c r="G104" s="280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8" t="s">
        <v>45</v>
      </c>
      <c r="E105" s="279" t="s">
        <v>24</v>
      </c>
      <c r="F105" s="280">
        <v>61350.369301283834</v>
      </c>
      <c r="G105" s="280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8" t="s">
        <v>45</v>
      </c>
      <c r="E106" s="279" t="s">
        <v>24</v>
      </c>
      <c r="F106" s="280">
        <v>297606.44984038931</v>
      </c>
      <c r="G106" s="280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8" t="s">
        <v>45</v>
      </c>
      <c r="E107" s="279" t="s">
        <v>8</v>
      </c>
      <c r="F107" s="280">
        <v>63410.286500000002</v>
      </c>
      <c r="G107" s="280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8" t="s">
        <v>45</v>
      </c>
      <c r="E108" s="279" t="s">
        <v>8</v>
      </c>
      <c r="F108" s="280">
        <v>259574.27222222224</v>
      </c>
      <c r="G108" s="280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8" t="s">
        <v>45</v>
      </c>
      <c r="E109" s="279" t="s">
        <v>8</v>
      </c>
      <c r="F109" s="280">
        <v>5918293.4066666672</v>
      </c>
      <c r="G109" s="280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8" t="s">
        <v>45</v>
      </c>
      <c r="E110" s="279" t="s">
        <v>8</v>
      </c>
      <c r="F110" s="280">
        <v>7304865.0047999993</v>
      </c>
      <c r="G110" s="280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8" t="s">
        <v>45</v>
      </c>
      <c r="E111" s="279" t="s">
        <v>8</v>
      </c>
      <c r="F111" s="280">
        <v>7575415.5605333354</v>
      </c>
      <c r="G111" s="280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8" t="s">
        <v>45</v>
      </c>
      <c r="E112" s="279" t="s">
        <v>8</v>
      </c>
      <c r="F112" s="280">
        <v>7034314.449066666</v>
      </c>
      <c r="G112" s="280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8" t="s">
        <v>48</v>
      </c>
      <c r="E113" s="279"/>
      <c r="F113" s="280"/>
      <c r="G113" s="280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8" t="s">
        <v>48</v>
      </c>
      <c r="E114" s="279"/>
      <c r="F114" s="280"/>
      <c r="G114" s="280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8" t="s">
        <v>45</v>
      </c>
      <c r="E115" s="279" t="s">
        <v>14</v>
      </c>
      <c r="F115" s="280"/>
      <c r="G115" s="280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8" t="s">
        <v>44</v>
      </c>
      <c r="E116" s="279" t="s">
        <v>525</v>
      </c>
      <c r="F116" s="280">
        <v>16002920</v>
      </c>
      <c r="G116" s="280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8" t="s">
        <v>44</v>
      </c>
      <c r="E117" s="279" t="s">
        <v>525</v>
      </c>
      <c r="F117" s="280">
        <v>18311920</v>
      </c>
      <c r="G117" s="280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8" t="s">
        <v>44</v>
      </c>
      <c r="E118" s="279" t="s">
        <v>525</v>
      </c>
      <c r="F118" s="280">
        <v>79514150</v>
      </c>
      <c r="G118" s="280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8" t="s">
        <v>44</v>
      </c>
      <c r="E119" s="279" t="s">
        <v>525</v>
      </c>
      <c r="F119" s="280">
        <v>46492920</v>
      </c>
      <c r="G119" s="280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8" t="s">
        <v>44</v>
      </c>
      <c r="E120" s="279" t="s">
        <v>525</v>
      </c>
      <c r="F120" s="280">
        <v>229416150</v>
      </c>
      <c r="G120" s="280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8" t="s">
        <v>44</v>
      </c>
      <c r="E121" s="279" t="s">
        <v>525</v>
      </c>
      <c r="F121" s="280">
        <v>46425420</v>
      </c>
      <c r="G121" s="280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8" t="s">
        <v>48</v>
      </c>
      <c r="E122" s="279"/>
      <c r="F122" s="280"/>
      <c r="G122" s="280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8" t="s">
        <v>44</v>
      </c>
      <c r="E123" s="279" t="s">
        <v>525</v>
      </c>
      <c r="F123" s="280">
        <v>241300000</v>
      </c>
      <c r="G123" s="280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8" t="s">
        <v>44</v>
      </c>
      <c r="E124" s="279" t="s">
        <v>14</v>
      </c>
      <c r="F124" s="280">
        <v>42499000</v>
      </c>
      <c r="G124" s="280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8"/>
      <c r="E125" s="279"/>
      <c r="F125" s="280"/>
      <c r="G125" s="280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8" t="s">
        <v>48</v>
      </c>
      <c r="E126" s="279"/>
      <c r="F126" s="280"/>
      <c r="G126" s="280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8" t="s">
        <v>44</v>
      </c>
      <c r="E127" s="279" t="s">
        <v>525</v>
      </c>
      <c r="F127" s="280">
        <v>126104830</v>
      </c>
      <c r="G127" s="280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8" t="s">
        <v>44</v>
      </c>
      <c r="E128" s="279" t="s">
        <v>525</v>
      </c>
      <c r="F128" s="280">
        <v>191704830</v>
      </c>
      <c r="G128" s="280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8" t="s">
        <v>45</v>
      </c>
      <c r="E129" s="279" t="s">
        <v>525</v>
      </c>
      <c r="F129" s="280">
        <v>79200000</v>
      </c>
      <c r="G129" s="280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8" t="s">
        <v>45</v>
      </c>
      <c r="E130" s="279" t="s">
        <v>14</v>
      </c>
      <c r="F130" s="280">
        <v>5975000</v>
      </c>
      <c r="G130" s="280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8" t="s">
        <v>45</v>
      </c>
      <c r="E131" s="279" t="s">
        <v>24</v>
      </c>
      <c r="F131" s="280">
        <v>12500000</v>
      </c>
      <c r="G131" s="280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8" t="s">
        <v>48</v>
      </c>
      <c r="E132" s="279"/>
      <c r="F132" s="280"/>
      <c r="G132" s="280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8" t="s">
        <v>48</v>
      </c>
      <c r="E133" s="279"/>
      <c r="F133" s="280"/>
      <c r="G133" s="280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8" t="s">
        <v>44</v>
      </c>
      <c r="E134" s="279" t="s">
        <v>8</v>
      </c>
      <c r="F134" s="280">
        <v>24998100</v>
      </c>
      <c r="G134" s="280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8" t="s">
        <v>44</v>
      </c>
      <c r="E135" s="279" t="s">
        <v>8</v>
      </c>
      <c r="F135" s="280">
        <v>26746100</v>
      </c>
      <c r="G135" s="280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8" t="s">
        <v>44</v>
      </c>
      <c r="E136" s="279" t="s">
        <v>8</v>
      </c>
      <c r="F136" s="280">
        <v>38097500</v>
      </c>
      <c r="G136" s="280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8" t="s">
        <v>44</v>
      </c>
      <c r="E137" s="279" t="s">
        <v>8</v>
      </c>
      <c r="F137" s="280">
        <v>46697500</v>
      </c>
      <c r="G137" s="280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8" t="s">
        <v>44</v>
      </c>
      <c r="E138" s="279" t="s">
        <v>8</v>
      </c>
      <c r="F138" s="280">
        <v>21530100</v>
      </c>
      <c r="G138" s="280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8" t="s">
        <v>44</v>
      </c>
      <c r="E139" s="279" t="s">
        <v>8</v>
      </c>
      <c r="F139" s="280">
        <v>31630800</v>
      </c>
      <c r="G139" s="280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8" t="s">
        <v>44</v>
      </c>
      <c r="E140" s="279" t="s">
        <v>8</v>
      </c>
      <c r="F140" s="280">
        <v>32680800</v>
      </c>
      <c r="G140" s="280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8" t="s">
        <v>44</v>
      </c>
      <c r="E141" s="279" t="s">
        <v>8</v>
      </c>
      <c r="F141" s="280">
        <v>37313100</v>
      </c>
      <c r="G141" s="280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8" t="s">
        <v>44</v>
      </c>
      <c r="E142" s="279" t="s">
        <v>8</v>
      </c>
      <c r="F142" s="280">
        <v>63057400</v>
      </c>
      <c r="G142" s="280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1560</v>
      </c>
      <c r="D143" s="278" t="s">
        <v>44</v>
      </c>
      <c r="E143" s="279" t="s">
        <v>8</v>
      </c>
      <c r="F143" s="280">
        <v>87094400</v>
      </c>
      <c r="G143" s="280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8" t="s">
        <v>44</v>
      </c>
      <c r="E144" s="279" t="s">
        <v>8</v>
      </c>
      <c r="F144" s="280">
        <v>10270090</v>
      </c>
      <c r="G144" s="280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8" t="s">
        <v>44</v>
      </c>
      <c r="E145" s="279" t="s">
        <v>8</v>
      </c>
      <c r="F145" s="280">
        <v>8972560</v>
      </c>
      <c r="G145" s="280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8" t="s">
        <v>44</v>
      </c>
      <c r="E146" s="279" t="s">
        <v>8</v>
      </c>
      <c r="F146" s="280">
        <v>10973865</v>
      </c>
      <c r="G146" s="280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8" t="s">
        <v>44</v>
      </c>
      <c r="E147" s="279" t="s">
        <v>8</v>
      </c>
      <c r="F147" s="280">
        <v>12622540</v>
      </c>
      <c r="G147" s="280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1561</v>
      </c>
      <c r="D148" s="278" t="s">
        <v>44</v>
      </c>
      <c r="E148" s="279" t="s">
        <v>14</v>
      </c>
      <c r="F148" s="280">
        <v>15724250</v>
      </c>
      <c r="G148" s="280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8"/>
      <c r="E149" s="279"/>
      <c r="F149" s="280"/>
      <c r="G149" s="280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8" t="s">
        <v>48</v>
      </c>
      <c r="E150" s="279"/>
      <c r="F150" s="280"/>
      <c r="G150" s="280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8" t="s">
        <v>44</v>
      </c>
      <c r="E151" s="279" t="s">
        <v>8</v>
      </c>
      <c r="F151" s="280">
        <v>848250</v>
      </c>
      <c r="G151" s="280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8" t="s">
        <v>45</v>
      </c>
      <c r="E152" s="279" t="s">
        <v>8</v>
      </c>
      <c r="F152" s="280">
        <v>17500</v>
      </c>
      <c r="G152" s="280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8" t="s">
        <v>45</v>
      </c>
      <c r="E153" s="279" t="s">
        <v>8</v>
      </c>
      <c r="F153" s="280">
        <v>17500</v>
      </c>
      <c r="G153" s="280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8" t="s">
        <v>45</v>
      </c>
      <c r="E154" s="279" t="s">
        <v>8</v>
      </c>
      <c r="F154" s="280">
        <v>17500</v>
      </c>
      <c r="G154" s="280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8" t="s">
        <v>45</v>
      </c>
      <c r="E155" s="279" t="s">
        <v>8</v>
      </c>
      <c r="F155" s="280">
        <v>18000</v>
      </c>
      <c r="G155" s="280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8" t="s">
        <v>45</v>
      </c>
      <c r="E156" s="279" t="s">
        <v>8</v>
      </c>
      <c r="F156" s="280">
        <v>18000</v>
      </c>
      <c r="G156" s="280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8" t="s">
        <v>45</v>
      </c>
      <c r="E157" s="279" t="s">
        <v>8</v>
      </c>
      <c r="F157" s="280">
        <v>18000</v>
      </c>
      <c r="G157" s="280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8" t="s">
        <v>45</v>
      </c>
      <c r="E158" s="279" t="s">
        <v>8</v>
      </c>
      <c r="F158" s="280">
        <v>18000</v>
      </c>
      <c r="G158" s="280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8" t="s">
        <v>45</v>
      </c>
      <c r="E159" s="279" t="s">
        <v>8</v>
      </c>
      <c r="F159" s="280">
        <v>18000</v>
      </c>
      <c r="G159" s="280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8" t="s">
        <v>45</v>
      </c>
      <c r="E160" s="279" t="s">
        <v>8</v>
      </c>
      <c r="F160" s="280">
        <v>20000</v>
      </c>
      <c r="G160" s="280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8" t="s">
        <v>45</v>
      </c>
      <c r="E161" s="279" t="s">
        <v>8</v>
      </c>
      <c r="F161" s="280">
        <v>23000</v>
      </c>
      <c r="G161" s="280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8" t="s">
        <v>45</v>
      </c>
      <c r="E162" s="279" t="s">
        <v>8</v>
      </c>
      <c r="F162" s="280">
        <v>23700</v>
      </c>
      <c r="G162" s="280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8" t="s">
        <v>45</v>
      </c>
      <c r="E163" s="279" t="s">
        <v>8</v>
      </c>
      <c r="F163" s="280">
        <v>32500</v>
      </c>
      <c r="G163" s="280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8" t="s">
        <v>45</v>
      </c>
      <c r="E164" s="279" t="s">
        <v>8</v>
      </c>
      <c r="F164" s="280">
        <v>32500</v>
      </c>
      <c r="G164" s="280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8" t="s">
        <v>45</v>
      </c>
      <c r="E165" s="279" t="s">
        <v>8</v>
      </c>
      <c r="F165" s="280">
        <v>32500</v>
      </c>
      <c r="G165" s="280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8" t="s">
        <v>45</v>
      </c>
      <c r="E166" s="279" t="s">
        <v>8</v>
      </c>
      <c r="F166" s="280">
        <v>32500</v>
      </c>
      <c r="G166" s="280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8" t="s">
        <v>45</v>
      </c>
      <c r="E167" s="279" t="s">
        <v>8</v>
      </c>
      <c r="F167" s="280">
        <v>35700</v>
      </c>
      <c r="G167" s="280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8" t="s">
        <v>45</v>
      </c>
      <c r="E168" s="279" t="s">
        <v>8</v>
      </c>
      <c r="F168" s="280">
        <v>38700</v>
      </c>
      <c r="G168" s="280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8" t="s">
        <v>45</v>
      </c>
      <c r="E169" s="279" t="s">
        <v>8</v>
      </c>
      <c r="F169" s="280">
        <v>38700</v>
      </c>
      <c r="G169" s="280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8" t="s">
        <v>45</v>
      </c>
      <c r="E170" s="279" t="s">
        <v>8</v>
      </c>
      <c r="F170" s="280">
        <v>38700</v>
      </c>
      <c r="G170" s="280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8" t="s">
        <v>45</v>
      </c>
      <c r="E171" s="279" t="s">
        <v>8</v>
      </c>
      <c r="F171" s="280">
        <v>38700</v>
      </c>
      <c r="G171" s="280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8" t="s">
        <v>45</v>
      </c>
      <c r="E172" s="279" t="s">
        <v>8</v>
      </c>
      <c r="F172" s="280">
        <v>51000</v>
      </c>
      <c r="G172" s="280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8" t="s">
        <v>45</v>
      </c>
      <c r="E173" s="279" t="s">
        <v>8</v>
      </c>
      <c r="F173" s="280">
        <v>94200</v>
      </c>
      <c r="G173" s="280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8" t="s">
        <v>45</v>
      </c>
      <c r="E174" s="279" t="s">
        <v>8</v>
      </c>
      <c r="F174" s="280">
        <v>119300</v>
      </c>
      <c r="G174" s="280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8" t="s">
        <v>45</v>
      </c>
      <c r="E175" s="279" t="s">
        <v>8</v>
      </c>
      <c r="F175" s="280">
        <v>432900</v>
      </c>
      <c r="G175" s="280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8" t="s">
        <v>45</v>
      </c>
      <c r="E176" s="279" t="s">
        <v>8</v>
      </c>
      <c r="F176" s="280">
        <v>56700</v>
      </c>
      <c r="G176" s="280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8" t="s">
        <v>45</v>
      </c>
      <c r="E177" s="279" t="s">
        <v>8</v>
      </c>
      <c r="F177" s="280">
        <v>68300</v>
      </c>
      <c r="G177" s="280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8" t="s">
        <v>45</v>
      </c>
      <c r="E178" s="279" t="s">
        <v>8</v>
      </c>
      <c r="F178" s="280">
        <v>116200</v>
      </c>
      <c r="G178" s="280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8" t="s">
        <v>45</v>
      </c>
      <c r="E179" s="279" t="s">
        <v>8</v>
      </c>
      <c r="F179" s="280">
        <v>183000</v>
      </c>
      <c r="G179" s="280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8" t="s">
        <v>45</v>
      </c>
      <c r="E180" s="279" t="s">
        <v>8</v>
      </c>
      <c r="F180" s="280">
        <v>271100</v>
      </c>
      <c r="G180" s="280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8" t="s">
        <v>45</v>
      </c>
      <c r="E181" s="279" t="s">
        <v>8</v>
      </c>
      <c r="F181" s="280">
        <v>669000</v>
      </c>
      <c r="G181" s="280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8" t="s">
        <v>45</v>
      </c>
      <c r="E182" s="279" t="s">
        <v>8</v>
      </c>
      <c r="F182" s="280">
        <v>37900</v>
      </c>
      <c r="G182" s="280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8" t="s">
        <v>48</v>
      </c>
      <c r="E183" s="279"/>
      <c r="F183" s="280"/>
      <c r="G183" s="280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8" t="s">
        <v>48</v>
      </c>
      <c r="E184" s="279"/>
      <c r="F184" s="280"/>
      <c r="G184" s="280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8" t="s">
        <v>45</v>
      </c>
      <c r="E185" s="279" t="s">
        <v>24</v>
      </c>
      <c r="F185" s="280">
        <v>22250000</v>
      </c>
      <c r="G185" s="280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8" t="s">
        <v>44</v>
      </c>
      <c r="E186" s="279" t="s">
        <v>24</v>
      </c>
      <c r="F186" s="280">
        <v>80895000</v>
      </c>
      <c r="G186" s="280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8" t="s">
        <v>44</v>
      </c>
      <c r="E187" s="279" t="s">
        <v>24</v>
      </c>
      <c r="F187" s="280">
        <v>157800000</v>
      </c>
      <c r="G187" s="280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1562</v>
      </c>
      <c r="D188" s="278" t="s">
        <v>44</v>
      </c>
      <c r="E188" s="279" t="s">
        <v>24</v>
      </c>
      <c r="F188" s="280">
        <v>8595700</v>
      </c>
      <c r="G188" s="280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1563</v>
      </c>
      <c r="D189" s="278" t="s">
        <v>44</v>
      </c>
      <c r="E189" s="279" t="s">
        <v>24</v>
      </c>
      <c r="F189" s="280">
        <v>8595700</v>
      </c>
      <c r="G189" s="280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8"/>
      <c r="E190" s="279"/>
      <c r="F190" s="280"/>
      <c r="G190" s="280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8" t="s">
        <v>48</v>
      </c>
      <c r="E191" s="279"/>
      <c r="F191" s="280"/>
      <c r="G191" s="280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8" t="s">
        <v>44</v>
      </c>
      <c r="E192" s="279" t="s">
        <v>8</v>
      </c>
      <c r="F192" s="280">
        <v>648050</v>
      </c>
      <c r="G192" s="280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8" t="s">
        <v>44</v>
      </c>
      <c r="E193" s="279" t="s">
        <v>8</v>
      </c>
      <c r="F193" s="280">
        <v>674300</v>
      </c>
      <c r="G193" s="280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8" t="s">
        <v>45</v>
      </c>
      <c r="E194" s="279" t="s">
        <v>8</v>
      </c>
      <c r="F194" s="280">
        <v>42100</v>
      </c>
      <c r="G194" s="280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8" t="s">
        <v>45</v>
      </c>
      <c r="E195" s="279" t="s">
        <v>8</v>
      </c>
      <c r="F195" s="280">
        <v>42100</v>
      </c>
      <c r="G195" s="280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8" t="s">
        <v>45</v>
      </c>
      <c r="E196" s="279" t="s">
        <v>8</v>
      </c>
      <c r="F196" s="280">
        <v>3800000</v>
      </c>
      <c r="G196" s="280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8" t="s">
        <v>48</v>
      </c>
      <c r="E197" s="279"/>
      <c r="F197" s="280"/>
      <c r="G197" s="280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8" t="s">
        <v>48</v>
      </c>
      <c r="E198" s="279"/>
      <c r="F198" s="280"/>
      <c r="G198" s="280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8" t="s">
        <v>45</v>
      </c>
      <c r="E199" s="279" t="s">
        <v>24</v>
      </c>
      <c r="F199" s="280">
        <v>280800000</v>
      </c>
      <c r="G199" s="280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8" t="s">
        <v>45</v>
      </c>
      <c r="E200" s="279" t="s">
        <v>8</v>
      </c>
      <c r="F200" s="280">
        <v>34688200</v>
      </c>
      <c r="G200" s="280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8" t="s">
        <v>45</v>
      </c>
      <c r="E201" s="279" t="s">
        <v>8</v>
      </c>
      <c r="F201" s="280">
        <v>24774500</v>
      </c>
      <c r="G201" s="280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8" t="s">
        <v>48</v>
      </c>
      <c r="E202" s="279"/>
      <c r="F202" s="280"/>
      <c r="G202" s="280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8" t="s">
        <v>48</v>
      </c>
      <c r="E203" s="279"/>
      <c r="F203" s="280"/>
      <c r="G203" s="280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8" t="s">
        <v>45</v>
      </c>
      <c r="E204" s="279" t="s">
        <v>100</v>
      </c>
      <c r="F204" s="280">
        <v>3036730</v>
      </c>
      <c r="G204" s="280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8" t="s">
        <v>45</v>
      </c>
      <c r="E205" s="281" t="s">
        <v>100</v>
      </c>
      <c r="F205" s="280">
        <v>4137730</v>
      </c>
      <c r="G205" s="280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8" t="s">
        <v>45</v>
      </c>
      <c r="E206" s="279" t="s">
        <v>100</v>
      </c>
      <c r="F206" s="280">
        <v>5206920</v>
      </c>
      <c r="G206" s="280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8" t="s">
        <v>45</v>
      </c>
      <c r="E207" s="279" t="s">
        <v>100</v>
      </c>
      <c r="F207" s="280">
        <v>5453270</v>
      </c>
      <c r="G207" s="280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8" t="s">
        <v>45</v>
      </c>
      <c r="E208" s="279" t="s">
        <v>100</v>
      </c>
      <c r="F208" s="280">
        <v>6453770</v>
      </c>
      <c r="G208" s="280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8" t="s">
        <v>45</v>
      </c>
      <c r="E209" s="279" t="s">
        <v>100</v>
      </c>
      <c r="F209" s="280">
        <v>7728790</v>
      </c>
      <c r="G209" s="280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8" t="s">
        <v>47</v>
      </c>
      <c r="E210" s="279" t="s">
        <v>100</v>
      </c>
      <c r="F210" s="280">
        <v>10066.666666666668</v>
      </c>
      <c r="G210" s="280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8" t="s">
        <v>45</v>
      </c>
      <c r="E211" s="279" t="s">
        <v>24</v>
      </c>
      <c r="F211" s="280">
        <v>200000</v>
      </c>
      <c r="G211" s="280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8" t="s">
        <v>48</v>
      </c>
      <c r="E212" s="279"/>
      <c r="F212" s="280"/>
      <c r="G212" s="280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8" t="s">
        <v>48</v>
      </c>
      <c r="E213" s="279"/>
      <c r="F213" s="280"/>
      <c r="G213" s="280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1564</v>
      </c>
      <c r="D214" s="278" t="s">
        <v>44</v>
      </c>
      <c r="E214" s="279" t="s">
        <v>8</v>
      </c>
      <c r="F214" s="280">
        <v>217470</v>
      </c>
      <c r="G214" s="280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8" t="s">
        <v>44</v>
      </c>
      <c r="E215" s="279" t="s">
        <v>8</v>
      </c>
      <c r="F215" s="280">
        <v>212320</v>
      </c>
      <c r="G215" s="280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1565</v>
      </c>
      <c r="D216" s="278" t="s">
        <v>44</v>
      </c>
      <c r="E216" s="279" t="s">
        <v>24</v>
      </c>
      <c r="F216" s="280">
        <v>394550</v>
      </c>
      <c r="G216" s="280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1566</v>
      </c>
      <c r="D217" s="278" t="s">
        <v>44</v>
      </c>
      <c r="E217" s="279" t="s">
        <v>24</v>
      </c>
      <c r="F217" s="280">
        <v>220800</v>
      </c>
      <c r="G217" s="280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8"/>
      <c r="E218" s="279"/>
      <c r="F218" s="280"/>
      <c r="G218" s="280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8" t="s">
        <v>48</v>
      </c>
      <c r="E219" s="279"/>
      <c r="F219" s="280"/>
      <c r="G219" s="280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8" t="s">
        <v>44</v>
      </c>
      <c r="E220" s="279" t="s">
        <v>7</v>
      </c>
      <c r="F220" s="280">
        <v>9831</v>
      </c>
      <c r="G220" s="280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8" t="s">
        <v>44</v>
      </c>
      <c r="E221" s="279" t="s">
        <v>7</v>
      </c>
      <c r="F221" s="280">
        <v>19368</v>
      </c>
      <c r="G221" s="280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8" t="s">
        <v>44</v>
      </c>
      <c r="E222" s="279" t="s">
        <v>7</v>
      </c>
      <c r="F222" s="280">
        <v>32428</v>
      </c>
      <c r="G222" s="280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8" t="s">
        <v>44</v>
      </c>
      <c r="E223" s="279" t="s">
        <v>7</v>
      </c>
      <c r="F223" s="280">
        <v>13740</v>
      </c>
      <c r="G223" s="280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8" t="s">
        <v>44</v>
      </c>
      <c r="E224" s="279" t="s">
        <v>7</v>
      </c>
      <c r="F224" s="280">
        <v>24590</v>
      </c>
      <c r="G224" s="280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8" t="s">
        <v>44</v>
      </c>
      <c r="E225" s="279" t="s">
        <v>7</v>
      </c>
      <c r="F225" s="280">
        <v>39175</v>
      </c>
      <c r="G225" s="280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8" t="s">
        <v>48</v>
      </c>
      <c r="E226" s="279"/>
      <c r="F226" s="280"/>
      <c r="G226" s="280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8" t="s">
        <v>48</v>
      </c>
      <c r="E227" s="279"/>
      <c r="F227" s="280"/>
      <c r="G227" s="280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8" t="s">
        <v>44</v>
      </c>
      <c r="E228" s="279" t="s">
        <v>7</v>
      </c>
      <c r="F228" s="280">
        <v>47850</v>
      </c>
      <c r="G228" s="280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8" t="s">
        <v>44</v>
      </c>
      <c r="E229" s="279" t="s">
        <v>7</v>
      </c>
      <c r="F229" s="280">
        <v>27280</v>
      </c>
      <c r="G229" s="280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8" t="s">
        <v>44</v>
      </c>
      <c r="E230" s="279" t="s">
        <v>7</v>
      </c>
      <c r="F230" s="280">
        <v>48905</v>
      </c>
      <c r="G230" s="280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8" t="s">
        <v>44</v>
      </c>
      <c r="E231" s="279" t="s">
        <v>7</v>
      </c>
      <c r="F231" s="280">
        <v>3780</v>
      </c>
      <c r="G231" s="280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8" t="s">
        <v>44</v>
      </c>
      <c r="E232" s="279" t="s">
        <v>7</v>
      </c>
      <c r="F232" s="280">
        <v>5890</v>
      </c>
      <c r="G232" s="280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8" t="s">
        <v>45</v>
      </c>
      <c r="E233" s="279" t="s">
        <v>7</v>
      </c>
      <c r="F233" s="280">
        <v>8900</v>
      </c>
      <c r="G233" s="280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8" t="s">
        <v>45</v>
      </c>
      <c r="E234" s="279" t="s">
        <v>7</v>
      </c>
      <c r="F234" s="280">
        <v>10000</v>
      </c>
      <c r="G234" s="280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8" t="s">
        <v>44</v>
      </c>
      <c r="E235" s="279" t="s">
        <v>7</v>
      </c>
      <c r="F235" s="280">
        <v>12120</v>
      </c>
      <c r="G235" s="280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8" t="s">
        <v>45</v>
      </c>
      <c r="E236" s="279" t="s">
        <v>7</v>
      </c>
      <c r="F236" s="280">
        <v>23600</v>
      </c>
      <c r="G236" s="280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8" t="s">
        <v>44</v>
      </c>
      <c r="E237" s="279" t="s">
        <v>7</v>
      </c>
      <c r="F237" s="280">
        <v>290975</v>
      </c>
      <c r="G237" s="280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8" t="s">
        <v>45</v>
      </c>
      <c r="E238" s="279" t="s">
        <v>7</v>
      </c>
      <c r="F238" s="280">
        <v>62800</v>
      </c>
      <c r="G238" s="280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8" t="s">
        <v>45</v>
      </c>
      <c r="E239" s="279" t="s">
        <v>7</v>
      </c>
      <c r="F239" s="280">
        <v>107300</v>
      </c>
      <c r="G239" s="280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8" t="s">
        <v>45</v>
      </c>
      <c r="E240" s="279" t="s">
        <v>7</v>
      </c>
      <c r="F240" s="280">
        <v>468300</v>
      </c>
      <c r="G240" s="280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8" t="s">
        <v>45</v>
      </c>
      <c r="E241" s="279" t="s">
        <v>7</v>
      </c>
      <c r="F241" s="280">
        <v>633500</v>
      </c>
      <c r="G241" s="280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8" t="s">
        <v>45</v>
      </c>
      <c r="E242" s="279" t="s">
        <v>7</v>
      </c>
      <c r="F242" s="280">
        <v>983500</v>
      </c>
      <c r="G242" s="280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8" t="s">
        <v>44</v>
      </c>
      <c r="E243" s="279" t="s">
        <v>7</v>
      </c>
      <c r="F243" s="280">
        <v>84991</v>
      </c>
      <c r="G243" s="280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8" t="s">
        <v>44</v>
      </c>
      <c r="E244" s="279" t="s">
        <v>7</v>
      </c>
      <c r="F244" s="280">
        <v>125850</v>
      </c>
      <c r="G244" s="280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8" t="s">
        <v>44</v>
      </c>
      <c r="E245" s="279" t="s">
        <v>7</v>
      </c>
      <c r="F245" s="280">
        <v>196270</v>
      </c>
      <c r="G245" s="280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8" t="s">
        <v>44</v>
      </c>
      <c r="E246" s="279" t="s">
        <v>7</v>
      </c>
      <c r="F246" s="280">
        <v>318390</v>
      </c>
      <c r="G246" s="280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8" t="s">
        <v>45</v>
      </c>
      <c r="E247" s="279" t="s">
        <v>7</v>
      </c>
      <c r="F247" s="280">
        <v>121560.8</v>
      </c>
      <c r="G247" s="280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8" t="s">
        <v>45</v>
      </c>
      <c r="E248" s="279" t="s">
        <v>7</v>
      </c>
      <c r="F248" s="280">
        <v>164883</v>
      </c>
      <c r="G248" s="280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8" t="s">
        <v>44</v>
      </c>
      <c r="E249" s="279" t="s">
        <v>7</v>
      </c>
      <c r="F249" s="280">
        <v>378330</v>
      </c>
      <c r="G249" s="280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8" t="s">
        <v>45</v>
      </c>
      <c r="E250" s="279" t="s">
        <v>7</v>
      </c>
      <c r="F250" s="280">
        <v>417044.06800000003</v>
      </c>
      <c r="G250" s="280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8" t="s">
        <v>45</v>
      </c>
      <c r="E251" s="279" t="s">
        <v>7</v>
      </c>
      <c r="F251" s="280">
        <v>82600</v>
      </c>
      <c r="G251" s="280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8" t="s">
        <v>45</v>
      </c>
      <c r="E252" s="279" t="s">
        <v>7</v>
      </c>
      <c r="F252" s="280">
        <v>116300</v>
      </c>
      <c r="G252" s="280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8" t="s">
        <v>45</v>
      </c>
      <c r="E253" s="279" t="s">
        <v>7</v>
      </c>
      <c r="F253" s="280">
        <v>139900</v>
      </c>
      <c r="G253" s="280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8" t="s">
        <v>45</v>
      </c>
      <c r="E254" s="279" t="s">
        <v>7</v>
      </c>
      <c r="F254" s="280">
        <v>154600</v>
      </c>
      <c r="G254" s="280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8" t="s">
        <v>45</v>
      </c>
      <c r="E255" s="279" t="s">
        <v>7</v>
      </c>
      <c r="F255" s="280">
        <v>103500</v>
      </c>
      <c r="G255" s="280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8" t="s">
        <v>45</v>
      </c>
      <c r="E256" s="279" t="s">
        <v>7</v>
      </c>
      <c r="F256" s="280">
        <v>106000</v>
      </c>
      <c r="G256" s="280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8" t="s">
        <v>45</v>
      </c>
      <c r="E257" s="279" t="s">
        <v>7</v>
      </c>
      <c r="F257" s="280">
        <v>135900</v>
      </c>
      <c r="G257" s="280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8" t="s">
        <v>45</v>
      </c>
      <c r="E258" s="279" t="s">
        <v>7</v>
      </c>
      <c r="F258" s="280">
        <v>160100</v>
      </c>
      <c r="G258" s="280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8" t="s">
        <v>44</v>
      </c>
      <c r="E259" s="279" t="s">
        <v>7</v>
      </c>
      <c r="F259" s="280">
        <v>362130</v>
      </c>
      <c r="G259" s="280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8" t="s">
        <v>44</v>
      </c>
      <c r="E260" s="279" t="s">
        <v>7</v>
      </c>
      <c r="F260" s="280">
        <v>418580</v>
      </c>
      <c r="G260" s="280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8" t="s">
        <v>44</v>
      </c>
      <c r="E261" s="279" t="s">
        <v>7</v>
      </c>
      <c r="F261" s="280">
        <v>447280</v>
      </c>
      <c r="G261" s="280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8" t="s">
        <v>45</v>
      </c>
      <c r="E262" s="279" t="s">
        <v>7</v>
      </c>
      <c r="F262" s="280">
        <v>3200</v>
      </c>
      <c r="G262" s="280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8" t="s">
        <v>45</v>
      </c>
      <c r="E263" s="279" t="s">
        <v>7</v>
      </c>
      <c r="F263" s="280">
        <v>4100</v>
      </c>
      <c r="G263" s="280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8" t="s">
        <v>45</v>
      </c>
      <c r="E264" s="279" t="s">
        <v>7</v>
      </c>
      <c r="F264" s="280">
        <v>6500</v>
      </c>
      <c r="G264" s="280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8" t="s">
        <v>45</v>
      </c>
      <c r="E265" s="279" t="s">
        <v>7</v>
      </c>
      <c r="F265" s="280">
        <v>11400</v>
      </c>
      <c r="G265" s="280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8" t="s">
        <v>45</v>
      </c>
      <c r="E266" s="279" t="s">
        <v>7</v>
      </c>
      <c r="F266" s="280">
        <v>16700</v>
      </c>
      <c r="G266" s="280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8" t="s">
        <v>45</v>
      </c>
      <c r="E267" s="279" t="s">
        <v>7</v>
      </c>
      <c r="F267" s="280">
        <v>9600</v>
      </c>
      <c r="G267" s="280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8" t="s">
        <v>45</v>
      </c>
      <c r="E268" s="279" t="s">
        <v>7</v>
      </c>
      <c r="F268" s="280">
        <v>11700</v>
      </c>
      <c r="G268" s="280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8" t="s">
        <v>45</v>
      </c>
      <c r="E269" s="279" t="s">
        <v>7</v>
      </c>
      <c r="F269" s="280">
        <v>13300</v>
      </c>
      <c r="G269" s="280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8" t="s">
        <v>45</v>
      </c>
      <c r="E270" s="279" t="s">
        <v>7</v>
      </c>
      <c r="F270" s="280">
        <v>17000</v>
      </c>
      <c r="G270" s="280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8" t="s">
        <v>44</v>
      </c>
      <c r="E271" s="279" t="s">
        <v>7</v>
      </c>
      <c r="F271" s="280">
        <v>297630</v>
      </c>
      <c r="G271" s="280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8" t="s">
        <v>44</v>
      </c>
      <c r="E272" s="279" t="s">
        <v>7</v>
      </c>
      <c r="F272" s="280">
        <v>361430</v>
      </c>
      <c r="G272" s="280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8" t="s">
        <v>48</v>
      </c>
      <c r="E273" s="279"/>
      <c r="F273" s="280"/>
      <c r="G273" s="280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8" t="s">
        <v>48</v>
      </c>
      <c r="E274" s="279"/>
      <c r="F274" s="280"/>
      <c r="G274" s="280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1567</v>
      </c>
      <c r="D275" s="278" t="s">
        <v>45</v>
      </c>
      <c r="E275" s="279" t="s">
        <v>8</v>
      </c>
      <c r="F275" s="280">
        <v>34700</v>
      </c>
      <c r="G275" s="280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1568</v>
      </c>
      <c r="D276" s="278" t="s">
        <v>45</v>
      </c>
      <c r="E276" s="279" t="s">
        <v>8</v>
      </c>
      <c r="F276" s="280">
        <v>40300</v>
      </c>
      <c r="G276" s="280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1569</v>
      </c>
      <c r="D277" s="278" t="s">
        <v>45</v>
      </c>
      <c r="E277" s="279" t="s">
        <v>8</v>
      </c>
      <c r="F277" s="280">
        <v>44000</v>
      </c>
      <c r="G277" s="280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1570</v>
      </c>
      <c r="D278" s="278" t="s">
        <v>45</v>
      </c>
      <c r="E278" s="279" t="s">
        <v>8</v>
      </c>
      <c r="F278" s="280">
        <v>57700</v>
      </c>
      <c r="G278" s="280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1571</v>
      </c>
      <c r="D279" s="278" t="s">
        <v>45</v>
      </c>
      <c r="E279" s="279" t="s">
        <v>8</v>
      </c>
      <c r="F279" s="280">
        <v>83000</v>
      </c>
      <c r="G279" s="280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1572</v>
      </c>
      <c r="D280" s="278" t="s">
        <v>45</v>
      </c>
      <c r="E280" s="279" t="s">
        <v>8</v>
      </c>
      <c r="F280" s="280">
        <v>90450</v>
      </c>
      <c r="G280" s="280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1573</v>
      </c>
      <c r="D281" s="278" t="s">
        <v>45</v>
      </c>
      <c r="E281" s="279" t="s">
        <v>8</v>
      </c>
      <c r="F281" s="280">
        <v>106000</v>
      </c>
      <c r="G281" s="280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1574</v>
      </c>
      <c r="D282" s="278" t="s">
        <v>45</v>
      </c>
      <c r="E282" s="279" t="s">
        <v>8</v>
      </c>
      <c r="F282" s="280">
        <v>115650</v>
      </c>
      <c r="G282" s="280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1575</v>
      </c>
      <c r="D283" s="278" t="s">
        <v>45</v>
      </c>
      <c r="E283" s="279" t="s">
        <v>8</v>
      </c>
      <c r="F283" s="280">
        <v>159200</v>
      </c>
      <c r="G283" s="280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1576</v>
      </c>
      <c r="D284" s="278" t="s">
        <v>45</v>
      </c>
      <c r="E284" s="279" t="s">
        <v>8</v>
      </c>
      <c r="F284" s="280">
        <v>49900</v>
      </c>
      <c r="G284" s="280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1577</v>
      </c>
      <c r="D285" s="278" t="s">
        <v>45</v>
      </c>
      <c r="E285" s="279" t="s">
        <v>8</v>
      </c>
      <c r="F285" s="280">
        <v>62200</v>
      </c>
      <c r="G285" s="280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1578</v>
      </c>
      <c r="D286" s="278" t="s">
        <v>45</v>
      </c>
      <c r="E286" s="279" t="s">
        <v>8</v>
      </c>
      <c r="F286" s="280">
        <v>65800</v>
      </c>
      <c r="G286" s="280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1579</v>
      </c>
      <c r="D287" s="278" t="s">
        <v>45</v>
      </c>
      <c r="E287" s="279" t="s">
        <v>8</v>
      </c>
      <c r="F287" s="280">
        <v>69100</v>
      </c>
      <c r="G287" s="280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1580</v>
      </c>
      <c r="D288" s="278" t="s">
        <v>45</v>
      </c>
      <c r="E288" s="279" t="s">
        <v>8</v>
      </c>
      <c r="F288" s="280">
        <v>87100</v>
      </c>
      <c r="G288" s="280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1581</v>
      </c>
      <c r="D289" s="278" t="s">
        <v>45</v>
      </c>
      <c r="E289" s="279" t="s">
        <v>8</v>
      </c>
      <c r="F289" s="280">
        <v>98500</v>
      </c>
      <c r="G289" s="280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1582</v>
      </c>
      <c r="D290" s="278" t="s">
        <v>45</v>
      </c>
      <c r="E290" s="279" t="s">
        <v>8</v>
      </c>
      <c r="F290" s="280">
        <v>137700</v>
      </c>
      <c r="G290" s="280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1583</v>
      </c>
      <c r="D291" s="278" t="s">
        <v>45</v>
      </c>
      <c r="E291" s="279" t="s">
        <v>8</v>
      </c>
      <c r="F291" s="280">
        <v>124300</v>
      </c>
      <c r="G291" s="280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1584</v>
      </c>
      <c r="D292" s="278" t="s">
        <v>45</v>
      </c>
      <c r="E292" s="279" t="s">
        <v>8</v>
      </c>
      <c r="F292" s="280">
        <v>114000</v>
      </c>
      <c r="G292" s="280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1585</v>
      </c>
      <c r="D293" s="278" t="s">
        <v>45</v>
      </c>
      <c r="E293" s="279" t="s">
        <v>8</v>
      </c>
      <c r="F293" s="280">
        <v>146000</v>
      </c>
      <c r="G293" s="280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1586</v>
      </c>
      <c r="D294" s="278" t="s">
        <v>45</v>
      </c>
      <c r="E294" s="279" t="s">
        <v>8</v>
      </c>
      <c r="F294" s="280">
        <v>156000</v>
      </c>
      <c r="G294" s="280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1587</v>
      </c>
      <c r="D295" s="278" t="s">
        <v>45</v>
      </c>
      <c r="E295" s="279" t="s">
        <v>8</v>
      </c>
      <c r="F295" s="280">
        <v>17200</v>
      </c>
      <c r="G295" s="280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1588</v>
      </c>
      <c r="D296" s="278" t="s">
        <v>45</v>
      </c>
      <c r="E296" s="279" t="s">
        <v>8</v>
      </c>
      <c r="F296" s="280">
        <v>21900</v>
      </c>
      <c r="G296" s="280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1589</v>
      </c>
      <c r="D297" s="278" t="s">
        <v>45</v>
      </c>
      <c r="E297" s="279" t="s">
        <v>8</v>
      </c>
      <c r="F297" s="280">
        <v>21900</v>
      </c>
      <c r="G297" s="280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1590</v>
      </c>
      <c r="D298" s="278" t="s">
        <v>45</v>
      </c>
      <c r="E298" s="279" t="s">
        <v>8</v>
      </c>
      <c r="F298" s="280">
        <v>23500</v>
      </c>
      <c r="G298" s="280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1591</v>
      </c>
      <c r="D299" s="278" t="s">
        <v>45</v>
      </c>
      <c r="E299" s="279" t="s">
        <v>8</v>
      </c>
      <c r="F299" s="280">
        <v>26100</v>
      </c>
      <c r="G299" s="280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1592</v>
      </c>
      <c r="D300" s="278" t="s">
        <v>45</v>
      </c>
      <c r="E300" s="279" t="s">
        <v>8</v>
      </c>
      <c r="F300" s="280">
        <v>35500</v>
      </c>
      <c r="G300" s="280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1593</v>
      </c>
      <c r="D301" s="278" t="s">
        <v>45</v>
      </c>
      <c r="E301" s="279" t="s">
        <v>8</v>
      </c>
      <c r="F301" s="280">
        <v>46200</v>
      </c>
      <c r="G301" s="280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1594</v>
      </c>
      <c r="D302" s="278" t="s">
        <v>45</v>
      </c>
      <c r="E302" s="279" t="s">
        <v>8</v>
      </c>
      <c r="F302" s="280">
        <v>68700</v>
      </c>
      <c r="G302" s="280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1595</v>
      </c>
      <c r="D303" s="278" t="s">
        <v>45</v>
      </c>
      <c r="E303" s="279" t="s">
        <v>8</v>
      </c>
      <c r="F303" s="280">
        <v>76800</v>
      </c>
      <c r="G303" s="280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1596</v>
      </c>
      <c r="D304" s="278" t="s">
        <v>45</v>
      </c>
      <c r="E304" s="279" t="s">
        <v>8</v>
      </c>
      <c r="F304" s="280">
        <v>23000</v>
      </c>
      <c r="G304" s="280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1597</v>
      </c>
      <c r="D305" s="278" t="s">
        <v>45</v>
      </c>
      <c r="E305" s="279" t="s">
        <v>8</v>
      </c>
      <c r="F305" s="280">
        <v>25700</v>
      </c>
      <c r="G305" s="280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1598</v>
      </c>
      <c r="D306" s="278" t="s">
        <v>45</v>
      </c>
      <c r="E306" s="279" t="s">
        <v>8</v>
      </c>
      <c r="F306" s="280">
        <v>38100</v>
      </c>
      <c r="G306" s="280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1599</v>
      </c>
      <c r="D307" s="278" t="s">
        <v>45</v>
      </c>
      <c r="E307" s="279" t="s">
        <v>8</v>
      </c>
      <c r="F307" s="280">
        <v>48000</v>
      </c>
      <c r="G307" s="280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1600</v>
      </c>
      <c r="D308" s="278" t="s">
        <v>45</v>
      </c>
      <c r="E308" s="279" t="s">
        <v>8</v>
      </c>
      <c r="F308" s="280">
        <v>60000</v>
      </c>
      <c r="G308" s="280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1601</v>
      </c>
      <c r="D309" s="278" t="s">
        <v>45</v>
      </c>
      <c r="E309" s="279" t="s">
        <v>8</v>
      </c>
      <c r="F309" s="280">
        <v>79000</v>
      </c>
      <c r="G309" s="280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1602</v>
      </c>
      <c r="D310" s="278" t="s">
        <v>45</v>
      </c>
      <c r="E310" s="279" t="s">
        <v>8</v>
      </c>
      <c r="F310" s="280">
        <v>99600</v>
      </c>
      <c r="G310" s="280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1603</v>
      </c>
      <c r="D311" s="278" t="s">
        <v>45</v>
      </c>
      <c r="E311" s="279" t="s">
        <v>8</v>
      </c>
      <c r="F311" s="280">
        <v>170800</v>
      </c>
      <c r="G311" s="280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8" t="s">
        <v>45</v>
      </c>
      <c r="E312" s="279" t="s">
        <v>8</v>
      </c>
      <c r="F312" s="280">
        <v>197400</v>
      </c>
      <c r="G312" s="280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8" t="s">
        <v>45</v>
      </c>
      <c r="E313" s="279" t="s">
        <v>8</v>
      </c>
      <c r="F313" s="280">
        <v>158100</v>
      </c>
      <c r="G313" s="280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8" t="s">
        <v>48</v>
      </c>
      <c r="E314" s="279"/>
      <c r="F314" s="280"/>
      <c r="G314" s="280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8" t="s">
        <v>48</v>
      </c>
      <c r="E315" s="279"/>
      <c r="F315" s="280"/>
      <c r="G315" s="280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8" t="s">
        <v>45</v>
      </c>
      <c r="E316" s="279" t="s">
        <v>112</v>
      </c>
      <c r="F316" s="280">
        <v>125000</v>
      </c>
      <c r="G316" s="280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8" t="s">
        <v>45</v>
      </c>
      <c r="E317" s="279" t="s">
        <v>114</v>
      </c>
      <c r="F317" s="280">
        <v>74000</v>
      </c>
      <c r="G317" s="280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8" t="s">
        <v>45</v>
      </c>
      <c r="E318" s="279" t="s">
        <v>8</v>
      </c>
      <c r="F318" s="280">
        <v>4500</v>
      </c>
      <c r="G318" s="280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8" t="s">
        <v>45</v>
      </c>
      <c r="E319" s="279" t="s">
        <v>24</v>
      </c>
      <c r="F319" s="280">
        <v>3888</v>
      </c>
      <c r="G319" s="280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8" t="s">
        <v>45</v>
      </c>
      <c r="E320" s="279" t="s">
        <v>24</v>
      </c>
      <c r="F320" s="280">
        <v>2900</v>
      </c>
      <c r="G320" s="280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8" t="s">
        <v>45</v>
      </c>
      <c r="E321" s="279" t="s">
        <v>24</v>
      </c>
      <c r="F321" s="280">
        <v>11500</v>
      </c>
      <c r="G321" s="280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8" t="s">
        <v>45</v>
      </c>
      <c r="E322" s="279" t="s">
        <v>24</v>
      </c>
      <c r="F322" s="280">
        <v>6100</v>
      </c>
      <c r="G322" s="280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8" t="s">
        <v>45</v>
      </c>
      <c r="E323" s="279" t="s">
        <v>8</v>
      </c>
      <c r="F323" s="280">
        <v>58600</v>
      </c>
      <c r="G323" s="280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8" t="s">
        <v>45</v>
      </c>
      <c r="E324" s="279" t="s">
        <v>24</v>
      </c>
      <c r="F324" s="280">
        <v>15400</v>
      </c>
      <c r="G324" s="280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8" t="s">
        <v>45</v>
      </c>
      <c r="E325" s="279" t="s">
        <v>24</v>
      </c>
      <c r="F325" s="280">
        <v>5300</v>
      </c>
      <c r="G325" s="280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8" t="s">
        <v>45</v>
      </c>
      <c r="E326" s="279" t="s">
        <v>24</v>
      </c>
      <c r="F326" s="280">
        <v>8900</v>
      </c>
      <c r="G326" s="280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8" t="s">
        <v>45</v>
      </c>
      <c r="E327" s="279" t="s">
        <v>24</v>
      </c>
      <c r="F327" s="280">
        <v>15800</v>
      </c>
      <c r="G327" s="280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8" t="s">
        <v>45</v>
      </c>
      <c r="E328" s="279" t="s">
        <v>24</v>
      </c>
      <c r="F328" s="280">
        <v>13800</v>
      </c>
      <c r="G328" s="280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8" t="s">
        <v>45</v>
      </c>
      <c r="E329" s="279" t="s">
        <v>24</v>
      </c>
      <c r="F329" s="280">
        <v>18080</v>
      </c>
      <c r="G329" s="280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8" t="s">
        <v>45</v>
      </c>
      <c r="E330" s="279" t="s">
        <v>24</v>
      </c>
      <c r="F330" s="280">
        <v>19700</v>
      </c>
      <c r="G330" s="280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8" t="s">
        <v>45</v>
      </c>
      <c r="E331" s="279" t="s">
        <v>24</v>
      </c>
      <c r="F331" s="280">
        <v>23000</v>
      </c>
      <c r="G331" s="280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8" t="s">
        <v>45</v>
      </c>
      <c r="E332" s="279" t="s">
        <v>24</v>
      </c>
      <c r="F332" s="280">
        <v>38400</v>
      </c>
      <c r="G332" s="280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8" t="s">
        <v>45</v>
      </c>
      <c r="E333" s="279" t="s">
        <v>24</v>
      </c>
      <c r="F333" s="280">
        <v>22900</v>
      </c>
      <c r="G333" s="280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8" t="s">
        <v>45</v>
      </c>
      <c r="E334" s="279" t="s">
        <v>24</v>
      </c>
      <c r="F334" s="280">
        <v>25000</v>
      </c>
      <c r="G334" s="280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8" t="s">
        <v>45</v>
      </c>
      <c r="E335" s="279" t="s">
        <v>24</v>
      </c>
      <c r="F335" s="280">
        <v>25000</v>
      </c>
      <c r="G335" s="280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8" t="s">
        <v>45</v>
      </c>
      <c r="E336" s="279" t="s">
        <v>24</v>
      </c>
      <c r="F336" s="280">
        <v>18400</v>
      </c>
      <c r="G336" s="280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8" t="s">
        <v>45</v>
      </c>
      <c r="E337" s="279" t="s">
        <v>24</v>
      </c>
      <c r="F337" s="280">
        <v>18400</v>
      </c>
      <c r="G337" s="280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8" t="s">
        <v>45</v>
      </c>
      <c r="E338" s="279" t="s">
        <v>24</v>
      </c>
      <c r="F338" s="280">
        <v>18400</v>
      </c>
      <c r="G338" s="280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8" t="s">
        <v>45</v>
      </c>
      <c r="E339" s="279" t="s">
        <v>24</v>
      </c>
      <c r="F339" s="280">
        <v>61300</v>
      </c>
      <c r="G339" s="280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8" t="s">
        <v>45</v>
      </c>
      <c r="E340" s="279" t="s">
        <v>24</v>
      </c>
      <c r="F340" s="280">
        <v>61300</v>
      </c>
      <c r="G340" s="280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8" t="s">
        <v>45</v>
      </c>
      <c r="E341" s="279" t="s">
        <v>24</v>
      </c>
      <c r="F341" s="280">
        <v>61300</v>
      </c>
      <c r="G341" s="280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8" t="s">
        <v>45</v>
      </c>
      <c r="E342" s="279" t="s">
        <v>24</v>
      </c>
      <c r="F342" s="280">
        <v>64500</v>
      </c>
      <c r="G342" s="280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8" t="s">
        <v>45</v>
      </c>
      <c r="E343" s="279" t="s">
        <v>24</v>
      </c>
      <c r="F343" s="280">
        <v>69000</v>
      </c>
      <c r="G343" s="280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8" t="s">
        <v>45</v>
      </c>
      <c r="E344" s="279" t="s">
        <v>24</v>
      </c>
      <c r="F344" s="280">
        <v>82500</v>
      </c>
      <c r="G344" s="280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8" t="s">
        <v>45</v>
      </c>
      <c r="E345" s="279" t="s">
        <v>24</v>
      </c>
      <c r="F345" s="280">
        <v>79800</v>
      </c>
      <c r="G345" s="280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8" t="s">
        <v>45</v>
      </c>
      <c r="E346" s="279" t="s">
        <v>24</v>
      </c>
      <c r="F346" s="280">
        <v>72100</v>
      </c>
      <c r="G346" s="280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8" t="s">
        <v>45</v>
      </c>
      <c r="E347" s="279" t="s">
        <v>24</v>
      </c>
      <c r="F347" s="280">
        <v>86800</v>
      </c>
      <c r="G347" s="280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8" t="s">
        <v>45</v>
      </c>
      <c r="E348" s="279" t="s">
        <v>24</v>
      </c>
      <c r="F348" s="280">
        <v>105600</v>
      </c>
      <c r="G348" s="280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8" t="s">
        <v>45</v>
      </c>
      <c r="E349" s="279" t="s">
        <v>24</v>
      </c>
      <c r="F349" s="280">
        <v>491900</v>
      </c>
      <c r="G349" s="280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8" t="s">
        <v>45</v>
      </c>
      <c r="E350" s="279" t="s">
        <v>24</v>
      </c>
      <c r="F350" s="280">
        <v>29555</v>
      </c>
      <c r="G350" s="280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8" t="s">
        <v>45</v>
      </c>
      <c r="E351" s="279" t="s">
        <v>24</v>
      </c>
      <c r="F351" s="280">
        <v>37200</v>
      </c>
      <c r="G351" s="280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8" t="s">
        <v>45</v>
      </c>
      <c r="E352" s="279" t="s">
        <v>24</v>
      </c>
      <c r="F352" s="280">
        <v>29600</v>
      </c>
      <c r="G352" s="280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8" t="s">
        <v>45</v>
      </c>
      <c r="E353" s="279" t="s">
        <v>24</v>
      </c>
      <c r="F353" s="280">
        <v>37144</v>
      </c>
      <c r="G353" s="280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8" t="s">
        <v>45</v>
      </c>
      <c r="E354" s="279" t="s">
        <v>24</v>
      </c>
      <c r="F354" s="280">
        <v>5700</v>
      </c>
      <c r="G354" s="280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8" t="s">
        <v>45</v>
      </c>
      <c r="E355" s="279" t="s">
        <v>24</v>
      </c>
      <c r="F355" s="280">
        <v>5700</v>
      </c>
      <c r="G355" s="280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8" t="s">
        <v>45</v>
      </c>
      <c r="E356" s="279" t="s">
        <v>24</v>
      </c>
      <c r="F356" s="280">
        <v>10700</v>
      </c>
      <c r="G356" s="280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8" t="s">
        <v>45</v>
      </c>
      <c r="E357" s="279" t="s">
        <v>24</v>
      </c>
      <c r="F357" s="280">
        <v>6200</v>
      </c>
      <c r="G357" s="280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8" t="s">
        <v>45</v>
      </c>
      <c r="E358" s="279" t="s">
        <v>100</v>
      </c>
      <c r="F358" s="280">
        <v>446100</v>
      </c>
      <c r="G358" s="280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8" t="s">
        <v>45</v>
      </c>
      <c r="E359" s="279" t="s">
        <v>100</v>
      </c>
      <c r="F359" s="280">
        <v>45796</v>
      </c>
      <c r="G359" s="280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8" t="s">
        <v>48</v>
      </c>
      <c r="E360" s="279"/>
      <c r="F360" s="280"/>
      <c r="G360" s="280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8" t="s">
        <v>48</v>
      </c>
      <c r="E361" s="279"/>
      <c r="F361" s="280"/>
      <c r="G361" s="280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8" t="s">
        <v>45</v>
      </c>
      <c r="E362" s="279" t="s">
        <v>24</v>
      </c>
      <c r="F362" s="280">
        <v>37000</v>
      </c>
      <c r="G362" s="280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8" t="s">
        <v>45</v>
      </c>
      <c r="E363" s="279" t="s">
        <v>24</v>
      </c>
      <c r="F363" s="280">
        <v>55500</v>
      </c>
      <c r="G363" s="280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8" t="s">
        <v>45</v>
      </c>
      <c r="E364" s="279" t="s">
        <v>24</v>
      </c>
      <c r="F364" s="280">
        <v>67800</v>
      </c>
      <c r="G364" s="280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8" t="s">
        <v>45</v>
      </c>
      <c r="E365" s="279" t="s">
        <v>24</v>
      </c>
      <c r="F365" s="280">
        <v>98600</v>
      </c>
      <c r="G365" s="280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8" t="s">
        <v>45</v>
      </c>
      <c r="E366" s="279" t="s">
        <v>24</v>
      </c>
      <c r="F366" s="280">
        <v>135199</v>
      </c>
      <c r="G366" s="280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8" t="s">
        <v>45</v>
      </c>
      <c r="E367" s="279" t="s">
        <v>7</v>
      </c>
      <c r="F367" s="280">
        <v>7789</v>
      </c>
      <c r="G367" s="280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8" t="s">
        <v>45</v>
      </c>
      <c r="E368" s="279" t="s">
        <v>8</v>
      </c>
      <c r="F368" s="280">
        <v>47459</v>
      </c>
      <c r="G368" s="280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8" t="s">
        <v>45</v>
      </c>
      <c r="E369" s="279" t="s">
        <v>8</v>
      </c>
      <c r="F369" s="280">
        <v>112500</v>
      </c>
      <c r="G369" s="280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8" t="s">
        <v>45</v>
      </c>
      <c r="E370" s="279" t="s">
        <v>8</v>
      </c>
      <c r="F370" s="280">
        <v>35800</v>
      </c>
      <c r="G370" s="280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8" t="s">
        <v>45</v>
      </c>
      <c r="E371" s="279" t="s">
        <v>8</v>
      </c>
      <c r="F371" s="280">
        <v>36000</v>
      </c>
      <c r="G371" s="280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8" t="s">
        <v>45</v>
      </c>
      <c r="E372" s="279" t="s">
        <v>8</v>
      </c>
      <c r="F372" s="280">
        <v>36000</v>
      </c>
      <c r="G372" s="280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8" t="s">
        <v>45</v>
      </c>
      <c r="E373" s="279" t="s">
        <v>8</v>
      </c>
      <c r="F373" s="280">
        <v>40000</v>
      </c>
      <c r="G373" s="280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8" t="s">
        <v>45</v>
      </c>
      <c r="E374" s="279" t="s">
        <v>8</v>
      </c>
      <c r="F374" s="280">
        <v>55000</v>
      </c>
      <c r="G374" s="280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8" t="s">
        <v>45</v>
      </c>
      <c r="E375" s="279" t="s">
        <v>8</v>
      </c>
      <c r="F375" s="280">
        <v>45500</v>
      </c>
      <c r="G375" s="280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8" t="s">
        <v>45</v>
      </c>
      <c r="E376" s="279" t="s">
        <v>8</v>
      </c>
      <c r="F376" s="280">
        <v>45500</v>
      </c>
      <c r="G376" s="280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8" t="s">
        <v>45</v>
      </c>
      <c r="E377" s="279" t="s">
        <v>8</v>
      </c>
      <c r="F377" s="280">
        <v>45500</v>
      </c>
      <c r="G377" s="280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8" t="s">
        <v>45</v>
      </c>
      <c r="E378" s="279" t="s">
        <v>8</v>
      </c>
      <c r="F378" s="280">
        <v>45500</v>
      </c>
      <c r="G378" s="280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8" t="s">
        <v>45</v>
      </c>
      <c r="E379" s="279" t="s">
        <v>8</v>
      </c>
      <c r="F379" s="280">
        <v>7938</v>
      </c>
      <c r="G379" s="280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8" t="s">
        <v>45</v>
      </c>
      <c r="E380" s="279" t="s">
        <v>8</v>
      </c>
      <c r="F380" s="280">
        <v>30000</v>
      </c>
      <c r="G380" s="280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8" t="s">
        <v>45</v>
      </c>
      <c r="E381" s="279" t="s">
        <v>8</v>
      </c>
      <c r="F381" s="280">
        <v>26500</v>
      </c>
      <c r="G381" s="280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8" t="s">
        <v>45</v>
      </c>
      <c r="E382" s="279" t="s">
        <v>8</v>
      </c>
      <c r="F382" s="280">
        <v>26500</v>
      </c>
      <c r="G382" s="280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8" t="s">
        <v>45</v>
      </c>
      <c r="E383" s="279" t="s">
        <v>8</v>
      </c>
      <c r="F383" s="280">
        <v>26500</v>
      </c>
      <c r="G383" s="280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8" t="s">
        <v>45</v>
      </c>
      <c r="E384" s="279" t="s">
        <v>8</v>
      </c>
      <c r="F384" s="280">
        <v>26500</v>
      </c>
      <c r="G384" s="280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8" t="s">
        <v>45</v>
      </c>
      <c r="E385" s="279" t="s">
        <v>8</v>
      </c>
      <c r="F385" s="280">
        <v>33600</v>
      </c>
      <c r="G385" s="280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8" t="s">
        <v>45</v>
      </c>
      <c r="E386" s="279" t="s">
        <v>8</v>
      </c>
      <c r="F386" s="280">
        <v>33600</v>
      </c>
      <c r="G386" s="280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8" t="s">
        <v>45</v>
      </c>
      <c r="E387" s="279" t="s">
        <v>8</v>
      </c>
      <c r="F387" s="280">
        <v>33600</v>
      </c>
      <c r="G387" s="280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8" t="s">
        <v>45</v>
      </c>
      <c r="E388" s="279" t="s">
        <v>8</v>
      </c>
      <c r="F388" s="280">
        <v>33600</v>
      </c>
      <c r="G388" s="280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8" t="s">
        <v>45</v>
      </c>
      <c r="E389" s="279" t="s">
        <v>8</v>
      </c>
      <c r="F389" s="280">
        <v>32600</v>
      </c>
      <c r="G389" s="280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8" t="s">
        <v>45</v>
      </c>
      <c r="E390" s="279" t="s">
        <v>8</v>
      </c>
      <c r="F390" s="280">
        <v>45000</v>
      </c>
      <c r="G390" s="280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8" t="s">
        <v>45</v>
      </c>
      <c r="E391" s="279" t="s">
        <v>8</v>
      </c>
      <c r="F391" s="280">
        <v>92500</v>
      </c>
      <c r="G391" s="280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8" t="s">
        <v>45</v>
      </c>
      <c r="E392" s="279" t="s">
        <v>8</v>
      </c>
      <c r="F392" s="280">
        <v>67700</v>
      </c>
      <c r="G392" s="280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8" t="s">
        <v>45</v>
      </c>
      <c r="E393" s="279" t="s">
        <v>8</v>
      </c>
      <c r="F393" s="280">
        <v>13100</v>
      </c>
      <c r="G393" s="280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8" t="s">
        <v>45</v>
      </c>
      <c r="E394" s="279" t="s">
        <v>8</v>
      </c>
      <c r="F394" s="280">
        <v>404600</v>
      </c>
      <c r="G394" s="280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8" t="s">
        <v>45</v>
      </c>
      <c r="E395" s="279" t="s">
        <v>8</v>
      </c>
      <c r="F395" s="280">
        <v>445573.55999999994</v>
      </c>
      <c r="G395" s="280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8" t="s">
        <v>45</v>
      </c>
      <c r="E396" s="279" t="s">
        <v>8</v>
      </c>
      <c r="F396" s="280">
        <v>89200</v>
      </c>
      <c r="G396" s="280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8" t="s">
        <v>45</v>
      </c>
      <c r="E397" s="279" t="s">
        <v>8</v>
      </c>
      <c r="F397" s="280">
        <v>95000</v>
      </c>
      <c r="G397" s="280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8" t="s">
        <v>45</v>
      </c>
      <c r="E398" s="279" t="s">
        <v>8</v>
      </c>
      <c r="F398" s="280">
        <v>15500</v>
      </c>
      <c r="G398" s="280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8" t="s">
        <v>45</v>
      </c>
      <c r="E399" s="279" t="s">
        <v>8</v>
      </c>
      <c r="F399" s="280">
        <v>37700</v>
      </c>
      <c r="G399" s="280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8" t="s">
        <v>45</v>
      </c>
      <c r="E400" s="279" t="s">
        <v>8</v>
      </c>
      <c r="F400" s="280">
        <v>28000</v>
      </c>
      <c r="G400" s="280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8" t="s">
        <v>45</v>
      </c>
      <c r="E401" s="279" t="s">
        <v>8</v>
      </c>
      <c r="F401" s="280">
        <v>22400</v>
      </c>
      <c r="G401" s="280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8" t="s">
        <v>45</v>
      </c>
      <c r="E402" s="279" t="s">
        <v>8</v>
      </c>
      <c r="F402" s="280">
        <v>15800</v>
      </c>
      <c r="G402" s="280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8" t="s">
        <v>45</v>
      </c>
      <c r="E403" s="279" t="s">
        <v>8</v>
      </c>
      <c r="F403" s="280">
        <v>22400</v>
      </c>
      <c r="G403" s="280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8" t="s">
        <v>45</v>
      </c>
      <c r="E404" s="279" t="s">
        <v>8</v>
      </c>
      <c r="F404" s="280">
        <v>36500</v>
      </c>
      <c r="G404" s="280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8" t="s">
        <v>45</v>
      </c>
      <c r="E405" s="279" t="s">
        <v>8</v>
      </c>
      <c r="F405" s="280">
        <v>10800</v>
      </c>
      <c r="G405" s="280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8" t="s">
        <v>45</v>
      </c>
      <c r="E406" s="279" t="s">
        <v>8</v>
      </c>
      <c r="F406" s="280">
        <v>13600</v>
      </c>
      <c r="G406" s="280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8" t="s">
        <v>45</v>
      </c>
      <c r="E407" s="279" t="s">
        <v>8</v>
      </c>
      <c r="F407" s="280">
        <v>17100</v>
      </c>
      <c r="G407" s="280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8" t="s">
        <v>45</v>
      </c>
      <c r="E408" s="279" t="s">
        <v>8</v>
      </c>
      <c r="F408" s="280">
        <v>32400</v>
      </c>
      <c r="G408" s="280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8" t="s">
        <v>45</v>
      </c>
      <c r="E409" s="279" t="s">
        <v>8</v>
      </c>
      <c r="F409" s="280">
        <v>40400</v>
      </c>
      <c r="G409" s="280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8" t="s">
        <v>45</v>
      </c>
      <c r="E410" s="279" t="s">
        <v>8</v>
      </c>
      <c r="F410" s="280">
        <v>282000</v>
      </c>
      <c r="G410" s="280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8" t="s">
        <v>45</v>
      </c>
      <c r="E411" s="279" t="s">
        <v>8</v>
      </c>
      <c r="F411" s="280">
        <v>379000</v>
      </c>
      <c r="G411" s="280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8" t="s">
        <v>45</v>
      </c>
      <c r="E412" s="279" t="s">
        <v>8</v>
      </c>
      <c r="F412" s="280">
        <v>557000</v>
      </c>
      <c r="G412" s="280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8" t="s">
        <v>45</v>
      </c>
      <c r="E413" s="279" t="s">
        <v>8</v>
      </c>
      <c r="F413" s="280">
        <v>41800</v>
      </c>
      <c r="G413" s="280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8" t="s">
        <v>45</v>
      </c>
      <c r="E414" s="279" t="s">
        <v>8</v>
      </c>
      <c r="F414" s="280">
        <v>78500</v>
      </c>
      <c r="G414" s="280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8" t="s">
        <v>45</v>
      </c>
      <c r="E415" s="279" t="s">
        <v>8</v>
      </c>
      <c r="F415" s="280">
        <v>120000</v>
      </c>
      <c r="G415" s="280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8" t="s">
        <v>45</v>
      </c>
      <c r="E416" s="279" t="s">
        <v>8</v>
      </c>
      <c r="F416" s="280">
        <v>120900</v>
      </c>
      <c r="G416" s="280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8" t="s">
        <v>45</v>
      </c>
      <c r="E417" s="279" t="s">
        <v>8</v>
      </c>
      <c r="F417" s="280">
        <v>78500</v>
      </c>
      <c r="G417" s="280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8" t="s">
        <v>45</v>
      </c>
      <c r="E418" s="279" t="s">
        <v>8</v>
      </c>
      <c r="F418" s="280">
        <v>85300</v>
      </c>
      <c r="G418" s="280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8" t="s">
        <v>45</v>
      </c>
      <c r="E419" s="279" t="s">
        <v>8</v>
      </c>
      <c r="F419" s="280">
        <v>107300</v>
      </c>
      <c r="G419" s="280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8" t="s">
        <v>45</v>
      </c>
      <c r="E420" s="279" t="s">
        <v>8</v>
      </c>
      <c r="F420" s="280">
        <v>112100</v>
      </c>
      <c r="G420" s="280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8" t="s">
        <v>45</v>
      </c>
      <c r="E421" s="279" t="s">
        <v>8</v>
      </c>
      <c r="F421" s="280">
        <v>75400</v>
      </c>
      <c r="G421" s="280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8" t="s">
        <v>45</v>
      </c>
      <c r="E422" s="279" t="s">
        <v>8</v>
      </c>
      <c r="F422" s="280">
        <v>23500</v>
      </c>
      <c r="G422" s="280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8" t="s">
        <v>45</v>
      </c>
      <c r="E423" s="279" t="s">
        <v>8</v>
      </c>
      <c r="F423" s="280">
        <v>26500</v>
      </c>
      <c r="G423" s="280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8" t="s">
        <v>45</v>
      </c>
      <c r="E424" s="279" t="s">
        <v>8</v>
      </c>
      <c r="F424" s="280">
        <v>34000</v>
      </c>
      <c r="G424" s="280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8" t="s">
        <v>45</v>
      </c>
      <c r="E425" s="279" t="s">
        <v>8</v>
      </c>
      <c r="F425" s="280">
        <v>49600</v>
      </c>
      <c r="G425" s="280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8" t="s">
        <v>45</v>
      </c>
      <c r="E426" s="279" t="s">
        <v>8</v>
      </c>
      <c r="F426" s="280">
        <v>56300</v>
      </c>
      <c r="G426" s="280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8" t="s">
        <v>45</v>
      </c>
      <c r="E427" s="279" t="s">
        <v>7</v>
      </c>
      <c r="F427" s="280">
        <v>33800</v>
      </c>
      <c r="G427" s="280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8" t="s">
        <v>45</v>
      </c>
      <c r="E428" s="279" t="s">
        <v>7</v>
      </c>
      <c r="F428" s="280">
        <v>40200</v>
      </c>
      <c r="G428" s="280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8" t="s">
        <v>45</v>
      </c>
      <c r="E429" s="279" t="s">
        <v>7</v>
      </c>
      <c r="F429" s="280">
        <v>46800</v>
      </c>
      <c r="G429" s="280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8" t="s">
        <v>45</v>
      </c>
      <c r="E430" s="279" t="s">
        <v>8</v>
      </c>
      <c r="F430" s="280">
        <v>9500</v>
      </c>
      <c r="G430" s="280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8" t="s">
        <v>45</v>
      </c>
      <c r="E431" s="279" t="s">
        <v>8</v>
      </c>
      <c r="F431" s="280">
        <v>184500</v>
      </c>
      <c r="G431" s="280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8" t="s">
        <v>45</v>
      </c>
      <c r="E432" s="279" t="s">
        <v>8</v>
      </c>
      <c r="F432" s="280">
        <v>175000</v>
      </c>
      <c r="G432" s="280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8" t="s">
        <v>45</v>
      </c>
      <c r="E433" s="279" t="s">
        <v>7</v>
      </c>
      <c r="F433" s="280">
        <v>30000</v>
      </c>
      <c r="G433" s="280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8" t="s">
        <v>45</v>
      </c>
      <c r="E434" s="279" t="s">
        <v>7</v>
      </c>
      <c r="F434" s="280">
        <v>49500</v>
      </c>
      <c r="G434" s="280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8" t="s">
        <v>45</v>
      </c>
      <c r="E435" s="279" t="s">
        <v>7</v>
      </c>
      <c r="F435" s="280">
        <v>120000</v>
      </c>
      <c r="G435" s="280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8" t="s">
        <v>45</v>
      </c>
      <c r="E436" s="279" t="s">
        <v>8</v>
      </c>
      <c r="F436" s="280">
        <v>4880</v>
      </c>
      <c r="G436" s="280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8" t="s">
        <v>45</v>
      </c>
      <c r="E437" s="279" t="s">
        <v>8</v>
      </c>
      <c r="F437" s="280">
        <v>1308700</v>
      </c>
      <c r="G437" s="280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8" t="s">
        <v>45</v>
      </c>
      <c r="E438" s="279" t="s">
        <v>8</v>
      </c>
      <c r="F438" s="280">
        <v>12500</v>
      </c>
      <c r="G438" s="280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8" t="s">
        <v>45</v>
      </c>
      <c r="E439" s="279" t="s">
        <v>7</v>
      </c>
      <c r="F439" s="280">
        <v>9700</v>
      </c>
      <c r="G439" s="280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8" t="s">
        <v>45</v>
      </c>
      <c r="E440" s="279" t="s">
        <v>7</v>
      </c>
      <c r="F440" s="280">
        <v>24300</v>
      </c>
      <c r="G440" s="280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8" t="s">
        <v>45</v>
      </c>
      <c r="E441" s="279" t="s">
        <v>7</v>
      </c>
      <c r="F441" s="280">
        <v>39204</v>
      </c>
      <c r="G441" s="280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8" t="s">
        <v>45</v>
      </c>
      <c r="E442" s="279" t="s">
        <v>7</v>
      </c>
      <c r="F442" s="280">
        <v>491900</v>
      </c>
      <c r="G442" s="280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8" t="s">
        <v>45</v>
      </c>
      <c r="E443" s="279" t="s">
        <v>8</v>
      </c>
      <c r="F443" s="280">
        <v>78069</v>
      </c>
      <c r="G443" s="280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8" t="s">
        <v>45</v>
      </c>
      <c r="E444" s="279" t="s">
        <v>8</v>
      </c>
      <c r="F444" s="280">
        <v>155631</v>
      </c>
      <c r="G444" s="280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5" t="s">
        <v>598</v>
      </c>
      <c r="D445" s="278" t="s">
        <v>45</v>
      </c>
      <c r="E445" s="279" t="s">
        <v>8</v>
      </c>
      <c r="F445" s="280">
        <v>3965</v>
      </c>
      <c r="G445" s="280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8" t="s">
        <v>45</v>
      </c>
      <c r="E446" s="279" t="s">
        <v>8</v>
      </c>
      <c r="F446" s="280">
        <v>31800</v>
      </c>
      <c r="G446" s="280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8" t="s">
        <v>45</v>
      </c>
      <c r="E447" s="279" t="s">
        <v>8</v>
      </c>
      <c r="F447" s="280">
        <v>33800</v>
      </c>
      <c r="G447" s="280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8" t="s">
        <v>45</v>
      </c>
      <c r="E448" s="279" t="s">
        <v>8</v>
      </c>
      <c r="F448" s="280">
        <v>38500</v>
      </c>
      <c r="G448" s="280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8" t="s">
        <v>45</v>
      </c>
      <c r="E449" s="279" t="s">
        <v>8</v>
      </c>
      <c r="F449" s="280">
        <v>76000</v>
      </c>
      <c r="G449" s="280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8" t="s">
        <v>45</v>
      </c>
      <c r="E450" s="279" t="s">
        <v>8</v>
      </c>
      <c r="F450" s="280">
        <v>97000</v>
      </c>
      <c r="G450" s="280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8" t="s">
        <v>45</v>
      </c>
      <c r="E451" s="279" t="s">
        <v>7</v>
      </c>
      <c r="F451" s="280">
        <v>4520</v>
      </c>
      <c r="G451" s="280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8" t="s">
        <v>45</v>
      </c>
      <c r="E452" s="279" t="s">
        <v>8</v>
      </c>
      <c r="F452" s="280">
        <v>7290</v>
      </c>
      <c r="G452" s="280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8" t="s">
        <v>45</v>
      </c>
      <c r="E453" s="279" t="s">
        <v>8</v>
      </c>
      <c r="F453" s="280">
        <v>4500</v>
      </c>
      <c r="G453" s="280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8" t="s">
        <v>45</v>
      </c>
      <c r="E454" s="279" t="s">
        <v>8</v>
      </c>
      <c r="F454" s="280">
        <v>106300</v>
      </c>
      <c r="G454" s="280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8" t="s">
        <v>45</v>
      </c>
      <c r="E455" s="279" t="s">
        <v>8</v>
      </c>
      <c r="F455" s="280">
        <v>116800</v>
      </c>
      <c r="G455" s="280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8" t="s">
        <v>45</v>
      </c>
      <c r="E456" s="279" t="s">
        <v>8</v>
      </c>
      <c r="F456" s="280">
        <v>11400</v>
      </c>
      <c r="G456" s="280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8" t="s">
        <v>45</v>
      </c>
      <c r="E457" s="279" t="s">
        <v>8</v>
      </c>
      <c r="F457" s="280">
        <v>29600</v>
      </c>
      <c r="G457" s="280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8" t="s">
        <v>45</v>
      </c>
      <c r="E458" s="279" t="s">
        <v>8</v>
      </c>
      <c r="F458" s="280">
        <v>290142</v>
      </c>
      <c r="G458" s="280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8" t="s">
        <v>45</v>
      </c>
      <c r="E459" s="279" t="s">
        <v>8</v>
      </c>
      <c r="F459" s="280">
        <v>265680</v>
      </c>
      <c r="G459" s="280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8" t="s">
        <v>45</v>
      </c>
      <c r="E460" s="279" t="s">
        <v>8</v>
      </c>
      <c r="F460" s="280">
        <v>265680</v>
      </c>
      <c r="G460" s="280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8" t="s">
        <v>45</v>
      </c>
      <c r="E461" s="279" t="s">
        <v>8</v>
      </c>
      <c r="F461" s="280">
        <v>20898</v>
      </c>
      <c r="G461" s="280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8" t="s">
        <v>45</v>
      </c>
      <c r="E462" s="279" t="s">
        <v>8</v>
      </c>
      <c r="F462" s="280">
        <v>20700</v>
      </c>
      <c r="G462" s="280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8" t="s">
        <v>45</v>
      </c>
      <c r="E463" s="279" t="s">
        <v>8</v>
      </c>
      <c r="F463" s="280">
        <v>13600</v>
      </c>
      <c r="G463" s="280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8" t="s">
        <v>45</v>
      </c>
      <c r="E464" s="279" t="s">
        <v>8</v>
      </c>
      <c r="F464" s="280">
        <v>27900</v>
      </c>
      <c r="G464" s="280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8" t="s">
        <v>45</v>
      </c>
      <c r="E465" s="279" t="s">
        <v>8</v>
      </c>
      <c r="F465" s="280">
        <v>27815</v>
      </c>
      <c r="G465" s="280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8" t="s">
        <v>45</v>
      </c>
      <c r="E466" s="279" t="s">
        <v>8</v>
      </c>
      <c r="F466" s="280">
        <v>20800</v>
      </c>
      <c r="G466" s="280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8" t="s">
        <v>45</v>
      </c>
      <c r="E467" s="279" t="s">
        <v>8</v>
      </c>
      <c r="F467" s="280">
        <v>23936</v>
      </c>
      <c r="G467" s="280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8" t="s">
        <v>45</v>
      </c>
      <c r="E468" s="279" t="s">
        <v>8</v>
      </c>
      <c r="F468" s="280">
        <v>31590</v>
      </c>
      <c r="G468" s="280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8" t="s">
        <v>45</v>
      </c>
      <c r="E469" s="279" t="s">
        <v>8</v>
      </c>
      <c r="F469" s="280">
        <v>32500</v>
      </c>
      <c r="G469" s="280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8" t="s">
        <v>45</v>
      </c>
      <c r="E470" s="279" t="s">
        <v>8</v>
      </c>
      <c r="F470" s="280">
        <v>47300</v>
      </c>
      <c r="G470" s="280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8" t="s">
        <v>45</v>
      </c>
      <c r="E471" s="279" t="s">
        <v>8</v>
      </c>
      <c r="F471" s="280">
        <v>61560</v>
      </c>
      <c r="G471" s="280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8" t="s">
        <v>45</v>
      </c>
      <c r="E472" s="279" t="s">
        <v>8</v>
      </c>
      <c r="F472" s="280">
        <v>79056</v>
      </c>
      <c r="G472" s="280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8" t="s">
        <v>45</v>
      </c>
      <c r="E473" s="279" t="s">
        <v>8</v>
      </c>
      <c r="F473" s="280">
        <v>81984</v>
      </c>
      <c r="G473" s="280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8" t="s">
        <v>45</v>
      </c>
      <c r="E474" s="279" t="s">
        <v>8</v>
      </c>
      <c r="F474" s="280">
        <v>7320</v>
      </c>
      <c r="G474" s="280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8" t="s">
        <v>45</v>
      </c>
      <c r="E475" s="279" t="s">
        <v>8</v>
      </c>
      <c r="F475" s="280">
        <v>8784</v>
      </c>
      <c r="G475" s="280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8" t="s">
        <v>45</v>
      </c>
      <c r="E476" s="279" t="s">
        <v>8</v>
      </c>
      <c r="F476" s="280">
        <v>52704</v>
      </c>
      <c r="G476" s="280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8" t="s">
        <v>45</v>
      </c>
      <c r="E477" s="279" t="s">
        <v>8</v>
      </c>
      <c r="F477" s="280">
        <v>67344</v>
      </c>
      <c r="G477" s="280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8" t="s">
        <v>45</v>
      </c>
      <c r="E478" s="279" t="s">
        <v>8</v>
      </c>
      <c r="F478" s="280">
        <v>40000</v>
      </c>
      <c r="G478" s="280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8" t="s">
        <v>45</v>
      </c>
      <c r="E479" s="279" t="s">
        <v>8</v>
      </c>
      <c r="F479" s="280">
        <v>150000</v>
      </c>
      <c r="G479" s="280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8" t="s">
        <v>45</v>
      </c>
      <c r="E480" s="279" t="s">
        <v>8</v>
      </c>
      <c r="F480" s="280">
        <v>4212</v>
      </c>
      <c r="G480" s="280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8" t="s">
        <v>45</v>
      </c>
      <c r="E481" s="279" t="s">
        <v>8</v>
      </c>
      <c r="F481" s="280">
        <v>50000</v>
      </c>
      <c r="G481" s="280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8" t="s">
        <v>45</v>
      </c>
      <c r="E482" s="279" t="s">
        <v>8</v>
      </c>
      <c r="F482" s="280">
        <v>32500</v>
      </c>
      <c r="G482" s="280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8" t="s">
        <v>45</v>
      </c>
      <c r="E483" s="279" t="s">
        <v>8</v>
      </c>
      <c r="F483" s="280">
        <v>37500</v>
      </c>
      <c r="G483" s="280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8" t="s">
        <v>45</v>
      </c>
      <c r="E484" s="279" t="s">
        <v>8</v>
      </c>
      <c r="F484" s="280">
        <v>47800</v>
      </c>
      <c r="G484" s="280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8" t="s">
        <v>45</v>
      </c>
      <c r="E485" s="279" t="s">
        <v>8</v>
      </c>
      <c r="F485" s="280">
        <v>52500</v>
      </c>
      <c r="G485" s="280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8" t="s">
        <v>45</v>
      </c>
      <c r="E486" s="279" t="s">
        <v>8</v>
      </c>
      <c r="F486" s="280">
        <v>63500</v>
      </c>
      <c r="G486" s="280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8" t="s">
        <v>45</v>
      </c>
      <c r="E487" s="279" t="s">
        <v>8</v>
      </c>
      <c r="F487" s="280">
        <v>67500</v>
      </c>
      <c r="G487" s="280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8" t="s">
        <v>45</v>
      </c>
      <c r="E488" s="279" t="s">
        <v>8</v>
      </c>
      <c r="F488" s="280">
        <v>53000</v>
      </c>
      <c r="G488" s="280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8" t="s">
        <v>45</v>
      </c>
      <c r="E489" s="279" t="s">
        <v>8</v>
      </c>
      <c r="F489" s="280">
        <v>34000</v>
      </c>
      <c r="G489" s="280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8" t="s">
        <v>45</v>
      </c>
      <c r="E490" s="279" t="s">
        <v>8</v>
      </c>
      <c r="F490" s="280">
        <v>39500</v>
      </c>
      <c r="G490" s="280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8" t="s">
        <v>45</v>
      </c>
      <c r="E491" s="279" t="s">
        <v>8</v>
      </c>
      <c r="F491" s="280">
        <v>41900</v>
      </c>
      <c r="G491" s="280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8" t="s">
        <v>45</v>
      </c>
      <c r="E492" s="279" t="s">
        <v>8</v>
      </c>
      <c r="F492" s="280">
        <v>44400</v>
      </c>
      <c r="G492" s="280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8" t="s">
        <v>45</v>
      </c>
      <c r="E493" s="279" t="s">
        <v>8</v>
      </c>
      <c r="F493" s="280">
        <v>61800</v>
      </c>
      <c r="G493" s="280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8" t="s">
        <v>45</v>
      </c>
      <c r="E494" s="279" t="s">
        <v>8</v>
      </c>
      <c r="F494" s="280">
        <v>68600</v>
      </c>
      <c r="G494" s="280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8" t="s">
        <v>45</v>
      </c>
      <c r="E495" s="279" t="s">
        <v>8</v>
      </c>
      <c r="F495" s="280">
        <v>68600</v>
      </c>
      <c r="G495" s="280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8" t="s">
        <v>45</v>
      </c>
      <c r="E496" s="279" t="s">
        <v>8</v>
      </c>
      <c r="F496" s="280">
        <v>29600</v>
      </c>
      <c r="G496" s="280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8" t="s">
        <v>45</v>
      </c>
      <c r="E497" s="279" t="s">
        <v>8</v>
      </c>
      <c r="F497" s="280">
        <v>34500</v>
      </c>
      <c r="G497" s="280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8" t="s">
        <v>45</v>
      </c>
      <c r="E498" s="279" t="s">
        <v>8</v>
      </c>
      <c r="F498" s="280">
        <v>44800</v>
      </c>
      <c r="G498" s="280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8" t="s">
        <v>45</v>
      </c>
      <c r="E499" s="279" t="s">
        <v>8</v>
      </c>
      <c r="F499" s="280">
        <v>49500</v>
      </c>
      <c r="G499" s="280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8" t="s">
        <v>45</v>
      </c>
      <c r="E500" s="279" t="s">
        <v>8</v>
      </c>
      <c r="F500" s="280">
        <v>57690</v>
      </c>
      <c r="G500" s="280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8" t="s">
        <v>45</v>
      </c>
      <c r="E501" s="279" t="s">
        <v>8</v>
      </c>
      <c r="F501" s="280">
        <v>60300</v>
      </c>
      <c r="G501" s="280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8" t="s">
        <v>45</v>
      </c>
      <c r="E502" s="279" t="s">
        <v>8</v>
      </c>
      <c r="F502" s="280">
        <v>39900</v>
      </c>
      <c r="G502" s="280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8" t="s">
        <v>45</v>
      </c>
      <c r="E503" s="279" t="s">
        <v>8</v>
      </c>
      <c r="F503" s="280">
        <v>34500</v>
      </c>
      <c r="G503" s="280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8" t="s">
        <v>45</v>
      </c>
      <c r="E504" s="279" t="s">
        <v>8</v>
      </c>
      <c r="F504" s="280">
        <v>37000</v>
      </c>
      <c r="G504" s="280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8" t="s">
        <v>45</v>
      </c>
      <c r="E505" s="279" t="s">
        <v>8</v>
      </c>
      <c r="F505" s="280">
        <v>39500</v>
      </c>
      <c r="G505" s="280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8" t="s">
        <v>45</v>
      </c>
      <c r="E506" s="279" t="s">
        <v>8</v>
      </c>
      <c r="F506" s="280">
        <v>41900</v>
      </c>
      <c r="G506" s="280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8" t="s">
        <v>45</v>
      </c>
      <c r="E507" s="279" t="s">
        <v>8</v>
      </c>
      <c r="F507" s="280">
        <v>51100</v>
      </c>
      <c r="G507" s="280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8" t="s">
        <v>45</v>
      </c>
      <c r="E508" s="279" t="s">
        <v>8</v>
      </c>
      <c r="F508" s="280">
        <v>51800</v>
      </c>
      <c r="G508" s="280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8" t="s">
        <v>45</v>
      </c>
      <c r="E509" s="279" t="s">
        <v>8</v>
      </c>
      <c r="F509" s="280">
        <v>51800</v>
      </c>
      <c r="G509" s="280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8" t="s">
        <v>45</v>
      </c>
      <c r="E510" s="279" t="s">
        <v>8</v>
      </c>
      <c r="F510" s="280">
        <v>75420</v>
      </c>
      <c r="G510" s="280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8" t="s">
        <v>45</v>
      </c>
      <c r="E511" s="279" t="s">
        <v>8</v>
      </c>
      <c r="F511" s="280">
        <v>118440</v>
      </c>
      <c r="G511" s="280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8" t="s">
        <v>45</v>
      </c>
      <c r="E512" s="279" t="s">
        <v>8</v>
      </c>
      <c r="F512" s="280">
        <v>136980</v>
      </c>
      <c r="G512" s="280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8" t="s">
        <v>45</v>
      </c>
      <c r="E513" s="279" t="s">
        <v>8</v>
      </c>
      <c r="F513" s="280">
        <v>172350</v>
      </c>
      <c r="G513" s="280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8" t="s">
        <v>45</v>
      </c>
      <c r="E514" s="279" t="s">
        <v>8</v>
      </c>
      <c r="F514" s="280">
        <v>180000</v>
      </c>
      <c r="G514" s="280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8" t="s">
        <v>45</v>
      </c>
      <c r="E515" s="279" t="s">
        <v>8</v>
      </c>
      <c r="F515" s="280">
        <v>135800</v>
      </c>
      <c r="G515" s="280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8" t="s">
        <v>45</v>
      </c>
      <c r="E516" s="279" t="s">
        <v>8</v>
      </c>
      <c r="F516" s="280">
        <v>104200</v>
      </c>
      <c r="G516" s="280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8" t="s">
        <v>45</v>
      </c>
      <c r="E517" s="279" t="s">
        <v>8</v>
      </c>
      <c r="F517" s="280">
        <v>16000</v>
      </c>
      <c r="G517" s="280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8" t="s">
        <v>45</v>
      </c>
      <c r="E518" s="279" t="s">
        <v>8</v>
      </c>
      <c r="F518" s="280">
        <v>118530</v>
      </c>
      <c r="G518" s="280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5" t="s">
        <v>474</v>
      </c>
      <c r="D519" s="278" t="s">
        <v>45</v>
      </c>
      <c r="E519" s="279" t="s">
        <v>8</v>
      </c>
      <c r="F519" s="280">
        <v>3711.24</v>
      </c>
      <c r="G519" s="280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8" t="s">
        <v>45</v>
      </c>
      <c r="E520" s="279" t="s">
        <v>8</v>
      </c>
      <c r="F520" s="280">
        <v>28000</v>
      </c>
      <c r="G520" s="280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8" t="s">
        <v>45</v>
      </c>
      <c r="E521" s="279" t="s">
        <v>8</v>
      </c>
      <c r="F521" s="280">
        <v>33501.866666666669</v>
      </c>
      <c r="G521" s="280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8" t="s">
        <v>45</v>
      </c>
      <c r="E522" s="279" t="s">
        <v>7</v>
      </c>
      <c r="F522" s="280">
        <v>23310</v>
      </c>
      <c r="G522" s="280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8" t="s">
        <v>45</v>
      </c>
      <c r="E523" s="279" t="s">
        <v>8</v>
      </c>
      <c r="F523" s="280">
        <v>129000</v>
      </c>
      <c r="G523" s="280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8" t="s">
        <v>45</v>
      </c>
      <c r="E524" s="279" t="s">
        <v>8</v>
      </c>
      <c r="F524" s="280">
        <v>145400</v>
      </c>
      <c r="G524" s="280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8" t="s">
        <v>45</v>
      </c>
      <c r="E525" s="279" t="s">
        <v>8</v>
      </c>
      <c r="F525" s="280">
        <v>351751.73281450948</v>
      </c>
      <c r="G525" s="280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8" t="s">
        <v>45</v>
      </c>
      <c r="E526" s="279" t="s">
        <v>8</v>
      </c>
      <c r="F526" s="280">
        <v>250000</v>
      </c>
      <c r="G526" s="280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8" t="s">
        <v>45</v>
      </c>
      <c r="E527" s="279" t="s">
        <v>8</v>
      </c>
      <c r="F527" s="280">
        <v>485097.76536861184</v>
      </c>
      <c r="G527" s="280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8" t="s">
        <v>45</v>
      </c>
      <c r="E528" s="279" t="s">
        <v>8</v>
      </c>
      <c r="F528" s="280">
        <v>423009.82499999995</v>
      </c>
      <c r="G528" s="280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8" t="s">
        <v>45</v>
      </c>
      <c r="E529" s="279" t="s">
        <v>8</v>
      </c>
      <c r="F529" s="280">
        <v>302149.875</v>
      </c>
      <c r="G529" s="280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8" t="s">
        <v>45</v>
      </c>
      <c r="E530" s="279" t="s">
        <v>8</v>
      </c>
      <c r="F530" s="280">
        <v>335990.66099999991</v>
      </c>
      <c r="G530" s="280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8" t="s">
        <v>45</v>
      </c>
      <c r="E531" s="279" t="s">
        <v>8</v>
      </c>
      <c r="F531" s="280">
        <v>2300</v>
      </c>
      <c r="G531" s="280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8" t="s">
        <v>45</v>
      </c>
      <c r="E532" s="279" t="s">
        <v>8</v>
      </c>
      <c r="F532" s="280">
        <v>88000</v>
      </c>
      <c r="G532" s="280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8" t="s">
        <v>45</v>
      </c>
      <c r="E533" s="279" t="s">
        <v>8</v>
      </c>
      <c r="F533" s="280">
        <v>72400</v>
      </c>
      <c r="G533" s="280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8" t="s">
        <v>45</v>
      </c>
      <c r="E534" s="279" t="s">
        <v>8</v>
      </c>
      <c r="F534" s="280">
        <v>123500</v>
      </c>
      <c r="G534" s="280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8" t="s">
        <v>45</v>
      </c>
      <c r="E535" s="279" t="s">
        <v>8</v>
      </c>
      <c r="F535" s="280">
        <v>225000</v>
      </c>
      <c r="G535" s="280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8" t="s">
        <v>45</v>
      </c>
      <c r="E536" s="279" t="s">
        <v>8</v>
      </c>
      <c r="F536" s="280">
        <v>71000</v>
      </c>
      <c r="G536" s="280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8" t="s">
        <v>45</v>
      </c>
      <c r="E537" s="279" t="s">
        <v>8</v>
      </c>
      <c r="F537" s="280">
        <v>36000</v>
      </c>
      <c r="G537" s="280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8" t="s">
        <v>45</v>
      </c>
      <c r="E538" s="279" t="s">
        <v>8</v>
      </c>
      <c r="F538" s="280">
        <v>17820</v>
      </c>
      <c r="G538" s="280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8" t="s">
        <v>45</v>
      </c>
      <c r="E539" s="279" t="s">
        <v>8</v>
      </c>
      <c r="F539" s="280">
        <v>22900</v>
      </c>
      <c r="G539" s="280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8" t="s">
        <v>45</v>
      </c>
      <c r="E540" s="279" t="s">
        <v>8</v>
      </c>
      <c r="F540" s="280">
        <v>30800</v>
      </c>
      <c r="G540" s="280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8" t="s">
        <v>45</v>
      </c>
      <c r="E541" s="279" t="s">
        <v>8</v>
      </c>
      <c r="F541" s="280">
        <v>33900</v>
      </c>
      <c r="G541" s="280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8" t="s">
        <v>45</v>
      </c>
      <c r="E542" s="279" t="s">
        <v>8</v>
      </c>
      <c r="F542" s="280">
        <v>30800</v>
      </c>
      <c r="G542" s="280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8" t="s">
        <v>45</v>
      </c>
      <c r="E543" s="279" t="s">
        <v>8</v>
      </c>
      <c r="F543" s="280">
        <v>33900</v>
      </c>
      <c r="G543" s="280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8" t="s">
        <v>45</v>
      </c>
      <c r="E544" s="279" t="s">
        <v>8</v>
      </c>
      <c r="F544" s="280">
        <v>12510</v>
      </c>
      <c r="G544" s="280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8" t="s">
        <v>45</v>
      </c>
      <c r="E545" s="279" t="s">
        <v>8</v>
      </c>
      <c r="F545" s="280">
        <v>15500</v>
      </c>
      <c r="G545" s="280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8" t="s">
        <v>45</v>
      </c>
      <c r="E546" s="279" t="s">
        <v>8</v>
      </c>
      <c r="F546" s="280">
        <v>19500</v>
      </c>
      <c r="G546" s="280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8" t="s">
        <v>45</v>
      </c>
      <c r="E547" s="279" t="s">
        <v>8</v>
      </c>
      <c r="F547" s="280">
        <v>28400</v>
      </c>
      <c r="G547" s="280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8" t="s">
        <v>45</v>
      </c>
      <c r="E548" s="279" t="s">
        <v>8</v>
      </c>
      <c r="F548" s="280">
        <v>28314</v>
      </c>
      <c r="G548" s="280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8" t="s">
        <v>45</v>
      </c>
      <c r="E549" s="279" t="s">
        <v>8</v>
      </c>
      <c r="F549" s="280">
        <v>3510</v>
      </c>
      <c r="G549" s="280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8" t="s">
        <v>45</v>
      </c>
      <c r="E550" s="279" t="s">
        <v>8</v>
      </c>
      <c r="F550" s="280">
        <v>2100</v>
      </c>
      <c r="G550" s="280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8" t="s">
        <v>45</v>
      </c>
      <c r="E551" s="279" t="s">
        <v>8</v>
      </c>
      <c r="F551" s="280">
        <v>40000</v>
      </c>
      <c r="G551" s="280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8" t="s">
        <v>45</v>
      </c>
      <c r="E552" s="279" t="s">
        <v>7</v>
      </c>
      <c r="F552" s="280">
        <v>8550</v>
      </c>
      <c r="G552" s="280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8" t="s">
        <v>45</v>
      </c>
      <c r="E553" s="279" t="s">
        <v>8</v>
      </c>
      <c r="F553" s="280">
        <v>45000</v>
      </c>
      <c r="G553" s="280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8" t="s">
        <v>45</v>
      </c>
      <c r="E554" s="279" t="s">
        <v>8</v>
      </c>
      <c r="F554" s="280">
        <v>2500</v>
      </c>
      <c r="G554" s="280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8" t="s">
        <v>45</v>
      </c>
      <c r="E555" s="279" t="s">
        <v>8</v>
      </c>
      <c r="F555" s="280">
        <v>2500</v>
      </c>
      <c r="G555" s="280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8" t="s">
        <v>48</v>
      </c>
      <c r="E556" s="279"/>
      <c r="F556" s="280"/>
      <c r="G556" s="280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8" t="s">
        <v>48</v>
      </c>
      <c r="E557" s="279"/>
      <c r="F557" s="280"/>
      <c r="G557" s="280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8" t="s">
        <v>45</v>
      </c>
      <c r="E558" s="279" t="s">
        <v>24</v>
      </c>
      <c r="F558" s="280">
        <v>5950800</v>
      </c>
      <c r="G558" s="280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8" t="s">
        <v>45</v>
      </c>
      <c r="E559" s="279" t="s">
        <v>24</v>
      </c>
      <c r="F559" s="280">
        <v>5950800</v>
      </c>
      <c r="G559" s="280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8" t="s">
        <v>45</v>
      </c>
      <c r="E560" s="279" t="s">
        <v>24</v>
      </c>
      <c r="F560" s="280">
        <v>5950800</v>
      </c>
      <c r="G560" s="280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8" t="s">
        <v>45</v>
      </c>
      <c r="E561" s="279" t="s">
        <v>24</v>
      </c>
      <c r="F561" s="280">
        <v>6374600</v>
      </c>
      <c r="G561" s="280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8" t="s">
        <v>45</v>
      </c>
      <c r="E562" s="279" t="s">
        <v>24</v>
      </c>
      <c r="F562" s="280">
        <v>6374600</v>
      </c>
      <c r="G562" s="280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8" t="s">
        <v>45</v>
      </c>
      <c r="E563" s="279" t="s">
        <v>24</v>
      </c>
      <c r="F563" s="280">
        <v>6374600</v>
      </c>
      <c r="G563" s="280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8" t="s">
        <v>45</v>
      </c>
      <c r="E564" s="279" t="s">
        <v>24</v>
      </c>
      <c r="F564" s="280">
        <v>6374600</v>
      </c>
      <c r="G564" s="280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8" t="s">
        <v>45</v>
      </c>
      <c r="E565" s="279" t="s">
        <v>24</v>
      </c>
      <c r="F565" s="280">
        <v>4927200</v>
      </c>
      <c r="G565" s="280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8" t="s">
        <v>45</v>
      </c>
      <c r="E566" s="279" t="s">
        <v>24</v>
      </c>
      <c r="F566" s="280">
        <v>4927200</v>
      </c>
      <c r="G566" s="280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8" t="s">
        <v>45</v>
      </c>
      <c r="E567" s="279" t="s">
        <v>24</v>
      </c>
      <c r="F567" s="280">
        <v>4927200</v>
      </c>
      <c r="G567" s="280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8" t="s">
        <v>45</v>
      </c>
      <c r="E568" s="279" t="s">
        <v>24</v>
      </c>
      <c r="F568" s="280">
        <v>5602300</v>
      </c>
      <c r="G568" s="280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8" t="s">
        <v>45</v>
      </c>
      <c r="E569" s="279" t="s">
        <v>24</v>
      </c>
      <c r="F569" s="280">
        <v>5602300</v>
      </c>
      <c r="G569" s="280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8" t="s">
        <v>45</v>
      </c>
      <c r="E570" s="279" t="s">
        <v>24</v>
      </c>
      <c r="F570" s="280">
        <v>5602300</v>
      </c>
      <c r="G570" s="280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8" t="s">
        <v>45</v>
      </c>
      <c r="E571" s="279" t="s">
        <v>24</v>
      </c>
      <c r="F571" s="280">
        <v>5529300</v>
      </c>
      <c r="G571" s="280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8" t="s">
        <v>45</v>
      </c>
      <c r="E572" s="279" t="s">
        <v>24</v>
      </c>
      <c r="F572" s="280">
        <v>5529300</v>
      </c>
      <c r="G572" s="280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8" t="s">
        <v>45</v>
      </c>
      <c r="E573" s="279" t="s">
        <v>24</v>
      </c>
      <c r="F573" s="280">
        <v>5529300</v>
      </c>
      <c r="G573" s="280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8" t="s">
        <v>45</v>
      </c>
      <c r="E574" s="279" t="s">
        <v>24</v>
      </c>
      <c r="F574" s="280">
        <v>5030000</v>
      </c>
      <c r="G574" s="280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8" t="s">
        <v>45</v>
      </c>
      <c r="E575" s="279" t="s">
        <v>24</v>
      </c>
      <c r="F575" s="280">
        <v>7223500</v>
      </c>
      <c r="G575" s="280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8" t="s">
        <v>45</v>
      </c>
      <c r="E576" s="279" t="s">
        <v>24</v>
      </c>
      <c r="F576" s="282">
        <v>7275900</v>
      </c>
      <c r="G576" s="282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8" t="s">
        <v>45</v>
      </c>
      <c r="E577" s="279" t="s">
        <v>24</v>
      </c>
      <c r="F577" s="280">
        <v>7275900</v>
      </c>
      <c r="G577" s="280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8" t="s">
        <v>45</v>
      </c>
      <c r="E578" s="279" t="s">
        <v>24</v>
      </c>
      <c r="F578" s="280">
        <v>5224600</v>
      </c>
      <c r="G578" s="280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8" t="s">
        <v>45</v>
      </c>
      <c r="E579" s="279" t="s">
        <v>24</v>
      </c>
      <c r="F579" s="280">
        <v>5224600</v>
      </c>
      <c r="G579" s="280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8" t="s">
        <v>45</v>
      </c>
      <c r="E580" s="279" t="s">
        <v>24</v>
      </c>
      <c r="F580" s="280">
        <v>2857700</v>
      </c>
      <c r="G580" s="280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8" t="s">
        <v>45</v>
      </c>
      <c r="E581" s="279" t="s">
        <v>24</v>
      </c>
      <c r="F581" s="280">
        <v>2857700</v>
      </c>
      <c r="G581" s="280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8" t="s">
        <v>45</v>
      </c>
      <c r="E582" s="279" t="s">
        <v>24</v>
      </c>
      <c r="F582" s="280">
        <v>3401800</v>
      </c>
      <c r="G582" s="280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8" t="s">
        <v>45</v>
      </c>
      <c r="E583" s="279" t="s">
        <v>24</v>
      </c>
      <c r="F583" s="280">
        <v>2935500</v>
      </c>
      <c r="G583" s="280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8" t="s">
        <v>45</v>
      </c>
      <c r="E584" s="279" t="s">
        <v>24</v>
      </c>
      <c r="F584" s="280">
        <v>4180700</v>
      </c>
      <c r="G584" s="280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8" t="s">
        <v>45</v>
      </c>
      <c r="E585" s="279" t="s">
        <v>24</v>
      </c>
      <c r="F585" s="280">
        <v>7316100</v>
      </c>
      <c r="G585" s="280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8" t="s">
        <v>45</v>
      </c>
      <c r="E586" s="279" t="s">
        <v>8</v>
      </c>
      <c r="F586" s="280">
        <v>34800</v>
      </c>
      <c r="G586" s="280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8" t="s">
        <v>45</v>
      </c>
      <c r="E587" s="279" t="s">
        <v>8</v>
      </c>
      <c r="F587" s="280">
        <v>11200</v>
      </c>
      <c r="G587" s="280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8" t="s">
        <v>45</v>
      </c>
      <c r="E588" s="279" t="s">
        <v>8</v>
      </c>
      <c r="F588" s="280">
        <v>6100</v>
      </c>
      <c r="G588" s="280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8" t="s">
        <v>45</v>
      </c>
      <c r="E589" s="279" t="s">
        <v>8</v>
      </c>
      <c r="F589" s="280">
        <v>18200</v>
      </c>
      <c r="G589" s="280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8" t="s">
        <v>45</v>
      </c>
      <c r="E590" s="279" t="s">
        <v>8</v>
      </c>
      <c r="F590" s="280">
        <v>83900</v>
      </c>
      <c r="G590" s="280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8" t="s">
        <v>45</v>
      </c>
      <c r="E591" s="279" t="s">
        <v>8</v>
      </c>
      <c r="F591" s="280">
        <v>148000</v>
      </c>
      <c r="G591" s="280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8" t="s">
        <v>45</v>
      </c>
      <c r="E592" s="279" t="s">
        <v>8</v>
      </c>
      <c r="F592" s="280">
        <v>1000000</v>
      </c>
      <c r="G592" s="280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8" t="s">
        <v>45</v>
      </c>
      <c r="E593" s="279" t="s">
        <v>8</v>
      </c>
      <c r="F593" s="280">
        <v>22500</v>
      </c>
      <c r="G593" s="280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8" t="s">
        <v>45</v>
      </c>
      <c r="E594" s="279" t="s">
        <v>8</v>
      </c>
      <c r="F594" s="280">
        <v>8000</v>
      </c>
      <c r="G594" s="280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8" t="s">
        <v>45</v>
      </c>
      <c r="E595" s="279" t="s">
        <v>8</v>
      </c>
      <c r="F595" s="280">
        <v>3700</v>
      </c>
      <c r="G595" s="280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8" t="s">
        <v>45</v>
      </c>
      <c r="E596" s="279" t="s">
        <v>8</v>
      </c>
      <c r="F596" s="280">
        <v>200000</v>
      </c>
      <c r="G596" s="280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8" t="s">
        <v>48</v>
      </c>
      <c r="E597" s="279"/>
      <c r="F597" s="280"/>
      <c r="G597" s="280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8" t="s">
        <v>48</v>
      </c>
      <c r="E598" s="279"/>
      <c r="F598" s="280"/>
      <c r="G598" s="280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8" t="s">
        <v>45</v>
      </c>
      <c r="E599" s="279" t="s">
        <v>1090</v>
      </c>
      <c r="F599" s="280">
        <v>200000</v>
      </c>
      <c r="G599" s="280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8" t="s">
        <v>45</v>
      </c>
      <c r="E600" s="279" t="s">
        <v>1090</v>
      </c>
      <c r="F600" s="280">
        <v>2172500</v>
      </c>
      <c r="G600" s="280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8" t="s">
        <v>45</v>
      </c>
      <c r="E601" s="279" t="s">
        <v>1090</v>
      </c>
      <c r="F601" s="280">
        <v>700000</v>
      </c>
      <c r="G601" s="280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8" t="s">
        <v>45</v>
      </c>
      <c r="E602" s="279" t="s">
        <v>1090</v>
      </c>
      <c r="F602" s="280">
        <v>490000</v>
      </c>
      <c r="G602" s="280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8" t="s">
        <v>45</v>
      </c>
      <c r="E603" s="279" t="s">
        <v>1090</v>
      </c>
      <c r="F603" s="280">
        <v>224000</v>
      </c>
      <c r="G603" s="280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8" t="s">
        <v>45</v>
      </c>
      <c r="E604" s="279" t="s">
        <v>14</v>
      </c>
      <c r="F604" s="280">
        <v>15000</v>
      </c>
      <c r="G604" s="280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8" t="s">
        <v>45</v>
      </c>
      <c r="E605" s="279" t="s">
        <v>1090</v>
      </c>
      <c r="F605" s="280">
        <v>1510245</v>
      </c>
      <c r="G605" s="280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8" t="s">
        <v>48</v>
      </c>
      <c r="E606" s="279"/>
      <c r="F606" s="280"/>
      <c r="G606" s="280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8" t="s">
        <v>48</v>
      </c>
      <c r="E607" s="279"/>
      <c r="F607" s="280"/>
      <c r="G607" s="280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8" t="s">
        <v>45</v>
      </c>
      <c r="E608" s="279" t="s">
        <v>8</v>
      </c>
      <c r="F608" s="280">
        <v>16226</v>
      </c>
      <c r="G608" s="280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8" t="s">
        <v>45</v>
      </c>
      <c r="E609" s="279" t="s">
        <v>8</v>
      </c>
      <c r="F609" s="280">
        <v>19947</v>
      </c>
      <c r="G609" s="280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8" t="s">
        <v>45</v>
      </c>
      <c r="E610" s="279" t="s">
        <v>8</v>
      </c>
      <c r="F610" s="280">
        <v>26711.899999999998</v>
      </c>
      <c r="G610" s="280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8" t="s">
        <v>45</v>
      </c>
      <c r="E611" s="279" t="s">
        <v>8</v>
      </c>
      <c r="F611" s="280">
        <v>84820.5</v>
      </c>
      <c r="G611" s="280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8" t="s">
        <v>45</v>
      </c>
      <c r="E612" s="279" t="s">
        <v>8</v>
      </c>
      <c r="F612" s="280">
        <v>33550</v>
      </c>
      <c r="G612" s="280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8" t="s">
        <v>45</v>
      </c>
      <c r="E613" s="279" t="s">
        <v>8</v>
      </c>
      <c r="F613" s="280">
        <v>16833.560000000001</v>
      </c>
      <c r="G613" s="280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8" t="s">
        <v>45</v>
      </c>
      <c r="E614" s="279" t="s">
        <v>8</v>
      </c>
      <c r="F614" s="280">
        <v>72742.5</v>
      </c>
      <c r="G614" s="280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8" t="s">
        <v>45</v>
      </c>
      <c r="E615" s="279" t="s">
        <v>8</v>
      </c>
      <c r="F615" s="280">
        <v>45445</v>
      </c>
      <c r="G615" s="280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8" t="s">
        <v>45</v>
      </c>
      <c r="E616" s="279" t="s">
        <v>8</v>
      </c>
      <c r="F616" s="280">
        <v>84820.5</v>
      </c>
      <c r="G616" s="280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8" t="s">
        <v>45</v>
      </c>
      <c r="E617" s="279" t="s">
        <v>8</v>
      </c>
      <c r="F617" s="280">
        <v>53866.659999999996</v>
      </c>
      <c r="G617" s="280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8" t="s">
        <v>45</v>
      </c>
      <c r="E618" s="279" t="s">
        <v>8</v>
      </c>
      <c r="F618" s="280">
        <v>38499.54</v>
      </c>
      <c r="G618" s="280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8" t="s">
        <v>45</v>
      </c>
      <c r="E619" s="279" t="s">
        <v>7</v>
      </c>
      <c r="F619" s="280">
        <v>31720</v>
      </c>
      <c r="G619" s="280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8" t="s">
        <v>45</v>
      </c>
      <c r="E620" s="279" t="s">
        <v>7</v>
      </c>
      <c r="F620" s="280">
        <v>51240</v>
      </c>
      <c r="G620" s="280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8" t="s">
        <v>45</v>
      </c>
      <c r="E621" s="279" t="s">
        <v>8</v>
      </c>
      <c r="F621" s="280">
        <v>3477</v>
      </c>
      <c r="G621" s="280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8" t="s">
        <v>45</v>
      </c>
      <c r="E622" s="279" t="s">
        <v>8</v>
      </c>
      <c r="F622" s="280">
        <v>3477</v>
      </c>
      <c r="G622" s="280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8" t="s">
        <v>45</v>
      </c>
      <c r="E623" s="279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8" t="s">
        <v>45</v>
      </c>
      <c r="E624" s="279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8" t="s">
        <v>45</v>
      </c>
      <c r="E625" s="279" t="s">
        <v>8</v>
      </c>
      <c r="F625" s="280">
        <v>154106.74</v>
      </c>
      <c r="G625" s="280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8" t="s">
        <v>45</v>
      </c>
      <c r="E626" s="279" t="s">
        <v>8</v>
      </c>
      <c r="F626" s="280">
        <v>16226</v>
      </c>
      <c r="G626" s="280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8" t="s">
        <v>45</v>
      </c>
      <c r="E627" s="279" t="s">
        <v>8</v>
      </c>
      <c r="F627" s="280">
        <v>61732</v>
      </c>
      <c r="G627" s="280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8" t="s">
        <v>45</v>
      </c>
      <c r="E628" s="279" t="s">
        <v>8</v>
      </c>
      <c r="F628" s="280">
        <v>34299.08</v>
      </c>
      <c r="G628" s="280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8" t="s">
        <v>45</v>
      </c>
      <c r="E629" s="279" t="s">
        <v>8</v>
      </c>
      <c r="F629" s="280">
        <v>19825</v>
      </c>
      <c r="G629" s="280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8" t="s">
        <v>45</v>
      </c>
      <c r="E630" s="279" t="s">
        <v>8</v>
      </c>
      <c r="F630" s="280">
        <v>5874300</v>
      </c>
      <c r="G630" s="280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8" t="s">
        <v>45</v>
      </c>
      <c r="E631" s="279" t="s">
        <v>8</v>
      </c>
      <c r="F631" s="280">
        <v>23180</v>
      </c>
      <c r="G631" s="280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8" t="s">
        <v>45</v>
      </c>
      <c r="E632" s="279" t="s">
        <v>8</v>
      </c>
      <c r="F632" s="280">
        <v>482893.08</v>
      </c>
      <c r="G632" s="280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8" t="s">
        <v>48</v>
      </c>
      <c r="E633" s="279"/>
      <c r="F633" s="280"/>
      <c r="G633" s="280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8" t="s">
        <v>48</v>
      </c>
      <c r="E634" s="279"/>
      <c r="F634" s="280" t="s">
        <v>48</v>
      </c>
      <c r="G634" s="280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8" t="s">
        <v>48</v>
      </c>
      <c r="E635" s="279"/>
      <c r="F635" s="280" t="s">
        <v>48</v>
      </c>
      <c r="G635" s="280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8" t="s">
        <v>47</v>
      </c>
      <c r="E636" s="279" t="s">
        <v>1121</v>
      </c>
      <c r="F636" s="280">
        <v>300000</v>
      </c>
      <c r="G636" s="280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8" t="s">
        <v>47</v>
      </c>
      <c r="E637" s="279" t="s">
        <v>1122</v>
      </c>
      <c r="F637" s="280">
        <v>95147.5</v>
      </c>
      <c r="G637" s="280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8" t="s">
        <v>47</v>
      </c>
      <c r="E638" s="279" t="s">
        <v>1123</v>
      </c>
      <c r="F638" s="280">
        <v>74125</v>
      </c>
      <c r="G638" s="280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8" t="s">
        <v>47</v>
      </c>
      <c r="E639" s="279" t="s">
        <v>1123</v>
      </c>
      <c r="F639" s="280">
        <v>150000</v>
      </c>
      <c r="G639" s="280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8" t="s">
        <v>45</v>
      </c>
      <c r="E640" s="279" t="s">
        <v>1123</v>
      </c>
      <c r="F640" s="280">
        <v>242999.99999999997</v>
      </c>
      <c r="G640" s="280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8" t="s">
        <v>45</v>
      </c>
      <c r="E641" s="279" t="s">
        <v>1123</v>
      </c>
      <c r="F641" s="280">
        <v>1124962.5</v>
      </c>
      <c r="G641" s="280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8" t="s">
        <v>45</v>
      </c>
      <c r="E642" s="279" t="s">
        <v>1123</v>
      </c>
      <c r="F642" s="280">
        <v>5065452.75</v>
      </c>
      <c r="G642" s="280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8" t="s">
        <v>45</v>
      </c>
      <c r="E643" s="279" t="s">
        <v>1123</v>
      </c>
      <c r="F643" s="280">
        <v>5065452.75</v>
      </c>
      <c r="G643" s="280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8" t="s">
        <v>45</v>
      </c>
      <c r="E644" s="279" t="s">
        <v>1124</v>
      </c>
      <c r="F644" s="280">
        <v>185000</v>
      </c>
      <c r="G644" s="280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8" t="s">
        <v>48</v>
      </c>
      <c r="E645" s="279"/>
      <c r="F645" s="280"/>
      <c r="G645" s="280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8" t="s">
        <v>48</v>
      </c>
      <c r="E646" s="279"/>
      <c r="F646" s="280"/>
      <c r="G646" s="280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8" t="s">
        <v>47</v>
      </c>
      <c r="E647" s="279" t="s">
        <v>7</v>
      </c>
      <c r="F647" s="280">
        <v>200000</v>
      </c>
      <c r="G647" s="280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8" t="s">
        <v>47</v>
      </c>
      <c r="E648" s="279" t="s">
        <v>1123</v>
      </c>
      <c r="F648" s="280">
        <v>230000</v>
      </c>
      <c r="G648" s="280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8" t="s">
        <v>47</v>
      </c>
      <c r="E649" s="279" t="s">
        <v>1123</v>
      </c>
      <c r="F649" s="280">
        <v>55000</v>
      </c>
      <c r="G649" s="280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8" t="s">
        <v>47</v>
      </c>
      <c r="E650" s="279" t="s">
        <v>7</v>
      </c>
      <c r="F650" s="280">
        <v>93000</v>
      </c>
      <c r="G650" s="280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8" t="s">
        <v>47</v>
      </c>
      <c r="E651" s="279" t="s">
        <v>7</v>
      </c>
      <c r="F651" s="280">
        <v>85000</v>
      </c>
      <c r="G651" s="280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8" t="s">
        <v>48</v>
      </c>
      <c r="E652" s="279"/>
      <c r="F652" s="280"/>
      <c r="G652" s="280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8" t="s">
        <v>45</v>
      </c>
      <c r="E653" s="279" t="s">
        <v>8</v>
      </c>
      <c r="F653" s="280">
        <v>12000</v>
      </c>
      <c r="G653" s="280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8" t="s">
        <v>48</v>
      </c>
      <c r="E654" s="279"/>
      <c r="F654" s="280"/>
      <c r="G654" s="280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8" t="s">
        <v>48</v>
      </c>
      <c r="E655" s="279"/>
      <c r="F655" s="280"/>
      <c r="G655" s="280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8" t="s">
        <v>48</v>
      </c>
      <c r="E656" s="279"/>
      <c r="F656" s="280"/>
      <c r="G656" s="280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8" t="s">
        <v>47</v>
      </c>
      <c r="E657" s="279" t="s">
        <v>14</v>
      </c>
      <c r="F657" s="280">
        <v>19800</v>
      </c>
      <c r="G657" s="280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8" t="s">
        <v>47</v>
      </c>
      <c r="E658" s="279" t="s">
        <v>14</v>
      </c>
      <c r="F658" s="280">
        <v>20500</v>
      </c>
      <c r="G658" s="280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8" t="s">
        <v>47</v>
      </c>
      <c r="E659" s="279" t="s">
        <v>14</v>
      </c>
      <c r="F659" s="280">
        <v>27500</v>
      </c>
      <c r="G659" s="280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8" t="s">
        <v>47</v>
      </c>
      <c r="E660" s="279" t="s">
        <v>14</v>
      </c>
      <c r="F660" s="280">
        <v>14900</v>
      </c>
      <c r="G660" s="280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8" t="s">
        <v>47</v>
      </c>
      <c r="E661" s="279" t="s">
        <v>14</v>
      </c>
      <c r="F661" s="280">
        <v>27900</v>
      </c>
      <c r="G661" s="280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8" t="s">
        <v>47</v>
      </c>
      <c r="E662" s="279" t="s">
        <v>14</v>
      </c>
      <c r="F662" s="280">
        <v>33000</v>
      </c>
      <c r="G662" s="280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8" t="s">
        <v>47</v>
      </c>
      <c r="E663" s="279" t="s">
        <v>14</v>
      </c>
      <c r="F663" s="280">
        <v>27900</v>
      </c>
      <c r="G663" s="280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8" t="s">
        <v>47</v>
      </c>
      <c r="E664" s="279" t="s">
        <v>14</v>
      </c>
      <c r="F664" s="280">
        <v>37600</v>
      </c>
      <c r="G664" s="280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8" t="s">
        <v>47</v>
      </c>
      <c r="E665" s="279" t="s">
        <v>14</v>
      </c>
      <c r="F665" s="280">
        <v>27900</v>
      </c>
      <c r="G665" s="280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8" t="s">
        <v>47</v>
      </c>
      <c r="E666" s="279" t="s">
        <v>14</v>
      </c>
      <c r="F666" s="280">
        <v>39800</v>
      </c>
      <c r="G666" s="280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8" t="s">
        <v>47</v>
      </c>
      <c r="E667" s="279" t="s">
        <v>14</v>
      </c>
      <c r="F667" s="280">
        <v>24700</v>
      </c>
      <c r="G667" s="280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8" t="s">
        <v>47</v>
      </c>
      <c r="E668" s="279" t="s">
        <v>14</v>
      </c>
      <c r="F668" s="280">
        <v>33700</v>
      </c>
      <c r="G668" s="280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8" t="s">
        <v>47</v>
      </c>
      <c r="E669" s="279" t="s">
        <v>14</v>
      </c>
      <c r="F669" s="280">
        <v>25800</v>
      </c>
      <c r="G669" s="280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8" t="s">
        <v>47</v>
      </c>
      <c r="E670" s="279" t="s">
        <v>14</v>
      </c>
      <c r="F670" s="280">
        <v>19100</v>
      </c>
      <c r="G670" s="280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8" t="s">
        <v>47</v>
      </c>
      <c r="E671" s="279" t="s">
        <v>14</v>
      </c>
      <c r="F671" s="280">
        <v>19800</v>
      </c>
      <c r="G671" s="280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8" t="s">
        <v>47</v>
      </c>
      <c r="E672" s="279" t="s">
        <v>14</v>
      </c>
      <c r="F672" s="280">
        <v>19800</v>
      </c>
      <c r="G672" s="280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8" t="s">
        <v>47</v>
      </c>
      <c r="E673" s="279" t="s">
        <v>14</v>
      </c>
      <c r="F673" s="280">
        <v>20500</v>
      </c>
      <c r="G673" s="280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8" t="s">
        <v>47</v>
      </c>
      <c r="E674" s="279" t="s">
        <v>14</v>
      </c>
      <c r="F674" s="280">
        <v>20500</v>
      </c>
      <c r="G674" s="280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8" t="s">
        <v>47</v>
      </c>
      <c r="E675" s="279" t="s">
        <v>14</v>
      </c>
      <c r="F675" s="280">
        <v>27500</v>
      </c>
      <c r="G675" s="280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8" t="s">
        <v>47</v>
      </c>
      <c r="E676" s="279" t="s">
        <v>14</v>
      </c>
      <c r="F676" s="280">
        <v>27500</v>
      </c>
      <c r="G676" s="280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8" t="s">
        <v>47</v>
      </c>
      <c r="E677" s="279" t="s">
        <v>14</v>
      </c>
      <c r="F677" s="280">
        <v>22100</v>
      </c>
      <c r="G677" s="280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8" t="s">
        <v>48</v>
      </c>
      <c r="E678" s="279"/>
      <c r="F678" s="280"/>
      <c r="G678" s="280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8" t="s">
        <v>48</v>
      </c>
      <c r="E679" s="279"/>
      <c r="F679" s="280"/>
      <c r="G679" s="280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8" t="s">
        <v>47</v>
      </c>
      <c r="E680" s="279" t="s">
        <v>14</v>
      </c>
      <c r="F680" s="280">
        <v>53200</v>
      </c>
      <c r="G680" s="280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8" t="s">
        <v>47</v>
      </c>
      <c r="E681" s="279" t="s">
        <v>14</v>
      </c>
      <c r="F681" s="280">
        <v>57800</v>
      </c>
      <c r="G681" s="280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8" t="s">
        <v>47</v>
      </c>
      <c r="E682" s="279" t="s">
        <v>14</v>
      </c>
      <c r="F682" s="280">
        <v>57800</v>
      </c>
      <c r="G682" s="280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8" t="s">
        <v>47</v>
      </c>
      <c r="E683" s="279" t="s">
        <v>14</v>
      </c>
      <c r="F683" s="280">
        <v>80100</v>
      </c>
      <c r="G683" s="280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8" t="s">
        <v>47</v>
      </c>
      <c r="E684" s="279" t="s">
        <v>14</v>
      </c>
      <c r="F684" s="280">
        <v>30000</v>
      </c>
      <c r="G684" s="280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8" t="s">
        <v>47</v>
      </c>
      <c r="E685" s="279" t="s">
        <v>14</v>
      </c>
      <c r="F685" s="280">
        <v>80100</v>
      </c>
      <c r="G685" s="280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8" t="s">
        <v>47</v>
      </c>
      <c r="E686" s="279" t="s">
        <v>14</v>
      </c>
      <c r="F686" s="280">
        <v>84000</v>
      </c>
      <c r="G686" s="280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8" t="s">
        <v>47</v>
      </c>
      <c r="E687" s="279" t="s">
        <v>14</v>
      </c>
      <c r="F687" s="280">
        <v>44000</v>
      </c>
      <c r="G687" s="280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8" t="s">
        <v>47</v>
      </c>
      <c r="E688" s="279" t="s">
        <v>14</v>
      </c>
      <c r="F688" s="280">
        <v>70300</v>
      </c>
      <c r="G688" s="280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8" t="s">
        <v>47</v>
      </c>
      <c r="E689" s="279" t="s">
        <v>14</v>
      </c>
      <c r="F689" s="280">
        <v>70300</v>
      </c>
      <c r="G689" s="280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8" t="s">
        <v>47</v>
      </c>
      <c r="E690" s="279" t="s">
        <v>14</v>
      </c>
      <c r="F690" s="280">
        <v>45200</v>
      </c>
      <c r="G690" s="280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8" t="s">
        <v>47</v>
      </c>
      <c r="E691" s="279" t="s">
        <v>14</v>
      </c>
      <c r="F691" s="280">
        <v>80900</v>
      </c>
      <c r="G691" s="280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8" t="s">
        <v>47</v>
      </c>
      <c r="E692" s="279" t="s">
        <v>14</v>
      </c>
      <c r="F692" s="280">
        <v>80900</v>
      </c>
      <c r="G692" s="280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8" t="s">
        <v>47</v>
      </c>
      <c r="E693" s="279" t="s">
        <v>14</v>
      </c>
      <c r="F693" s="280">
        <v>82500</v>
      </c>
      <c r="G693" s="280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8" t="s">
        <v>47</v>
      </c>
      <c r="E694" s="279" t="s">
        <v>14</v>
      </c>
      <c r="F694" s="280">
        <v>42100</v>
      </c>
      <c r="G694" s="280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8" t="s">
        <v>47</v>
      </c>
      <c r="E695" s="279" t="s">
        <v>14</v>
      </c>
      <c r="F695" s="280">
        <v>42100</v>
      </c>
      <c r="G695" s="280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8" t="s">
        <v>47</v>
      </c>
      <c r="E696" s="279" t="s">
        <v>14</v>
      </c>
      <c r="F696" s="280">
        <v>45200</v>
      </c>
      <c r="G696" s="280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8" t="s">
        <v>47</v>
      </c>
      <c r="E697" s="279" t="s">
        <v>14</v>
      </c>
      <c r="F697" s="280">
        <v>45200</v>
      </c>
      <c r="G697" s="280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8" t="s">
        <v>47</v>
      </c>
      <c r="E698" s="279" t="s">
        <v>14</v>
      </c>
      <c r="F698" s="280">
        <v>45200</v>
      </c>
      <c r="G698" s="280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8" t="s">
        <v>47</v>
      </c>
      <c r="E699" s="279" t="s">
        <v>14</v>
      </c>
      <c r="F699" s="280">
        <v>45200</v>
      </c>
      <c r="G699" s="280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8" t="s">
        <v>47</v>
      </c>
      <c r="E700" s="279" t="s">
        <v>14</v>
      </c>
      <c r="F700" s="280">
        <v>40200</v>
      </c>
      <c r="G700" s="280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8" t="s">
        <v>47</v>
      </c>
      <c r="E701" s="279" t="s">
        <v>14</v>
      </c>
      <c r="F701" s="280">
        <v>37200</v>
      </c>
      <c r="G701" s="280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8" t="s">
        <v>47</v>
      </c>
      <c r="E702" s="279" t="s">
        <v>14</v>
      </c>
      <c r="F702" s="280">
        <v>37200</v>
      </c>
      <c r="G702" s="280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8" t="s">
        <v>47</v>
      </c>
      <c r="E703" s="279" t="s">
        <v>14</v>
      </c>
      <c r="F703" s="280">
        <v>37200</v>
      </c>
      <c r="G703" s="280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8" t="s">
        <v>47</v>
      </c>
      <c r="E704" s="279" t="s">
        <v>14</v>
      </c>
      <c r="F704" s="280">
        <v>326300</v>
      </c>
      <c r="G704" s="280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8" t="s">
        <v>47</v>
      </c>
      <c r="E705" s="279" t="s">
        <v>14</v>
      </c>
      <c r="F705" s="280">
        <v>78300</v>
      </c>
      <c r="G705" s="280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8" t="s">
        <v>47</v>
      </c>
      <c r="E706" s="279" t="s">
        <v>14</v>
      </c>
      <c r="F706" s="280">
        <v>78300</v>
      </c>
      <c r="G706" s="280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8" t="s">
        <v>47</v>
      </c>
      <c r="E707" s="279" t="s">
        <v>14</v>
      </c>
      <c r="F707" s="280">
        <v>74600</v>
      </c>
      <c r="G707" s="280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8" t="s">
        <v>47</v>
      </c>
      <c r="E708" s="279" t="s">
        <v>14</v>
      </c>
      <c r="F708" s="280">
        <v>51900</v>
      </c>
      <c r="G708" s="280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8" t="s">
        <v>47</v>
      </c>
      <c r="E709" s="279" t="s">
        <v>14</v>
      </c>
      <c r="F709" s="280">
        <v>51900</v>
      </c>
      <c r="G709" s="280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8" t="s">
        <v>47</v>
      </c>
      <c r="E710" s="279" t="s">
        <v>14</v>
      </c>
      <c r="F710" s="280">
        <v>75600</v>
      </c>
      <c r="G710" s="280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8" t="s">
        <v>47</v>
      </c>
      <c r="E711" s="279" t="s">
        <v>14</v>
      </c>
      <c r="F711" s="280">
        <v>75600</v>
      </c>
      <c r="G711" s="280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8" t="s">
        <v>47</v>
      </c>
      <c r="E712" s="279" t="s">
        <v>14</v>
      </c>
      <c r="F712" s="280">
        <v>66800</v>
      </c>
      <c r="G712" s="280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8" t="s">
        <v>47</v>
      </c>
      <c r="E713" s="279" t="s">
        <v>14</v>
      </c>
      <c r="F713" s="280">
        <v>62400</v>
      </c>
      <c r="G713" s="280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8" t="s">
        <v>47</v>
      </c>
      <c r="E714" s="279" t="s">
        <v>14</v>
      </c>
      <c r="F714" s="280">
        <v>81300</v>
      </c>
      <c r="G714" s="280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8" t="s">
        <v>47</v>
      </c>
      <c r="E715" s="279" t="s">
        <v>14</v>
      </c>
      <c r="F715" s="280">
        <v>94400</v>
      </c>
      <c r="G715" s="280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8" t="s">
        <v>47</v>
      </c>
      <c r="E716" s="279" t="s">
        <v>14</v>
      </c>
      <c r="F716" s="280">
        <v>82500</v>
      </c>
      <c r="G716" s="280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8" t="s">
        <v>47</v>
      </c>
      <c r="E717" s="279" t="s">
        <v>14</v>
      </c>
      <c r="F717" s="280">
        <v>109200</v>
      </c>
      <c r="G717" s="280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8" t="s">
        <v>47</v>
      </c>
      <c r="E718" s="279" t="s">
        <v>14</v>
      </c>
      <c r="F718" s="280">
        <v>106900</v>
      </c>
      <c r="G718" s="280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8" t="s">
        <v>47</v>
      </c>
      <c r="E719" s="279" t="s">
        <v>14</v>
      </c>
      <c r="F719" s="280">
        <v>104400</v>
      </c>
      <c r="G719" s="280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8" t="s">
        <v>47</v>
      </c>
      <c r="E720" s="279" t="s">
        <v>14</v>
      </c>
      <c r="F720" s="280">
        <v>103500</v>
      </c>
      <c r="G720" s="280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8" t="s">
        <v>47</v>
      </c>
      <c r="E721" s="279" t="s">
        <v>14</v>
      </c>
      <c r="F721" s="280">
        <v>111100</v>
      </c>
      <c r="G721" s="280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8" t="s">
        <v>47</v>
      </c>
      <c r="E722" s="279" t="s">
        <v>14</v>
      </c>
      <c r="F722" s="280">
        <v>108700</v>
      </c>
      <c r="G722" s="280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8" t="s">
        <v>47</v>
      </c>
      <c r="E723" s="279" t="s">
        <v>14</v>
      </c>
      <c r="F723" s="280">
        <v>218400</v>
      </c>
      <c r="G723" s="280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8" t="s">
        <v>47</v>
      </c>
      <c r="E724" s="279" t="s">
        <v>14</v>
      </c>
      <c r="F724" s="280">
        <v>222500</v>
      </c>
      <c r="G724" s="280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8" t="s">
        <v>47</v>
      </c>
      <c r="E725" s="279" t="s">
        <v>14</v>
      </c>
      <c r="F725" s="280">
        <v>173300</v>
      </c>
      <c r="G725" s="280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8" t="s">
        <v>47</v>
      </c>
      <c r="E726" s="279" t="s">
        <v>14</v>
      </c>
      <c r="F726" s="280">
        <v>279500</v>
      </c>
      <c r="G726" s="280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8" t="s">
        <v>47</v>
      </c>
      <c r="E727" s="279" t="s">
        <v>14</v>
      </c>
      <c r="F727" s="280">
        <v>89800</v>
      </c>
      <c r="G727" s="280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8" t="s">
        <v>47</v>
      </c>
      <c r="E728" s="279" t="s">
        <v>14</v>
      </c>
      <c r="F728" s="280">
        <v>102600</v>
      </c>
      <c r="G728" s="280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8" t="s">
        <v>47</v>
      </c>
      <c r="E729" s="279" t="s">
        <v>14</v>
      </c>
      <c r="F729" s="280">
        <v>109700</v>
      </c>
      <c r="G729" s="280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8" t="s">
        <v>48</v>
      </c>
      <c r="E730" s="279"/>
      <c r="F730" s="280"/>
      <c r="G730" s="280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8" t="s">
        <v>48</v>
      </c>
      <c r="E731" s="279"/>
      <c r="F731" s="280"/>
      <c r="G731" s="280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8" t="s">
        <v>47</v>
      </c>
      <c r="E732" s="279" t="s">
        <v>14</v>
      </c>
      <c r="F732" s="280">
        <v>71900</v>
      </c>
      <c r="G732" s="280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8" t="s">
        <v>47</v>
      </c>
      <c r="E733" s="279" t="s">
        <v>14</v>
      </c>
      <c r="F733" s="280">
        <v>64700</v>
      </c>
      <c r="G733" s="280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8" t="s">
        <v>47</v>
      </c>
      <c r="E734" s="279" t="s">
        <v>14</v>
      </c>
      <c r="F734" s="280">
        <v>88700</v>
      </c>
      <c r="G734" s="280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8" t="s">
        <v>47</v>
      </c>
      <c r="E735" s="279" t="s">
        <v>14</v>
      </c>
      <c r="F735" s="280">
        <v>92500</v>
      </c>
      <c r="G735" s="280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8" t="s">
        <v>47</v>
      </c>
      <c r="E736" s="279" t="s">
        <v>14</v>
      </c>
      <c r="F736" s="280">
        <v>119100</v>
      </c>
      <c r="G736" s="280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8" t="s">
        <v>47</v>
      </c>
      <c r="E737" s="279" t="s">
        <v>14</v>
      </c>
      <c r="F737" s="280">
        <v>202200</v>
      </c>
      <c r="G737" s="280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8" t="s">
        <v>48</v>
      </c>
      <c r="E738" s="279"/>
      <c r="F738" s="280"/>
      <c r="G738" s="280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8" t="s">
        <v>48</v>
      </c>
      <c r="E739" s="279"/>
      <c r="F739" s="280"/>
      <c r="G739" s="280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8" t="s">
        <v>47</v>
      </c>
      <c r="E740" s="279" t="s">
        <v>14</v>
      </c>
      <c r="F740" s="280">
        <v>83600</v>
      </c>
      <c r="G740" s="280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8" t="s">
        <v>47</v>
      </c>
      <c r="E741" s="279" t="s">
        <v>14</v>
      </c>
      <c r="F741" s="280">
        <v>83300</v>
      </c>
      <c r="G741" s="280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8" t="s">
        <v>47</v>
      </c>
      <c r="E742" s="279" t="s">
        <v>14</v>
      </c>
      <c r="F742" s="280">
        <v>83300</v>
      </c>
      <c r="G742" s="280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8" t="s">
        <v>47</v>
      </c>
      <c r="E743" s="279" t="s">
        <v>14</v>
      </c>
      <c r="F743" s="280">
        <v>88300</v>
      </c>
      <c r="G743" s="280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8" t="s">
        <v>47</v>
      </c>
      <c r="E744" s="279" t="s">
        <v>14</v>
      </c>
      <c r="F744" s="280">
        <v>93300</v>
      </c>
      <c r="G744" s="280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8" t="s">
        <v>47</v>
      </c>
      <c r="E745" s="279" t="s">
        <v>14</v>
      </c>
      <c r="F745" s="280">
        <v>81300</v>
      </c>
      <c r="G745" s="280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8" t="s">
        <v>47</v>
      </c>
      <c r="E746" s="279" t="s">
        <v>14</v>
      </c>
      <c r="F746" s="280">
        <v>84900</v>
      </c>
      <c r="G746" s="280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8" t="s">
        <v>47</v>
      </c>
      <c r="E747" s="279" t="s">
        <v>14</v>
      </c>
      <c r="F747" s="280">
        <v>94400</v>
      </c>
      <c r="G747" s="280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8" t="s">
        <v>47</v>
      </c>
      <c r="E748" s="279" t="s">
        <v>14</v>
      </c>
      <c r="F748" s="280">
        <v>89400</v>
      </c>
      <c r="G748" s="280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8" t="s">
        <v>47</v>
      </c>
      <c r="E749" s="279" t="s">
        <v>14</v>
      </c>
      <c r="F749" s="280">
        <v>87600</v>
      </c>
      <c r="G749" s="280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3" t="s">
        <v>1511</v>
      </c>
      <c r="D750" s="278" t="s">
        <v>47</v>
      </c>
      <c r="E750" s="279" t="s">
        <v>14</v>
      </c>
      <c r="F750" s="280">
        <v>87600</v>
      </c>
      <c r="G750" s="280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8" t="s">
        <v>47</v>
      </c>
      <c r="E751" s="279" t="s">
        <v>14</v>
      </c>
      <c r="F751" s="280">
        <v>111100</v>
      </c>
      <c r="G751" s="280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8" t="s">
        <v>47</v>
      </c>
      <c r="E752" s="279" t="s">
        <v>14</v>
      </c>
      <c r="F752" s="280">
        <v>102000</v>
      </c>
      <c r="G752" s="280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8" t="s">
        <v>47</v>
      </c>
      <c r="E753" s="279" t="s">
        <v>14</v>
      </c>
      <c r="F753" s="280">
        <v>82500</v>
      </c>
      <c r="G753" s="280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8" t="s">
        <v>47</v>
      </c>
      <c r="E754" s="279" t="s">
        <v>14</v>
      </c>
      <c r="F754" s="280">
        <v>106900</v>
      </c>
      <c r="G754" s="280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8" t="s">
        <v>47</v>
      </c>
      <c r="E755" s="279" t="s">
        <v>14</v>
      </c>
      <c r="F755" s="280">
        <v>109200</v>
      </c>
      <c r="G755" s="280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8" t="s">
        <v>47</v>
      </c>
      <c r="E756" s="279" t="s">
        <v>14</v>
      </c>
      <c r="F756" s="280">
        <v>96900</v>
      </c>
      <c r="G756" s="280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8" t="s">
        <v>47</v>
      </c>
      <c r="E757" s="279" t="s">
        <v>14</v>
      </c>
      <c r="F757" s="280">
        <v>107700</v>
      </c>
      <c r="G757" s="280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8" t="s">
        <v>47</v>
      </c>
      <c r="E758" s="279" t="s">
        <v>14</v>
      </c>
      <c r="F758" s="280">
        <v>104400</v>
      </c>
      <c r="G758" s="280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8" t="s">
        <v>47</v>
      </c>
      <c r="E759" s="279" t="s">
        <v>14</v>
      </c>
      <c r="F759" s="280">
        <v>194600</v>
      </c>
      <c r="G759" s="280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8" t="s">
        <v>47</v>
      </c>
      <c r="E760" s="279" t="s">
        <v>14</v>
      </c>
      <c r="F760" s="280">
        <v>106600</v>
      </c>
      <c r="G760" s="280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8" t="s">
        <v>47</v>
      </c>
      <c r="E761" s="279" t="s">
        <v>14</v>
      </c>
      <c r="F761" s="280">
        <v>113200</v>
      </c>
      <c r="G761" s="280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8" t="s">
        <v>47</v>
      </c>
      <c r="E762" s="279" t="s">
        <v>14</v>
      </c>
      <c r="F762" s="280">
        <v>133200</v>
      </c>
      <c r="G762" s="280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8" t="s">
        <v>47</v>
      </c>
      <c r="E763" s="279" t="s">
        <v>14</v>
      </c>
      <c r="F763" s="280">
        <v>113200</v>
      </c>
      <c r="G763" s="280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8" t="s">
        <v>47</v>
      </c>
      <c r="E764" s="279" t="s">
        <v>14</v>
      </c>
      <c r="F764" s="280">
        <v>103500</v>
      </c>
      <c r="G764" s="280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8" t="s">
        <v>47</v>
      </c>
      <c r="E765" s="279" t="s">
        <v>14</v>
      </c>
      <c r="F765" s="280">
        <v>108700</v>
      </c>
      <c r="G765" s="280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3" t="s">
        <v>1512</v>
      </c>
      <c r="D766" s="278" t="s">
        <v>47</v>
      </c>
      <c r="E766" s="279" t="s">
        <v>14</v>
      </c>
      <c r="F766" s="280">
        <v>111100</v>
      </c>
      <c r="G766" s="280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8" t="s">
        <v>47</v>
      </c>
      <c r="E767" s="279" t="s">
        <v>14</v>
      </c>
      <c r="F767" s="280">
        <v>214300</v>
      </c>
      <c r="G767" s="280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8" t="s">
        <v>47</v>
      </c>
      <c r="E768" s="279" t="s">
        <v>14</v>
      </c>
      <c r="F768" s="280">
        <v>197500</v>
      </c>
      <c r="G768" s="280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8" t="s">
        <v>47</v>
      </c>
      <c r="E769" s="279" t="s">
        <v>14</v>
      </c>
      <c r="F769" s="280">
        <v>219500</v>
      </c>
      <c r="G769" s="280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3" t="s">
        <v>1513</v>
      </c>
      <c r="D770" s="278" t="s">
        <v>47</v>
      </c>
      <c r="E770" s="279" t="s">
        <v>14</v>
      </c>
      <c r="F770" s="280">
        <v>197500</v>
      </c>
      <c r="G770" s="280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8" t="s">
        <v>47</v>
      </c>
      <c r="E771" s="279" t="s">
        <v>14</v>
      </c>
      <c r="F771" s="280">
        <v>218400</v>
      </c>
      <c r="G771" s="280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8" t="s">
        <v>47</v>
      </c>
      <c r="E772" s="279" t="s">
        <v>14</v>
      </c>
      <c r="F772" s="280">
        <v>222500</v>
      </c>
      <c r="G772" s="280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3" t="s">
        <v>1514</v>
      </c>
      <c r="D773" s="278" t="s">
        <v>47</v>
      </c>
      <c r="E773" s="279" t="s">
        <v>14</v>
      </c>
      <c r="F773" s="280">
        <v>173300</v>
      </c>
      <c r="G773" s="280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3" t="s">
        <v>1515</v>
      </c>
      <c r="D774" s="278" t="s">
        <v>47</v>
      </c>
      <c r="E774" s="279" t="s">
        <v>14</v>
      </c>
      <c r="F774" s="280">
        <v>279500</v>
      </c>
      <c r="G774" s="280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8" t="s">
        <v>47</v>
      </c>
      <c r="E775" s="279" t="s">
        <v>14</v>
      </c>
      <c r="F775" s="280">
        <v>93500</v>
      </c>
      <c r="G775" s="280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8" t="s">
        <v>47</v>
      </c>
      <c r="E776" s="279" t="s">
        <v>14</v>
      </c>
      <c r="F776" s="280">
        <v>93500</v>
      </c>
      <c r="G776" s="280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8" t="s">
        <v>47</v>
      </c>
      <c r="E777" s="279" t="s">
        <v>14</v>
      </c>
      <c r="F777" s="280">
        <v>89800</v>
      </c>
      <c r="G777" s="280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8" t="s">
        <v>47</v>
      </c>
      <c r="E778" s="279" t="s">
        <v>14</v>
      </c>
      <c r="F778" s="280">
        <v>113300</v>
      </c>
      <c r="G778" s="280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8" t="s">
        <v>47</v>
      </c>
      <c r="E779" s="279" t="s">
        <v>14</v>
      </c>
      <c r="F779" s="280">
        <v>113300</v>
      </c>
      <c r="G779" s="280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8" t="s">
        <v>47</v>
      </c>
      <c r="E780" s="279" t="s">
        <v>14</v>
      </c>
      <c r="F780" s="280">
        <v>102600</v>
      </c>
      <c r="G780" s="280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8" t="s">
        <v>47</v>
      </c>
      <c r="E781" s="279" t="s">
        <v>14</v>
      </c>
      <c r="F781" s="280">
        <v>114600</v>
      </c>
      <c r="G781" s="280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8" t="s">
        <v>47</v>
      </c>
      <c r="E782" s="279" t="s">
        <v>14</v>
      </c>
      <c r="F782" s="280">
        <v>118400</v>
      </c>
      <c r="G782" s="280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8" t="s">
        <v>47</v>
      </c>
      <c r="E783" s="279" t="s">
        <v>14</v>
      </c>
      <c r="F783" s="280">
        <v>109700</v>
      </c>
      <c r="G783" s="280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8" t="s">
        <v>48</v>
      </c>
      <c r="E784" s="279"/>
      <c r="F784" s="280"/>
      <c r="G784" s="280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8" t="s">
        <v>48</v>
      </c>
      <c r="E785" s="279"/>
      <c r="F785" s="280"/>
      <c r="G785" s="280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8" t="s">
        <v>47</v>
      </c>
      <c r="E786" s="279" t="s">
        <v>14</v>
      </c>
      <c r="F786" s="280">
        <v>166200</v>
      </c>
      <c r="G786" s="280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8" t="s">
        <v>47</v>
      </c>
      <c r="E787" s="279" t="s">
        <v>14</v>
      </c>
      <c r="F787" s="280">
        <v>169000</v>
      </c>
      <c r="G787" s="280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8" t="s">
        <v>47</v>
      </c>
      <c r="E788" s="279" t="s">
        <v>14</v>
      </c>
      <c r="F788" s="280">
        <v>169000</v>
      </c>
      <c r="G788" s="280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8" t="s">
        <v>47</v>
      </c>
      <c r="E789" s="279" t="s">
        <v>14</v>
      </c>
      <c r="F789" s="280">
        <v>177200</v>
      </c>
      <c r="G789" s="280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8" t="s">
        <v>47</v>
      </c>
      <c r="E790" s="279" t="s">
        <v>14</v>
      </c>
      <c r="F790" s="280">
        <v>177200</v>
      </c>
      <c r="G790" s="280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8" t="s">
        <v>47</v>
      </c>
      <c r="E791" s="279" t="s">
        <v>14</v>
      </c>
      <c r="F791" s="280">
        <v>215500</v>
      </c>
      <c r="G791" s="280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8" t="s">
        <v>47</v>
      </c>
      <c r="E792" s="279" t="s">
        <v>14</v>
      </c>
      <c r="F792" s="280">
        <v>213100</v>
      </c>
      <c r="G792" s="280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8" t="s">
        <v>47</v>
      </c>
      <c r="E793" s="279" t="s">
        <v>14</v>
      </c>
      <c r="F793" s="280">
        <v>213100</v>
      </c>
      <c r="G793" s="280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8" t="s">
        <v>47</v>
      </c>
      <c r="E794" s="279" t="s">
        <v>14</v>
      </c>
      <c r="F794" s="280">
        <v>213100</v>
      </c>
      <c r="G794" s="280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3" t="s">
        <v>1517</v>
      </c>
      <c r="D795" s="278" t="s">
        <v>47</v>
      </c>
      <c r="E795" s="279" t="s">
        <v>14</v>
      </c>
      <c r="F795" s="280">
        <v>213100</v>
      </c>
      <c r="G795" s="280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8" t="s">
        <v>47</v>
      </c>
      <c r="E796" s="279" t="s">
        <v>14</v>
      </c>
      <c r="F796" s="280">
        <v>218400</v>
      </c>
      <c r="G796" s="280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8" t="s">
        <v>47</v>
      </c>
      <c r="E797" s="279" t="s">
        <v>14</v>
      </c>
      <c r="F797" s="280">
        <v>253600</v>
      </c>
      <c r="G797" s="280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8" t="s">
        <v>47</v>
      </c>
      <c r="E798" s="279" t="s">
        <v>14</v>
      </c>
      <c r="F798" s="280">
        <v>404400</v>
      </c>
      <c r="G798" s="280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8" t="s">
        <v>47</v>
      </c>
      <c r="E799" s="279" t="s">
        <v>14</v>
      </c>
      <c r="F799" s="280">
        <v>404400</v>
      </c>
      <c r="G799" s="280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8" t="s">
        <v>48</v>
      </c>
      <c r="E800" s="279"/>
      <c r="F800" s="280"/>
      <c r="G800" s="280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8" t="s">
        <v>48</v>
      </c>
      <c r="E801" s="279"/>
      <c r="F801" s="280"/>
      <c r="G801" s="280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8" t="s">
        <v>47</v>
      </c>
      <c r="E802" s="279" t="s">
        <v>14</v>
      </c>
      <c r="F802" s="280">
        <v>36000</v>
      </c>
      <c r="G802" s="280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8" t="s">
        <v>47</v>
      </c>
      <c r="E803" s="279" t="s">
        <v>14</v>
      </c>
      <c r="F803" s="280">
        <v>48100</v>
      </c>
      <c r="G803" s="280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8" t="s">
        <v>47</v>
      </c>
      <c r="E804" s="279" t="s">
        <v>14</v>
      </c>
      <c r="F804" s="280">
        <v>55300</v>
      </c>
      <c r="G804" s="280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8" t="s">
        <v>47</v>
      </c>
      <c r="E805" s="279" t="s">
        <v>14</v>
      </c>
      <c r="F805" s="280">
        <v>51500</v>
      </c>
      <c r="G805" s="280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8" t="s">
        <v>47</v>
      </c>
      <c r="E806" s="279" t="s">
        <v>14</v>
      </c>
      <c r="F806" s="280">
        <v>67900</v>
      </c>
      <c r="G806" s="280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8" t="s">
        <v>47</v>
      </c>
      <c r="E807" s="279" t="s">
        <v>14</v>
      </c>
      <c r="F807" s="280">
        <v>56700</v>
      </c>
      <c r="G807" s="280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8" t="s">
        <v>47</v>
      </c>
      <c r="E808" s="279" t="s">
        <v>14</v>
      </c>
      <c r="F808" s="280">
        <v>596900</v>
      </c>
      <c r="G808" s="280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8" t="s">
        <v>47</v>
      </c>
      <c r="E809" s="279" t="s">
        <v>14</v>
      </c>
      <c r="F809" s="280">
        <v>401500</v>
      </c>
      <c r="G809" s="280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8" t="s">
        <v>48</v>
      </c>
      <c r="E810" s="279"/>
      <c r="F810" s="280"/>
      <c r="G810" s="280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8" t="s">
        <v>48</v>
      </c>
      <c r="E811" s="279"/>
      <c r="F811" s="280"/>
      <c r="G811" s="280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8" t="s">
        <v>47</v>
      </c>
      <c r="E812" s="279" t="s">
        <v>14</v>
      </c>
      <c r="F812" s="280">
        <v>56400</v>
      </c>
      <c r="G812" s="280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8" t="s">
        <v>47</v>
      </c>
      <c r="E813" s="279" t="s">
        <v>14</v>
      </c>
      <c r="F813" s="280">
        <v>65400</v>
      </c>
      <c r="G813" s="280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8" t="s">
        <v>47</v>
      </c>
      <c r="E814" s="279" t="s">
        <v>14</v>
      </c>
      <c r="F814" s="280">
        <v>13600</v>
      </c>
      <c r="G814" s="280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8" t="s">
        <v>47</v>
      </c>
      <c r="E815" s="279" t="s">
        <v>14</v>
      </c>
      <c r="F815" s="280">
        <v>17800</v>
      </c>
      <c r="G815" s="280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8" t="s">
        <v>47</v>
      </c>
      <c r="E816" s="279" t="s">
        <v>14</v>
      </c>
      <c r="F816" s="280">
        <v>173100</v>
      </c>
      <c r="G816" s="280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8" t="s">
        <v>47</v>
      </c>
      <c r="E817" s="279" t="s">
        <v>14</v>
      </c>
      <c r="F817" s="280">
        <v>1539900</v>
      </c>
      <c r="G817" s="280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8" t="s">
        <v>47</v>
      </c>
      <c r="E818" s="279" t="s">
        <v>14</v>
      </c>
      <c r="F818" s="280">
        <v>26200</v>
      </c>
      <c r="G818" s="280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8" t="s">
        <v>47</v>
      </c>
      <c r="E819" s="279" t="s">
        <v>14</v>
      </c>
      <c r="F819" s="280">
        <v>22300</v>
      </c>
      <c r="G819" s="280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8" t="s">
        <v>47</v>
      </c>
      <c r="E820" s="279" t="s">
        <v>14</v>
      </c>
      <c r="F820" s="280">
        <v>26200</v>
      </c>
      <c r="G820" s="280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8" t="s">
        <v>47</v>
      </c>
      <c r="E821" s="279" t="s">
        <v>14</v>
      </c>
      <c r="F821" s="280">
        <v>26200</v>
      </c>
      <c r="G821" s="280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8" t="s">
        <v>47</v>
      </c>
      <c r="E822" s="279" t="s">
        <v>14</v>
      </c>
      <c r="F822" s="280">
        <v>58400</v>
      </c>
      <c r="G822" s="280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8" t="s">
        <v>47</v>
      </c>
      <c r="E823" s="279" t="s">
        <v>14</v>
      </c>
      <c r="F823" s="280">
        <v>45900</v>
      </c>
      <c r="G823" s="280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8" t="s">
        <v>47</v>
      </c>
      <c r="E824" s="279" t="s">
        <v>14</v>
      </c>
      <c r="F824" s="280">
        <v>58400</v>
      </c>
      <c r="G824" s="280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8" t="s">
        <v>47</v>
      </c>
      <c r="E825" s="279" t="s">
        <v>14</v>
      </c>
      <c r="F825" s="280">
        <v>58400</v>
      </c>
      <c r="G825" s="280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8" t="s">
        <v>47</v>
      </c>
      <c r="E826" s="279" t="s">
        <v>14</v>
      </c>
      <c r="F826" s="280">
        <v>45900</v>
      </c>
      <c r="G826" s="280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8" t="s">
        <v>47</v>
      </c>
      <c r="E827" s="279" t="s">
        <v>14</v>
      </c>
      <c r="F827" s="280">
        <v>43100</v>
      </c>
      <c r="G827" s="280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8" t="s">
        <v>47</v>
      </c>
      <c r="E828" s="279" t="s">
        <v>14</v>
      </c>
      <c r="F828" s="280">
        <v>57400</v>
      </c>
      <c r="G828" s="280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8" t="s">
        <v>47</v>
      </c>
      <c r="E829" s="279" t="s">
        <v>14</v>
      </c>
      <c r="F829" s="280">
        <v>45900</v>
      </c>
      <c r="G829" s="280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8" t="s">
        <v>47</v>
      </c>
      <c r="E830" s="279" t="s">
        <v>14</v>
      </c>
      <c r="F830" s="280">
        <v>3843100</v>
      </c>
      <c r="G830" s="280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8" t="s">
        <v>47</v>
      </c>
      <c r="E831" s="279" t="s">
        <v>14</v>
      </c>
      <c r="F831" s="280">
        <v>39700</v>
      </c>
      <c r="G831" s="280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8" t="s">
        <v>47</v>
      </c>
      <c r="E832" s="279" t="s">
        <v>14</v>
      </c>
      <c r="F832" s="280">
        <v>58000</v>
      </c>
      <c r="G832" s="280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8" t="s">
        <v>47</v>
      </c>
      <c r="E833" s="279" t="s">
        <v>14</v>
      </c>
      <c r="F833" s="280">
        <v>31300</v>
      </c>
      <c r="G833" s="280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8" t="s">
        <v>47</v>
      </c>
      <c r="E834" s="279" t="s">
        <v>14</v>
      </c>
      <c r="F834" s="280">
        <v>45600</v>
      </c>
      <c r="G834" s="280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8" t="s">
        <v>47</v>
      </c>
      <c r="E835" s="279" t="s">
        <v>14</v>
      </c>
      <c r="F835" s="280">
        <v>36600</v>
      </c>
      <c r="G835" s="280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8" t="s">
        <v>47</v>
      </c>
      <c r="E836" s="279" t="s">
        <v>14</v>
      </c>
      <c r="F836" s="280">
        <v>36600</v>
      </c>
      <c r="G836" s="280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8" t="s">
        <v>47</v>
      </c>
      <c r="E837" s="279" t="s">
        <v>14</v>
      </c>
      <c r="F837" s="280">
        <v>36600</v>
      </c>
      <c r="G837" s="280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8" t="s">
        <v>47</v>
      </c>
      <c r="E838" s="279" t="s">
        <v>14</v>
      </c>
      <c r="F838" s="280">
        <v>50900</v>
      </c>
      <c r="G838" s="280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8" t="s">
        <v>47</v>
      </c>
      <c r="E839" s="279" t="s">
        <v>14</v>
      </c>
      <c r="F839" s="280">
        <v>50900</v>
      </c>
      <c r="G839" s="280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8" t="s">
        <v>47</v>
      </c>
      <c r="E840" s="279" t="s">
        <v>14</v>
      </c>
      <c r="F840" s="280">
        <v>50900</v>
      </c>
      <c r="G840" s="280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8" t="s">
        <v>47</v>
      </c>
      <c r="E841" s="279" t="s">
        <v>14</v>
      </c>
      <c r="F841" s="280">
        <v>142600</v>
      </c>
      <c r="G841" s="280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8" t="s">
        <v>47</v>
      </c>
      <c r="E842" s="279" t="s">
        <v>14</v>
      </c>
      <c r="F842" s="280">
        <v>142600</v>
      </c>
      <c r="G842" s="280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8" t="s">
        <v>47</v>
      </c>
      <c r="E843" s="279" t="s">
        <v>14</v>
      </c>
      <c r="F843" s="280">
        <v>54400</v>
      </c>
      <c r="G843" s="280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8" t="s">
        <v>47</v>
      </c>
      <c r="E844" s="279" t="s">
        <v>14</v>
      </c>
      <c r="F844" s="280">
        <v>50700</v>
      </c>
      <c r="G844" s="280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8" t="s">
        <v>47</v>
      </c>
      <c r="E845" s="279" t="s">
        <v>14</v>
      </c>
      <c r="F845" s="280">
        <v>50700</v>
      </c>
      <c r="G845" s="280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8" t="s">
        <v>47</v>
      </c>
      <c r="E846" s="279" t="s">
        <v>14</v>
      </c>
      <c r="F846" s="280">
        <v>762100</v>
      </c>
      <c r="G846" s="280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8" t="s">
        <v>47</v>
      </c>
      <c r="E847" s="279" t="s">
        <v>14</v>
      </c>
      <c r="F847" s="280">
        <v>13000</v>
      </c>
      <c r="G847" s="280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8" t="s">
        <v>47</v>
      </c>
      <c r="E848" s="279" t="s">
        <v>14</v>
      </c>
      <c r="F848" s="280">
        <v>614700</v>
      </c>
      <c r="G848" s="280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8" t="s">
        <v>47</v>
      </c>
      <c r="E849" s="279" t="s">
        <v>14</v>
      </c>
      <c r="F849" s="280">
        <v>829000</v>
      </c>
      <c r="G849" s="280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8" t="s">
        <v>47</v>
      </c>
      <c r="E850" s="279" t="s">
        <v>14</v>
      </c>
      <c r="F850" s="280">
        <v>179200</v>
      </c>
      <c r="G850" s="280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8" t="s">
        <v>47</v>
      </c>
      <c r="E851" s="279" t="s">
        <v>473</v>
      </c>
      <c r="F851" s="280">
        <v>14370.766666666666</v>
      </c>
      <c r="G851" s="280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8" t="s">
        <v>48</v>
      </c>
      <c r="E852" s="279"/>
      <c r="F852" s="280"/>
      <c r="G852" s="280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8" t="s">
        <v>48</v>
      </c>
      <c r="E853" s="279"/>
      <c r="F853" s="280"/>
      <c r="G853" s="280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8" t="s">
        <v>47</v>
      </c>
      <c r="E854" s="279" t="s">
        <v>14</v>
      </c>
      <c r="F854" s="280">
        <v>1568200</v>
      </c>
      <c r="G854" s="280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8" t="s">
        <v>47</v>
      </c>
      <c r="E855" s="279" t="s">
        <v>14</v>
      </c>
      <c r="F855" s="280">
        <v>3467100</v>
      </c>
      <c r="G855" s="280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8" t="s">
        <v>47</v>
      </c>
      <c r="E856" s="279" t="s">
        <v>14</v>
      </c>
      <c r="F856" s="280">
        <v>3467100</v>
      </c>
      <c r="G856" s="280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8" t="s">
        <v>47</v>
      </c>
      <c r="E857" s="279" t="s">
        <v>14</v>
      </c>
      <c r="F857" s="280">
        <v>1515700</v>
      </c>
      <c r="G857" s="280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8"/>
      <c r="E858" s="279"/>
      <c r="F858" s="280"/>
      <c r="G858" s="280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8" t="s">
        <v>48</v>
      </c>
      <c r="E859" s="279"/>
      <c r="F859" s="280"/>
      <c r="G859" s="280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8" t="s">
        <v>47</v>
      </c>
      <c r="E860" s="279" t="s">
        <v>297</v>
      </c>
      <c r="F860" s="280">
        <v>475700</v>
      </c>
      <c r="G860" s="280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8" t="s">
        <v>47</v>
      </c>
      <c r="E861" s="279" t="s">
        <v>297</v>
      </c>
      <c r="F861" s="280">
        <v>475700</v>
      </c>
      <c r="G861" s="280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8" t="s">
        <v>47</v>
      </c>
      <c r="E862" s="279" t="s">
        <v>297</v>
      </c>
      <c r="F862" s="280">
        <v>371300</v>
      </c>
      <c r="G862" s="280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8" t="s">
        <v>47</v>
      </c>
      <c r="E863" s="279" t="s">
        <v>297</v>
      </c>
      <c r="F863" s="280">
        <v>351700</v>
      </c>
      <c r="G863" s="280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8" t="s">
        <v>47</v>
      </c>
      <c r="E864" s="279" t="s">
        <v>297</v>
      </c>
      <c r="F864" s="280">
        <v>300100</v>
      </c>
      <c r="G864" s="280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8" t="s">
        <v>47</v>
      </c>
      <c r="E865" s="279" t="s">
        <v>297</v>
      </c>
      <c r="F865" s="280">
        <v>290900</v>
      </c>
      <c r="G865" s="280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8" t="s">
        <v>47</v>
      </c>
      <c r="E866" s="279" t="s">
        <v>297</v>
      </c>
      <c r="F866" s="280">
        <v>290600</v>
      </c>
      <c r="G866" s="280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8" t="s">
        <v>47</v>
      </c>
      <c r="E867" s="279" t="s">
        <v>297</v>
      </c>
      <c r="F867" s="280">
        <v>247000</v>
      </c>
      <c r="G867" s="280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8" t="s">
        <v>47</v>
      </c>
      <c r="E868" s="279" t="s">
        <v>297</v>
      </c>
      <c r="F868" s="280">
        <v>276000</v>
      </c>
      <c r="G868" s="280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8" t="s">
        <v>47</v>
      </c>
      <c r="E869" s="279" t="s">
        <v>297</v>
      </c>
      <c r="F869" s="280">
        <v>268100</v>
      </c>
      <c r="G869" s="280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8" t="s">
        <v>47</v>
      </c>
      <c r="E870" s="279" t="s">
        <v>297</v>
      </c>
      <c r="F870" s="280">
        <v>222400</v>
      </c>
      <c r="G870" s="280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8" t="s">
        <v>47</v>
      </c>
      <c r="E871" s="279" t="s">
        <v>297</v>
      </c>
      <c r="F871" s="280">
        <v>222400</v>
      </c>
      <c r="G871" s="280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8" t="s">
        <v>47</v>
      </c>
      <c r="E872" s="279" t="s">
        <v>297</v>
      </c>
      <c r="F872" s="280">
        <v>197300</v>
      </c>
      <c r="G872" s="280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8" t="s">
        <v>47</v>
      </c>
      <c r="E873" s="279" t="s">
        <v>297</v>
      </c>
      <c r="F873" s="280">
        <v>149200</v>
      </c>
      <c r="G873" s="280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8" t="s">
        <v>47</v>
      </c>
      <c r="E874" s="279" t="s">
        <v>297</v>
      </c>
      <c r="F874" s="280">
        <v>390200</v>
      </c>
      <c r="G874" s="280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8" t="s">
        <v>47</v>
      </c>
      <c r="E875" s="279" t="s">
        <v>297</v>
      </c>
      <c r="F875" s="280">
        <v>307600</v>
      </c>
      <c r="G875" s="280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8" t="s">
        <v>47</v>
      </c>
      <c r="E876" s="279" t="s">
        <v>297</v>
      </c>
      <c r="F876" s="280">
        <v>261600</v>
      </c>
      <c r="G876" s="280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8" t="s">
        <v>47</v>
      </c>
      <c r="E877" s="279" t="s">
        <v>297</v>
      </c>
      <c r="F877" s="280">
        <v>198700</v>
      </c>
      <c r="G877" s="280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8" t="s">
        <v>47</v>
      </c>
      <c r="E878" s="279" t="s">
        <v>297</v>
      </c>
      <c r="F878" s="280">
        <v>272600</v>
      </c>
      <c r="G878" s="280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8" t="s">
        <v>47</v>
      </c>
      <c r="E879" s="279" t="s">
        <v>297</v>
      </c>
      <c r="F879" s="280">
        <v>243400</v>
      </c>
      <c r="G879" s="280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8" t="s">
        <v>47</v>
      </c>
      <c r="E880" s="279" t="s">
        <v>297</v>
      </c>
      <c r="F880" s="280">
        <v>179300</v>
      </c>
      <c r="G880" s="280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8" t="s">
        <v>47</v>
      </c>
      <c r="E881" s="279" t="s">
        <v>297</v>
      </c>
      <c r="F881" s="280">
        <v>151900</v>
      </c>
      <c r="G881" s="280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8" t="s">
        <v>47</v>
      </c>
      <c r="E882" s="279" t="s">
        <v>297</v>
      </c>
      <c r="F882" s="280">
        <v>136485.10978061482</v>
      </c>
      <c r="G882" s="280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8" t="s">
        <v>47</v>
      </c>
      <c r="E883" s="279" t="s">
        <v>297</v>
      </c>
      <c r="F883" s="280">
        <v>125481.16630030893</v>
      </c>
      <c r="G883" s="280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8" t="s">
        <v>47</v>
      </c>
      <c r="E884" s="279" t="s">
        <v>297</v>
      </c>
      <c r="F884" s="280">
        <v>115200</v>
      </c>
      <c r="G884" s="280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8" t="s">
        <v>47</v>
      </c>
      <c r="E885" s="279" t="s">
        <v>297</v>
      </c>
      <c r="F885" s="280">
        <v>115000</v>
      </c>
      <c r="G885" s="280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8" t="s">
        <v>47</v>
      </c>
      <c r="E886" s="279" t="s">
        <v>297</v>
      </c>
      <c r="F886" s="280">
        <v>101800</v>
      </c>
      <c r="G886" s="280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8" t="s">
        <v>47</v>
      </c>
      <c r="E887" s="279" t="s">
        <v>297</v>
      </c>
      <c r="F887" s="280">
        <v>523270.00000000006</v>
      </c>
      <c r="G887" s="280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8" t="s">
        <v>47</v>
      </c>
      <c r="E888" s="279" t="s">
        <v>297</v>
      </c>
      <c r="F888" s="280">
        <v>523270.00000000006</v>
      </c>
      <c r="G888" s="280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8" t="s">
        <v>47</v>
      </c>
      <c r="E889" s="279" t="s">
        <v>297</v>
      </c>
      <c r="F889" s="280">
        <v>408430.00000000006</v>
      </c>
      <c r="G889" s="280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8" t="s">
        <v>47</v>
      </c>
      <c r="E890" s="279" t="s">
        <v>297</v>
      </c>
      <c r="F890" s="280">
        <v>386870.00000000006</v>
      </c>
      <c r="G890" s="280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8" t="s">
        <v>47</v>
      </c>
      <c r="E891" s="279" t="s">
        <v>297</v>
      </c>
      <c r="F891" s="280">
        <v>330110</v>
      </c>
      <c r="G891" s="280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8" t="s">
        <v>47</v>
      </c>
      <c r="E892" s="279" t="s">
        <v>297</v>
      </c>
      <c r="F892" s="280">
        <v>319990</v>
      </c>
      <c r="G892" s="280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8" t="s">
        <v>47</v>
      </c>
      <c r="E893" s="279" t="s">
        <v>297</v>
      </c>
      <c r="F893" s="280">
        <v>319660</v>
      </c>
      <c r="G893" s="280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8" t="s">
        <v>47</v>
      </c>
      <c r="E894" s="279" t="s">
        <v>297</v>
      </c>
      <c r="F894" s="280">
        <v>271700</v>
      </c>
      <c r="G894" s="280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8" t="s">
        <v>47</v>
      </c>
      <c r="E895" s="279" t="s">
        <v>297</v>
      </c>
      <c r="F895" s="280">
        <v>303600</v>
      </c>
      <c r="G895" s="280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8" t="s">
        <v>47</v>
      </c>
      <c r="E896" s="279" t="s">
        <v>297</v>
      </c>
      <c r="F896" s="280">
        <v>294910</v>
      </c>
      <c r="G896" s="280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8" t="s">
        <v>47</v>
      </c>
      <c r="E897" s="279" t="s">
        <v>297</v>
      </c>
      <c r="F897" s="280">
        <v>244640.00000000003</v>
      </c>
      <c r="G897" s="280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8" t="s">
        <v>47</v>
      </c>
      <c r="E898" s="279" t="s">
        <v>297</v>
      </c>
      <c r="F898" s="280">
        <v>244640.00000000003</v>
      </c>
      <c r="G898" s="280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8" t="s">
        <v>47</v>
      </c>
      <c r="E899" s="279" t="s">
        <v>297</v>
      </c>
      <c r="F899" s="280">
        <v>217030.00000000003</v>
      </c>
      <c r="G899" s="280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8" t="s">
        <v>47</v>
      </c>
      <c r="E900" s="279" t="s">
        <v>297</v>
      </c>
      <c r="F900" s="280">
        <v>164120</v>
      </c>
      <c r="G900" s="280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8" t="s">
        <v>47</v>
      </c>
      <c r="E901" s="279" t="s">
        <v>297</v>
      </c>
      <c r="F901" s="280">
        <v>429220.00000000006</v>
      </c>
      <c r="G901" s="280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8" t="s">
        <v>47</v>
      </c>
      <c r="E902" s="279" t="s">
        <v>297</v>
      </c>
      <c r="F902" s="280">
        <v>338360</v>
      </c>
      <c r="G902" s="280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8" t="s">
        <v>47</v>
      </c>
      <c r="E903" s="279" t="s">
        <v>297</v>
      </c>
      <c r="F903" s="280">
        <v>287760</v>
      </c>
      <c r="G903" s="280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8" t="s">
        <v>47</v>
      </c>
      <c r="E904" s="279" t="s">
        <v>297</v>
      </c>
      <c r="F904" s="280">
        <v>218570.00000000003</v>
      </c>
      <c r="G904" s="280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8" t="s">
        <v>47</v>
      </c>
      <c r="E905" s="279" t="s">
        <v>297</v>
      </c>
      <c r="F905" s="280">
        <v>299860</v>
      </c>
      <c r="G905" s="280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8" t="s">
        <v>47</v>
      </c>
      <c r="E906" s="279" t="s">
        <v>297</v>
      </c>
      <c r="F906" s="280">
        <v>267740</v>
      </c>
      <c r="G906" s="280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8" t="s">
        <v>47</v>
      </c>
      <c r="E907" s="279" t="s">
        <v>297</v>
      </c>
      <c r="F907" s="280">
        <v>197230.00000000003</v>
      </c>
      <c r="G907" s="280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8" t="s">
        <v>47</v>
      </c>
      <c r="E908" s="279" t="s">
        <v>297</v>
      </c>
      <c r="F908" s="280">
        <v>167090</v>
      </c>
      <c r="G908" s="280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8" t="s">
        <v>47</v>
      </c>
      <c r="E909" s="279" t="s">
        <v>297</v>
      </c>
      <c r="F909" s="280">
        <v>150133.62075867632</v>
      </c>
      <c r="G909" s="280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8" t="s">
        <v>47</v>
      </c>
      <c r="E910" s="279" t="s">
        <v>297</v>
      </c>
      <c r="F910" s="280">
        <v>138029.28293033983</v>
      </c>
      <c r="G910" s="280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8" t="s">
        <v>47</v>
      </c>
      <c r="E911" s="279" t="s">
        <v>297</v>
      </c>
      <c r="F911" s="280">
        <v>126720.00000000001</v>
      </c>
      <c r="G911" s="280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8" t="s">
        <v>47</v>
      </c>
      <c r="E912" s="279" t="s">
        <v>297</v>
      </c>
      <c r="F912" s="280">
        <v>126500.00000000001</v>
      </c>
      <c r="G912" s="280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8" t="s">
        <v>47</v>
      </c>
      <c r="E913" s="279" t="s">
        <v>297</v>
      </c>
      <c r="F913" s="280">
        <v>111980.00000000001</v>
      </c>
      <c r="G913" s="280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1604</v>
      </c>
      <c r="D914" s="278" t="s">
        <v>47</v>
      </c>
      <c r="E914" s="279" t="s">
        <v>297</v>
      </c>
      <c r="F914" s="280">
        <v>382439</v>
      </c>
      <c r="G914" s="280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8" t="s">
        <v>47</v>
      </c>
      <c r="E915" s="279" t="s">
        <v>297</v>
      </c>
      <c r="F915" s="280">
        <v>662141.63144094404</v>
      </c>
      <c r="G915" s="280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8" t="s">
        <v>48</v>
      </c>
      <c r="E916" s="279"/>
      <c r="F916" s="280"/>
      <c r="G916" s="280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8" t="s">
        <v>48</v>
      </c>
      <c r="E917" s="279"/>
      <c r="F917" s="280"/>
      <c r="G917" s="280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8" t="s">
        <v>47</v>
      </c>
      <c r="E918" s="279" t="s">
        <v>297</v>
      </c>
      <c r="F918" s="280">
        <v>285500</v>
      </c>
      <c r="G918" s="280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8" t="s">
        <v>47</v>
      </c>
      <c r="E919" s="279" t="s">
        <v>297</v>
      </c>
      <c r="F919" s="280">
        <v>240000</v>
      </c>
      <c r="G919" s="280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8" t="s">
        <v>47</v>
      </c>
      <c r="E920" s="279" t="s">
        <v>297</v>
      </c>
      <c r="F920" s="280">
        <v>220800</v>
      </c>
      <c r="G920" s="280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8" t="s">
        <v>47</v>
      </c>
      <c r="E921" s="279" t="s">
        <v>297</v>
      </c>
      <c r="F921" s="280">
        <v>164300</v>
      </c>
      <c r="G921" s="280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8" t="s">
        <v>47</v>
      </c>
      <c r="E922" s="279" t="s">
        <v>297</v>
      </c>
      <c r="F922" s="280">
        <v>111700</v>
      </c>
      <c r="G922" s="280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8" t="s">
        <v>47</v>
      </c>
      <c r="E923" s="279" t="s">
        <v>297</v>
      </c>
      <c r="F923" s="280">
        <v>223500</v>
      </c>
      <c r="G923" s="280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8" t="s">
        <v>47</v>
      </c>
      <c r="E924" s="279" t="s">
        <v>297</v>
      </c>
      <c r="F924" s="280">
        <v>179000</v>
      </c>
      <c r="G924" s="280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8" t="s">
        <v>48</v>
      </c>
      <c r="E925" s="279"/>
      <c r="F925" s="280"/>
      <c r="G925" s="280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8" t="s">
        <v>48</v>
      </c>
      <c r="E926" s="279"/>
      <c r="F926" s="280"/>
      <c r="G926" s="280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8" t="s">
        <v>47</v>
      </c>
      <c r="E927" s="279" t="s">
        <v>1102</v>
      </c>
      <c r="F927" s="280">
        <v>9514000</v>
      </c>
      <c r="G927" s="280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8" t="s">
        <v>47</v>
      </c>
      <c r="E928" s="279" t="s">
        <v>1102</v>
      </c>
      <c r="F928" s="280">
        <v>9514000</v>
      </c>
      <c r="G928" s="280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8" t="s">
        <v>47</v>
      </c>
      <c r="E929" s="279" t="s">
        <v>1102</v>
      </c>
      <c r="F929" s="280">
        <v>7426000</v>
      </c>
      <c r="G929" s="280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8" t="s">
        <v>47</v>
      </c>
      <c r="E930" s="279" t="s">
        <v>1102</v>
      </c>
      <c r="F930" s="280">
        <v>7034000</v>
      </c>
      <c r="G930" s="280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8" t="s">
        <v>47</v>
      </c>
      <c r="E931" s="279" t="s">
        <v>1102</v>
      </c>
      <c r="F931" s="280">
        <v>6002000</v>
      </c>
      <c r="G931" s="280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8" t="s">
        <v>47</v>
      </c>
      <c r="E932" s="279" t="s">
        <v>1102</v>
      </c>
      <c r="F932" s="280">
        <v>5818000</v>
      </c>
      <c r="G932" s="280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8" t="s">
        <v>47</v>
      </c>
      <c r="E933" s="279" t="s">
        <v>1102</v>
      </c>
      <c r="F933" s="280">
        <v>5812000</v>
      </c>
      <c r="G933" s="280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8" t="s">
        <v>47</v>
      </c>
      <c r="E934" s="279" t="s">
        <v>1102</v>
      </c>
      <c r="F934" s="280">
        <v>4940000</v>
      </c>
      <c r="G934" s="280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8" t="s">
        <v>47</v>
      </c>
      <c r="E935" s="279" t="s">
        <v>1102</v>
      </c>
      <c r="F935" s="280">
        <v>5520000</v>
      </c>
      <c r="G935" s="280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8" t="s">
        <v>47</v>
      </c>
      <c r="E936" s="279" t="s">
        <v>1102</v>
      </c>
      <c r="F936" s="280">
        <v>5362000</v>
      </c>
      <c r="G936" s="280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8" t="s">
        <v>47</v>
      </c>
      <c r="E937" s="279" t="s">
        <v>1102</v>
      </c>
      <c r="F937" s="280">
        <v>4448000</v>
      </c>
      <c r="G937" s="280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8" t="s">
        <v>47</v>
      </c>
      <c r="E938" s="279" t="s">
        <v>1102</v>
      </c>
      <c r="F938" s="280">
        <v>4448000</v>
      </c>
      <c r="G938" s="280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8" t="s">
        <v>47</v>
      </c>
      <c r="E939" s="279" t="s">
        <v>1102</v>
      </c>
      <c r="F939" s="280">
        <v>3946000</v>
      </c>
      <c r="G939" s="280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8" t="s">
        <v>47</v>
      </c>
      <c r="E940" s="279" t="s">
        <v>1102</v>
      </c>
      <c r="F940" s="280">
        <v>2984000</v>
      </c>
      <c r="G940" s="280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8" t="s">
        <v>47</v>
      </c>
      <c r="E941" s="279" t="s">
        <v>1102</v>
      </c>
      <c r="F941" s="280">
        <v>7804000</v>
      </c>
      <c r="G941" s="280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8" t="s">
        <v>47</v>
      </c>
      <c r="E942" s="279" t="s">
        <v>1102</v>
      </c>
      <c r="F942" s="280">
        <v>6152000</v>
      </c>
      <c r="G942" s="280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8" t="s">
        <v>47</v>
      </c>
      <c r="E943" s="279" t="s">
        <v>1102</v>
      </c>
      <c r="F943" s="280">
        <v>5232000</v>
      </c>
      <c r="G943" s="280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8" t="s">
        <v>47</v>
      </c>
      <c r="E944" s="279" t="s">
        <v>1102</v>
      </c>
      <c r="F944" s="280">
        <v>3974000</v>
      </c>
      <c r="G944" s="280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8" t="s">
        <v>47</v>
      </c>
      <c r="E945" s="279" t="s">
        <v>1102</v>
      </c>
      <c r="F945" s="280">
        <v>5452000</v>
      </c>
      <c r="G945" s="280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8" t="s">
        <v>47</v>
      </c>
      <c r="E946" s="279" t="s">
        <v>1102</v>
      </c>
      <c r="F946" s="280">
        <v>4868000</v>
      </c>
      <c r="G946" s="280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8" t="s">
        <v>47</v>
      </c>
      <c r="E947" s="279" t="s">
        <v>1102</v>
      </c>
      <c r="F947" s="280">
        <v>3586000</v>
      </c>
      <c r="G947" s="280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8" t="s">
        <v>47</v>
      </c>
      <c r="E948" s="279" t="s">
        <v>1102</v>
      </c>
      <c r="F948" s="280">
        <v>3038000</v>
      </c>
      <c r="G948" s="280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8" t="s">
        <v>47</v>
      </c>
      <c r="E949" s="279" t="s">
        <v>1102</v>
      </c>
      <c r="F949" s="280">
        <v>2729702.1956122965</v>
      </c>
      <c r="G949" s="280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8" t="s">
        <v>47</v>
      </c>
      <c r="E950" s="279" t="s">
        <v>1102</v>
      </c>
      <c r="F950" s="280">
        <v>2509623.3260061787</v>
      </c>
      <c r="G950" s="280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8" t="s">
        <v>47</v>
      </c>
      <c r="E951" s="279" t="s">
        <v>1102</v>
      </c>
      <c r="F951" s="280">
        <v>2304000</v>
      </c>
      <c r="G951" s="280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8" t="s">
        <v>47</v>
      </c>
      <c r="E952" s="279" t="s">
        <v>1102</v>
      </c>
      <c r="F952" s="280">
        <v>2300000</v>
      </c>
      <c r="G952" s="280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8" t="s">
        <v>47</v>
      </c>
      <c r="E953" s="279" t="s">
        <v>1102</v>
      </c>
      <c r="F953" s="280">
        <v>2036000</v>
      </c>
      <c r="G953" s="280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8" t="s">
        <v>47</v>
      </c>
      <c r="E954" s="279" t="s">
        <v>1102</v>
      </c>
      <c r="F954" s="280">
        <v>10465400.000000002</v>
      </c>
      <c r="G954" s="280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8" t="s">
        <v>47</v>
      </c>
      <c r="E955" s="279" t="s">
        <v>1102</v>
      </c>
      <c r="F955" s="280">
        <v>10465400.000000002</v>
      </c>
      <c r="G955" s="280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8" t="s">
        <v>47</v>
      </c>
      <c r="E956" s="279" t="s">
        <v>1102</v>
      </c>
      <c r="F956" s="280">
        <v>8168600.0000000009</v>
      </c>
      <c r="G956" s="280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8" t="s">
        <v>47</v>
      </c>
      <c r="E957" s="279" t="s">
        <v>1102</v>
      </c>
      <c r="F957" s="280">
        <v>7737400.0000000009</v>
      </c>
      <c r="G957" s="280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8" t="s">
        <v>47</v>
      </c>
      <c r="E958" s="279" t="s">
        <v>1102</v>
      </c>
      <c r="F958" s="280">
        <v>6602200</v>
      </c>
      <c r="G958" s="280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8" t="s">
        <v>47</v>
      </c>
      <c r="E959" s="279" t="s">
        <v>1102</v>
      </c>
      <c r="F959" s="280">
        <v>6399800</v>
      </c>
      <c r="G959" s="280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8" t="s">
        <v>47</v>
      </c>
      <c r="E960" s="279" t="s">
        <v>1102</v>
      </c>
      <c r="F960" s="280">
        <v>6393200</v>
      </c>
      <c r="G960" s="280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8" t="s">
        <v>47</v>
      </c>
      <c r="E961" s="279" t="s">
        <v>1102</v>
      </c>
      <c r="F961" s="280">
        <v>5434000</v>
      </c>
      <c r="G961" s="280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8" t="s">
        <v>47</v>
      </c>
      <c r="E962" s="279" t="s">
        <v>1102</v>
      </c>
      <c r="F962" s="280">
        <v>6072000</v>
      </c>
      <c r="G962" s="280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8" t="s">
        <v>47</v>
      </c>
      <c r="E963" s="279" t="s">
        <v>1102</v>
      </c>
      <c r="F963" s="280">
        <v>5898200</v>
      </c>
      <c r="G963" s="280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8" t="s">
        <v>47</v>
      </c>
      <c r="E964" s="279" t="s">
        <v>1102</v>
      </c>
      <c r="F964" s="280">
        <v>4892800.0000000009</v>
      </c>
      <c r="G964" s="280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8" t="s">
        <v>47</v>
      </c>
      <c r="E965" s="279" t="s">
        <v>1102</v>
      </c>
      <c r="F965" s="280">
        <v>4892800.0000000009</v>
      </c>
      <c r="G965" s="280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8" t="s">
        <v>47</v>
      </c>
      <c r="E966" s="279" t="s">
        <v>1102</v>
      </c>
      <c r="F966" s="280">
        <v>4340600.0000000009</v>
      </c>
      <c r="G966" s="280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8" t="s">
        <v>47</v>
      </c>
      <c r="E967" s="279" t="s">
        <v>1102</v>
      </c>
      <c r="F967" s="280">
        <v>3282400</v>
      </c>
      <c r="G967" s="280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8" t="s">
        <v>47</v>
      </c>
      <c r="E968" s="279" t="s">
        <v>1102</v>
      </c>
      <c r="F968" s="280">
        <v>8584400.0000000019</v>
      </c>
      <c r="G968" s="280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8" t="s">
        <v>47</v>
      </c>
      <c r="E969" s="279" t="s">
        <v>1102</v>
      </c>
      <c r="F969" s="280">
        <v>6767200</v>
      </c>
      <c r="G969" s="280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8" t="s">
        <v>47</v>
      </c>
      <c r="E970" s="279" t="s">
        <v>1102</v>
      </c>
      <c r="F970" s="280">
        <v>5755200</v>
      </c>
      <c r="G970" s="280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8" t="s">
        <v>47</v>
      </c>
      <c r="E971" s="279" t="s">
        <v>1102</v>
      </c>
      <c r="F971" s="280">
        <v>4371400.0000000009</v>
      </c>
      <c r="G971" s="280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8" t="s">
        <v>47</v>
      </c>
      <c r="E972" s="279" t="s">
        <v>1102</v>
      </c>
      <c r="F972" s="280">
        <v>5997200</v>
      </c>
      <c r="G972" s="280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8" t="s">
        <v>47</v>
      </c>
      <c r="E973" s="279" t="s">
        <v>1102</v>
      </c>
      <c r="F973" s="280">
        <v>5354800</v>
      </c>
      <c r="G973" s="280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8" t="s">
        <v>47</v>
      </c>
      <c r="E974" s="279" t="s">
        <v>1102</v>
      </c>
      <c r="F974" s="280">
        <v>3944600.0000000005</v>
      </c>
      <c r="G974" s="280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8" t="s">
        <v>47</v>
      </c>
      <c r="E975" s="279" t="s">
        <v>1102</v>
      </c>
      <c r="F975" s="280">
        <v>3341800</v>
      </c>
      <c r="G975" s="280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8" t="s">
        <v>47</v>
      </c>
      <c r="E976" s="279" t="s">
        <v>1102</v>
      </c>
      <c r="F976" s="280">
        <v>3002672.4151735264</v>
      </c>
      <c r="G976" s="280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8" t="s">
        <v>47</v>
      </c>
      <c r="E977" s="279" t="s">
        <v>1102</v>
      </c>
      <c r="F977" s="280">
        <v>2760585.6586067965</v>
      </c>
      <c r="G977" s="280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8" t="s">
        <v>47</v>
      </c>
      <c r="E978" s="279" t="s">
        <v>1102</v>
      </c>
      <c r="F978" s="280">
        <v>2534400.0000000005</v>
      </c>
      <c r="G978" s="280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8" t="s">
        <v>47</v>
      </c>
      <c r="E979" s="279" t="s">
        <v>1102</v>
      </c>
      <c r="F979" s="280">
        <v>2530000.0000000005</v>
      </c>
      <c r="G979" s="280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8" t="s">
        <v>47</v>
      </c>
      <c r="E980" s="279" t="s">
        <v>1102</v>
      </c>
      <c r="F980" s="280">
        <v>2239600.0000000005</v>
      </c>
      <c r="G980" s="280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8" t="s">
        <v>47</v>
      </c>
      <c r="E981" s="279" t="s">
        <v>1102</v>
      </c>
      <c r="F981" s="280">
        <v>13242832.628818881</v>
      </c>
      <c r="G981" s="280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8" t="s">
        <v>48</v>
      </c>
      <c r="E982" s="279"/>
      <c r="F982" s="280">
        <v>0</v>
      </c>
      <c r="G982" s="280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8" t="s">
        <v>48</v>
      </c>
      <c r="E983" s="279"/>
      <c r="F983" s="280">
        <v>0</v>
      </c>
      <c r="G983" s="280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8" t="s">
        <v>47</v>
      </c>
      <c r="E984" s="279" t="s">
        <v>1102</v>
      </c>
      <c r="F984" s="280">
        <v>5710000</v>
      </c>
      <c r="G984" s="280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8" t="s">
        <v>47</v>
      </c>
      <c r="E985" s="279" t="s">
        <v>1102</v>
      </c>
      <c r="F985" s="280">
        <v>4800000</v>
      </c>
      <c r="G985" s="280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8" t="s">
        <v>47</v>
      </c>
      <c r="E986" s="279" t="s">
        <v>1102</v>
      </c>
      <c r="F986" s="280">
        <v>4416000</v>
      </c>
      <c r="G986" s="280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8" t="s">
        <v>47</v>
      </c>
      <c r="E987" s="279" t="s">
        <v>1102</v>
      </c>
      <c r="F987" s="280">
        <v>3286000</v>
      </c>
      <c r="G987" s="280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8" t="s">
        <v>47</v>
      </c>
      <c r="E988" s="279" t="s">
        <v>1102</v>
      </c>
      <c r="F988" s="280">
        <v>2234000</v>
      </c>
      <c r="G988" s="280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8" t="s">
        <v>47</v>
      </c>
      <c r="E989" s="279" t="s">
        <v>1102</v>
      </c>
      <c r="F989" s="280">
        <v>4470000</v>
      </c>
      <c r="G989" s="280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8" t="s">
        <v>47</v>
      </c>
      <c r="E990" s="279" t="s">
        <v>1102</v>
      </c>
      <c r="F990" s="280">
        <v>3580000</v>
      </c>
      <c r="G990" s="280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8" t="s">
        <v>48</v>
      </c>
      <c r="E991" s="279"/>
      <c r="F991" s="280"/>
      <c r="G991" s="280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8" t="s">
        <v>48</v>
      </c>
      <c r="E992" s="279"/>
      <c r="F992" s="280"/>
      <c r="G992" s="280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8" t="s">
        <v>47</v>
      </c>
      <c r="E993" s="279" t="s">
        <v>14</v>
      </c>
      <c r="F993" s="280">
        <v>355700</v>
      </c>
      <c r="G993" s="280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8" t="s">
        <v>47</v>
      </c>
      <c r="E994" s="279" t="s">
        <v>14</v>
      </c>
      <c r="F994" s="280">
        <v>346400</v>
      </c>
      <c r="G994" s="280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8" t="s">
        <v>47</v>
      </c>
      <c r="E995" s="279" t="s">
        <v>14</v>
      </c>
      <c r="F995" s="280">
        <v>571650</v>
      </c>
      <c r="G995" s="280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8" t="s">
        <v>47</v>
      </c>
      <c r="E996" s="279" t="s">
        <v>14</v>
      </c>
      <c r="F996" s="280">
        <v>1182800</v>
      </c>
      <c r="G996" s="280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8" t="s">
        <v>47</v>
      </c>
      <c r="E997" s="279" t="s">
        <v>14</v>
      </c>
      <c r="F997" s="280">
        <v>2953300</v>
      </c>
      <c r="G997" s="280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8" t="s">
        <v>47</v>
      </c>
      <c r="E998" s="279" t="s">
        <v>14</v>
      </c>
      <c r="F998" s="280">
        <v>1627400</v>
      </c>
      <c r="G998" s="280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8" t="s">
        <v>47</v>
      </c>
      <c r="E999" s="279" t="s">
        <v>14</v>
      </c>
      <c r="F999" s="280">
        <v>3686500</v>
      </c>
      <c r="G999" s="280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8" t="s">
        <v>47</v>
      </c>
      <c r="E1000" s="279" t="s">
        <v>14</v>
      </c>
      <c r="F1000" s="280">
        <v>3784400</v>
      </c>
      <c r="G1000" s="280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1605</v>
      </c>
      <c r="D1001" s="278" t="s">
        <v>47</v>
      </c>
      <c r="E1001" s="279" t="s">
        <v>14</v>
      </c>
      <c r="F1001" s="280">
        <v>4127900</v>
      </c>
      <c r="G1001" s="280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1606</v>
      </c>
      <c r="D1002" s="278" t="s">
        <v>47</v>
      </c>
      <c r="E1002" s="279" t="s">
        <v>14</v>
      </c>
      <c r="F1002" s="280">
        <v>4540690</v>
      </c>
      <c r="G1002" s="280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8" t="s">
        <v>47</v>
      </c>
      <c r="E1003" s="279" t="s">
        <v>14</v>
      </c>
      <c r="F1003" s="280">
        <v>614700</v>
      </c>
      <c r="G1003" s="280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8" t="s">
        <v>47</v>
      </c>
      <c r="E1004" s="279" t="s">
        <v>14</v>
      </c>
      <c r="F1004" s="280">
        <v>829000</v>
      </c>
      <c r="G1004" s="280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8" t="s">
        <v>48</v>
      </c>
      <c r="E1005" s="279"/>
      <c r="F1005" s="280"/>
      <c r="G1005" s="280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8" t="s">
        <v>48</v>
      </c>
      <c r="E1006" s="279"/>
      <c r="F1006" s="280"/>
      <c r="G1006" s="280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8" t="s">
        <v>47</v>
      </c>
      <c r="E1007" s="279" t="s">
        <v>100</v>
      </c>
      <c r="F1007" s="280">
        <v>367100.81715813151</v>
      </c>
      <c r="G1007" s="280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8" t="s">
        <v>47</v>
      </c>
      <c r="E1008" s="279" t="s">
        <v>100</v>
      </c>
      <c r="F1008" s="280">
        <v>367100.81715813151</v>
      </c>
      <c r="G1008" s="280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8" t="s">
        <v>47</v>
      </c>
      <c r="E1009" s="279" t="s">
        <v>100</v>
      </c>
      <c r="F1009" s="280">
        <v>483136</v>
      </c>
      <c r="G1009" s="280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8" t="s">
        <v>47</v>
      </c>
      <c r="E1010" s="279" t="s">
        <v>100</v>
      </c>
      <c r="F1010" s="280">
        <v>483136</v>
      </c>
      <c r="G1010" s="280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8" t="s">
        <v>47</v>
      </c>
      <c r="E1011" s="279" t="s">
        <v>100</v>
      </c>
      <c r="F1011" s="280">
        <v>542850</v>
      </c>
      <c r="G1011" s="280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8" t="s">
        <v>47</v>
      </c>
      <c r="E1012" s="279" t="s">
        <v>100</v>
      </c>
      <c r="F1012" s="280">
        <v>542850</v>
      </c>
      <c r="G1012" s="280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8" t="s">
        <v>47</v>
      </c>
      <c r="E1013" s="279" t="s">
        <v>100</v>
      </c>
      <c r="F1013" s="280">
        <v>580849</v>
      </c>
      <c r="G1013" s="280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8" t="s">
        <v>47</v>
      </c>
      <c r="E1014" s="279" t="s">
        <v>100</v>
      </c>
      <c r="F1014" s="280">
        <v>580849</v>
      </c>
      <c r="G1014" s="280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8" t="s">
        <v>47</v>
      </c>
      <c r="E1015" s="279" t="s">
        <v>100</v>
      </c>
      <c r="F1015" s="280">
        <v>640563</v>
      </c>
      <c r="G1015" s="280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8" t="s">
        <v>47</v>
      </c>
      <c r="E1016" s="279" t="s">
        <v>100</v>
      </c>
      <c r="F1016" s="280">
        <v>640563</v>
      </c>
      <c r="G1016" s="280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8" t="s">
        <v>47</v>
      </c>
      <c r="E1017" s="279" t="s">
        <v>100</v>
      </c>
      <c r="F1017" s="280">
        <v>777904.11254937388</v>
      </c>
      <c r="G1017" s="280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8" t="s">
        <v>47</v>
      </c>
      <c r="E1018" s="279" t="s">
        <v>100</v>
      </c>
      <c r="F1018" s="280">
        <v>777904.11254937388</v>
      </c>
      <c r="G1018" s="280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8" t="s">
        <v>47</v>
      </c>
      <c r="E1019" s="279" t="s">
        <v>100</v>
      </c>
      <c r="F1019" s="280">
        <v>776275</v>
      </c>
      <c r="G1019" s="280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8" t="s">
        <v>47</v>
      </c>
      <c r="E1020" s="279" t="s">
        <v>100</v>
      </c>
      <c r="F1020" s="280">
        <v>776275</v>
      </c>
      <c r="G1020" s="280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8" t="s">
        <v>47</v>
      </c>
      <c r="E1021" s="279" t="s">
        <v>100</v>
      </c>
      <c r="F1021" s="280">
        <v>852274</v>
      </c>
      <c r="G1021" s="280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8" t="s">
        <v>47</v>
      </c>
      <c r="E1022" s="279" t="s">
        <v>100</v>
      </c>
      <c r="F1022" s="280">
        <v>852274</v>
      </c>
      <c r="G1022" s="280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8" t="s">
        <v>47</v>
      </c>
      <c r="E1023" s="279" t="s">
        <v>100</v>
      </c>
      <c r="F1023" s="280">
        <v>1280085.3169734846</v>
      </c>
      <c r="G1023" s="280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8" t="s">
        <v>47</v>
      </c>
      <c r="E1024" s="279" t="s">
        <v>100</v>
      </c>
      <c r="F1024" s="280">
        <v>1280085.3169734846</v>
      </c>
      <c r="G1024" s="280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8" t="s">
        <v>47</v>
      </c>
      <c r="E1025" s="279" t="s">
        <v>100</v>
      </c>
      <c r="F1025" s="280">
        <v>901131</v>
      </c>
      <c r="G1025" s="280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8" t="s">
        <v>47</v>
      </c>
      <c r="E1026" s="279" t="s">
        <v>100</v>
      </c>
      <c r="F1026" s="280">
        <v>901131</v>
      </c>
      <c r="G1026" s="280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8" t="s">
        <v>47</v>
      </c>
      <c r="E1027" s="279" t="s">
        <v>100</v>
      </c>
      <c r="F1027" s="280">
        <v>928273</v>
      </c>
      <c r="G1027" s="280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8" t="s">
        <v>47</v>
      </c>
      <c r="E1028" s="279" t="s">
        <v>100</v>
      </c>
      <c r="F1028" s="280">
        <v>928273</v>
      </c>
      <c r="G1028" s="280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8" t="s">
        <v>47</v>
      </c>
      <c r="E1029" s="279" t="s">
        <v>100</v>
      </c>
      <c r="F1029" s="280">
        <v>1063986</v>
      </c>
      <c r="G1029" s="280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8" t="s">
        <v>47</v>
      </c>
      <c r="E1030" s="279" t="s">
        <v>100</v>
      </c>
      <c r="F1030" s="280">
        <v>1063986</v>
      </c>
      <c r="G1030" s="280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8" t="s">
        <v>47</v>
      </c>
      <c r="E1031" s="279" t="s">
        <v>100</v>
      </c>
      <c r="F1031" s="280">
        <v>1503365.2512190146</v>
      </c>
      <c r="G1031" s="280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8" t="s">
        <v>47</v>
      </c>
      <c r="E1032" s="279" t="s">
        <v>100</v>
      </c>
      <c r="F1032" s="280">
        <v>1503365.2512190146</v>
      </c>
      <c r="G1032" s="280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8" t="s">
        <v>48</v>
      </c>
      <c r="E1033" s="279"/>
      <c r="F1033" s="280"/>
      <c r="G1033" s="280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8" t="s">
        <v>48</v>
      </c>
      <c r="E1034" s="279"/>
      <c r="F1034" s="280"/>
      <c r="G1034" s="280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8" t="s">
        <v>47</v>
      </c>
      <c r="E1035" s="279" t="s">
        <v>14</v>
      </c>
      <c r="F1035" s="280">
        <v>11600</v>
      </c>
      <c r="G1035" s="280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8" t="s">
        <v>47</v>
      </c>
      <c r="E1036" s="279" t="s">
        <v>14</v>
      </c>
      <c r="F1036" s="280">
        <v>10700</v>
      </c>
      <c r="G1036" s="280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8" t="s">
        <v>47</v>
      </c>
      <c r="E1037" s="279" t="s">
        <v>297</v>
      </c>
      <c r="F1037" s="280">
        <v>1318750</v>
      </c>
      <c r="G1037" s="280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8" t="s">
        <v>47</v>
      </c>
      <c r="E1038" s="279" t="s">
        <v>297</v>
      </c>
      <c r="F1038" s="280">
        <v>1055000</v>
      </c>
      <c r="G1038" s="280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8" t="s">
        <v>47</v>
      </c>
      <c r="E1039" s="279" t="s">
        <v>473</v>
      </c>
      <c r="F1039" s="280">
        <v>700</v>
      </c>
      <c r="G1039" s="280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8" t="s">
        <v>47</v>
      </c>
      <c r="E1040" s="279" t="s">
        <v>473</v>
      </c>
      <c r="F1040" s="280">
        <v>1400</v>
      </c>
      <c r="G1040" s="280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8" t="s">
        <v>47</v>
      </c>
      <c r="E1041" s="279" t="s">
        <v>473</v>
      </c>
      <c r="F1041" s="280">
        <v>28300</v>
      </c>
      <c r="G1041" s="280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8" t="s">
        <v>47</v>
      </c>
      <c r="E1042" s="279" t="s">
        <v>473</v>
      </c>
      <c r="F1042" s="280">
        <v>16900</v>
      </c>
      <c r="G1042" s="280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8" t="s">
        <v>47</v>
      </c>
      <c r="E1043" s="279" t="s">
        <v>473</v>
      </c>
      <c r="F1043" s="280">
        <v>4566.666666666667</v>
      </c>
      <c r="G1043" s="280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8" t="s">
        <v>47</v>
      </c>
      <c r="E1044" s="279" t="s">
        <v>473</v>
      </c>
      <c r="F1044" s="284">
        <v>1100</v>
      </c>
      <c r="G1044" s="284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8" t="s">
        <v>47</v>
      </c>
      <c r="E1045" s="279" t="s">
        <v>473</v>
      </c>
      <c r="F1045" s="284">
        <v>2200</v>
      </c>
      <c r="G1045" s="284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8" t="s">
        <v>47</v>
      </c>
      <c r="E1046" s="279" t="s">
        <v>473</v>
      </c>
      <c r="F1046" s="284">
        <v>5300</v>
      </c>
      <c r="G1046" s="284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8" t="s">
        <v>47</v>
      </c>
      <c r="E1047" s="279" t="s">
        <v>473</v>
      </c>
      <c r="F1047" s="284">
        <v>5800</v>
      </c>
      <c r="G1047" s="284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8" t="s">
        <v>47</v>
      </c>
      <c r="E1048" s="279" t="s">
        <v>473</v>
      </c>
      <c r="F1048" s="284">
        <v>7200</v>
      </c>
      <c r="G1048" s="284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8" t="s">
        <v>47</v>
      </c>
      <c r="E1049" s="279" t="s">
        <v>796</v>
      </c>
      <c r="F1049" s="280">
        <v>162200</v>
      </c>
      <c r="G1049" s="280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8"/>
      <c r="E1050" s="279"/>
      <c r="F1050" s="280"/>
      <c r="G1050" s="280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8" t="s">
        <v>48</v>
      </c>
      <c r="E1051" s="279"/>
      <c r="F1051" s="280"/>
      <c r="G1051" s="280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8" t="s">
        <v>47</v>
      </c>
      <c r="E1052" s="279" t="s">
        <v>14</v>
      </c>
      <c r="F1052" s="280">
        <v>25000</v>
      </c>
      <c r="G1052" s="280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8" t="s">
        <v>47</v>
      </c>
      <c r="E1053" s="279" t="s">
        <v>14</v>
      </c>
      <c r="F1053" s="280">
        <v>60300</v>
      </c>
      <c r="G1053" s="280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8" t="s">
        <v>47</v>
      </c>
      <c r="E1054" s="279" t="s">
        <v>14</v>
      </c>
      <c r="F1054" s="280">
        <v>54400</v>
      </c>
      <c r="G1054" s="280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8" t="s">
        <v>47</v>
      </c>
      <c r="E1055" s="279" t="s">
        <v>14</v>
      </c>
      <c r="F1055" s="280">
        <v>106400</v>
      </c>
      <c r="G1055" s="280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8" t="s">
        <v>47</v>
      </c>
      <c r="E1056" s="279" t="s">
        <v>14</v>
      </c>
      <c r="F1056" s="280">
        <v>798700</v>
      </c>
      <c r="G1056" s="280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8" t="s">
        <v>47</v>
      </c>
      <c r="E1057" s="279" t="s">
        <v>14</v>
      </c>
      <c r="F1057" s="280">
        <v>1641700</v>
      </c>
      <c r="G1057" s="280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8" t="s">
        <v>47</v>
      </c>
      <c r="E1058" s="279" t="s">
        <v>14</v>
      </c>
      <c r="F1058" s="280">
        <v>39800</v>
      </c>
      <c r="G1058" s="280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1607</v>
      </c>
      <c r="D1059" s="278" t="s">
        <v>47</v>
      </c>
      <c r="E1059" s="279" t="s">
        <v>14</v>
      </c>
      <c r="F1059" s="280">
        <v>78008</v>
      </c>
      <c r="G1059" s="280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8" t="s">
        <v>48</v>
      </c>
      <c r="E1060" s="279"/>
      <c r="F1060" s="280"/>
      <c r="G1060" s="280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8" t="s">
        <v>48</v>
      </c>
      <c r="E1061" s="279"/>
      <c r="F1061" s="280"/>
      <c r="G1061" s="280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8" t="s">
        <v>48</v>
      </c>
      <c r="E1062" s="279"/>
      <c r="F1062" s="280"/>
      <c r="G1062" s="280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8" t="s">
        <v>47</v>
      </c>
      <c r="E1063" s="279" t="s">
        <v>14</v>
      </c>
      <c r="F1063" s="280">
        <v>11880</v>
      </c>
      <c r="G1063" s="280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8" t="s">
        <v>47</v>
      </c>
      <c r="E1064" s="279" t="s">
        <v>14</v>
      </c>
      <c r="F1064" s="280">
        <v>12300</v>
      </c>
      <c r="G1064" s="280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8" t="s">
        <v>47</v>
      </c>
      <c r="E1065" s="279" t="s">
        <v>14</v>
      </c>
      <c r="F1065" s="280">
        <v>16500</v>
      </c>
      <c r="G1065" s="280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8" t="s">
        <v>47</v>
      </c>
      <c r="E1066" s="279" t="s">
        <v>14</v>
      </c>
      <c r="F1066" s="280">
        <v>8940</v>
      </c>
      <c r="G1066" s="280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8" t="s">
        <v>47</v>
      </c>
      <c r="E1067" s="279" t="s">
        <v>14</v>
      </c>
      <c r="F1067" s="280">
        <v>15060</v>
      </c>
      <c r="G1067" s="280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8" t="s">
        <v>47</v>
      </c>
      <c r="E1068" s="279" t="s">
        <v>14</v>
      </c>
      <c r="F1068" s="280">
        <v>17820</v>
      </c>
      <c r="G1068" s="280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8" t="s">
        <v>47</v>
      </c>
      <c r="E1069" s="279" t="s">
        <v>14</v>
      </c>
      <c r="F1069" s="280">
        <v>15060</v>
      </c>
      <c r="G1069" s="280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8" t="s">
        <v>47</v>
      </c>
      <c r="E1070" s="279" t="s">
        <v>14</v>
      </c>
      <c r="F1070" s="280">
        <v>22560</v>
      </c>
      <c r="G1070" s="280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8" t="s">
        <v>47</v>
      </c>
      <c r="E1071" s="279" t="s">
        <v>14</v>
      </c>
      <c r="F1071" s="280">
        <v>15060</v>
      </c>
      <c r="G1071" s="280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8" t="s">
        <v>47</v>
      </c>
      <c r="E1072" s="279" t="s">
        <v>14</v>
      </c>
      <c r="F1072" s="280">
        <v>23880</v>
      </c>
      <c r="G1072" s="280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8" t="s">
        <v>47</v>
      </c>
      <c r="E1073" s="279" t="s">
        <v>14</v>
      </c>
      <c r="F1073" s="280">
        <v>13320</v>
      </c>
      <c r="G1073" s="280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8" t="s">
        <v>47</v>
      </c>
      <c r="E1074" s="279" t="s">
        <v>14</v>
      </c>
      <c r="F1074" s="280">
        <v>18180</v>
      </c>
      <c r="G1074" s="280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8" t="s">
        <v>47</v>
      </c>
      <c r="E1075" s="279" t="s">
        <v>14</v>
      </c>
      <c r="F1075" s="280">
        <v>13920</v>
      </c>
      <c r="G1075" s="280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8" t="s">
        <v>47</v>
      </c>
      <c r="E1076" s="279" t="s">
        <v>14</v>
      </c>
      <c r="F1076" s="280">
        <v>10320</v>
      </c>
      <c r="G1076" s="280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8" t="s">
        <v>47</v>
      </c>
      <c r="E1077" s="279" t="s">
        <v>14</v>
      </c>
      <c r="F1077" s="280">
        <v>11880</v>
      </c>
      <c r="G1077" s="280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8" t="s">
        <v>47</v>
      </c>
      <c r="E1078" s="279" t="s">
        <v>14</v>
      </c>
      <c r="F1078" s="280">
        <v>11880</v>
      </c>
      <c r="G1078" s="280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8" t="s">
        <v>47</v>
      </c>
      <c r="E1079" s="279" t="s">
        <v>14</v>
      </c>
      <c r="F1079" s="280">
        <v>12300</v>
      </c>
      <c r="G1079" s="280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8" t="s">
        <v>47</v>
      </c>
      <c r="E1080" s="279" t="s">
        <v>14</v>
      </c>
      <c r="F1080" s="280">
        <v>12300</v>
      </c>
      <c r="G1080" s="280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8" t="s">
        <v>47</v>
      </c>
      <c r="E1081" s="279" t="s">
        <v>14</v>
      </c>
      <c r="F1081" s="280">
        <v>16500</v>
      </c>
      <c r="G1081" s="280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8" t="s">
        <v>47</v>
      </c>
      <c r="E1082" s="279" t="s">
        <v>14</v>
      </c>
      <c r="F1082" s="280">
        <v>16500</v>
      </c>
      <c r="G1082" s="280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8" t="s">
        <v>47</v>
      </c>
      <c r="E1083" s="279" t="s">
        <v>14</v>
      </c>
      <c r="F1083" s="280">
        <v>13260</v>
      </c>
      <c r="G1083" s="280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8" t="s">
        <v>48</v>
      </c>
      <c r="E1084" s="279"/>
      <c r="F1084" s="280">
        <v>0</v>
      </c>
      <c r="G1084" s="280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8" t="s">
        <v>48</v>
      </c>
      <c r="E1085" s="279"/>
      <c r="F1085" s="280">
        <v>0</v>
      </c>
      <c r="G1085" s="280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8" t="s">
        <v>47</v>
      </c>
      <c r="E1086" s="279" t="s">
        <v>14</v>
      </c>
      <c r="F1086" s="280">
        <v>31920</v>
      </c>
      <c r="G1086" s="280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8" t="s">
        <v>47</v>
      </c>
      <c r="E1087" s="279" t="s">
        <v>14</v>
      </c>
      <c r="F1087" s="280">
        <v>31920</v>
      </c>
      <c r="G1087" s="280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8" t="s">
        <v>47</v>
      </c>
      <c r="E1088" s="279" t="s">
        <v>14</v>
      </c>
      <c r="F1088" s="280">
        <v>31920</v>
      </c>
      <c r="G1088" s="280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8" t="s">
        <v>47</v>
      </c>
      <c r="E1089" s="279" t="s">
        <v>14</v>
      </c>
      <c r="F1089" s="280">
        <v>48060</v>
      </c>
      <c r="G1089" s="280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8" t="s">
        <v>47</v>
      </c>
      <c r="E1090" s="279" t="s">
        <v>14</v>
      </c>
      <c r="F1090" s="280">
        <v>16200</v>
      </c>
      <c r="G1090" s="280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8" t="s">
        <v>47</v>
      </c>
      <c r="E1091" s="279" t="s">
        <v>14</v>
      </c>
      <c r="F1091" s="280">
        <v>48060</v>
      </c>
      <c r="G1091" s="280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8" t="s">
        <v>47</v>
      </c>
      <c r="E1092" s="279" t="s">
        <v>14</v>
      </c>
      <c r="F1092" s="280">
        <v>50400</v>
      </c>
      <c r="G1092" s="280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8" t="s">
        <v>47</v>
      </c>
      <c r="E1093" s="279" t="s">
        <v>14</v>
      </c>
      <c r="F1093" s="280">
        <v>26400</v>
      </c>
      <c r="G1093" s="280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8" t="s">
        <v>47</v>
      </c>
      <c r="E1094" s="279" t="s">
        <v>14</v>
      </c>
      <c r="F1094" s="280">
        <v>42180</v>
      </c>
      <c r="G1094" s="280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8" t="s">
        <v>47</v>
      </c>
      <c r="E1095" s="279" t="s">
        <v>14</v>
      </c>
      <c r="F1095" s="280">
        <v>42180</v>
      </c>
      <c r="G1095" s="280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8" t="s">
        <v>47</v>
      </c>
      <c r="E1096" s="279" t="s">
        <v>14</v>
      </c>
      <c r="F1096" s="280">
        <v>27120</v>
      </c>
      <c r="G1096" s="280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8" t="s">
        <v>47</v>
      </c>
      <c r="E1097" s="279" t="s">
        <v>14</v>
      </c>
      <c r="F1097" s="280">
        <v>46800</v>
      </c>
      <c r="G1097" s="280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8" t="s">
        <v>47</v>
      </c>
      <c r="E1098" s="279" t="s">
        <v>14</v>
      </c>
      <c r="F1098" s="280">
        <v>46800</v>
      </c>
      <c r="G1098" s="280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8" t="s">
        <v>47</v>
      </c>
      <c r="E1099" s="279" t="s">
        <v>14</v>
      </c>
      <c r="F1099" s="280">
        <v>45240</v>
      </c>
      <c r="G1099" s="280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8" t="s">
        <v>47</v>
      </c>
      <c r="E1100" s="279" t="s">
        <v>14</v>
      </c>
      <c r="F1100" s="280">
        <v>22740</v>
      </c>
      <c r="G1100" s="280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8" t="s">
        <v>47</v>
      </c>
      <c r="E1101" s="279" t="s">
        <v>14</v>
      </c>
      <c r="F1101" s="280">
        <v>22740</v>
      </c>
      <c r="G1101" s="280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8" t="s">
        <v>47</v>
      </c>
      <c r="E1102" s="279" t="s">
        <v>14</v>
      </c>
      <c r="F1102" s="280">
        <v>24420</v>
      </c>
      <c r="G1102" s="280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8" t="s">
        <v>47</v>
      </c>
      <c r="E1103" s="279" t="s">
        <v>14</v>
      </c>
      <c r="F1103" s="280">
        <v>24420</v>
      </c>
      <c r="G1103" s="280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8" t="s">
        <v>47</v>
      </c>
      <c r="E1104" s="279" t="s">
        <v>14</v>
      </c>
      <c r="F1104" s="280">
        <v>24420</v>
      </c>
      <c r="G1104" s="280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8" t="s">
        <v>47</v>
      </c>
      <c r="E1105" s="279" t="s">
        <v>14</v>
      </c>
      <c r="F1105" s="280">
        <v>24420</v>
      </c>
      <c r="G1105" s="280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8" t="s">
        <v>47</v>
      </c>
      <c r="E1106" s="279" t="s">
        <v>14</v>
      </c>
      <c r="F1106" s="280">
        <v>21720</v>
      </c>
      <c r="G1106" s="280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8" t="s">
        <v>47</v>
      </c>
      <c r="E1107" s="279" t="s">
        <v>14</v>
      </c>
      <c r="F1107" s="280">
        <v>20100</v>
      </c>
      <c r="G1107" s="280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8" t="s">
        <v>47</v>
      </c>
      <c r="E1108" s="279" t="s">
        <v>14</v>
      </c>
      <c r="F1108" s="280">
        <v>20100</v>
      </c>
      <c r="G1108" s="280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8" t="s">
        <v>47</v>
      </c>
      <c r="E1109" s="279" t="s">
        <v>14</v>
      </c>
      <c r="F1109" s="280">
        <v>20100</v>
      </c>
      <c r="G1109" s="280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8" t="s">
        <v>47</v>
      </c>
      <c r="E1110" s="279" t="s">
        <v>14</v>
      </c>
      <c r="F1110" s="280">
        <v>20100</v>
      </c>
      <c r="G1110" s="280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8" t="s">
        <v>47</v>
      </c>
      <c r="E1111" s="279" t="s">
        <v>14</v>
      </c>
      <c r="F1111" s="280">
        <v>42240</v>
      </c>
      <c r="G1111" s="280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8" t="s">
        <v>47</v>
      </c>
      <c r="E1112" s="279" t="s">
        <v>14</v>
      </c>
      <c r="F1112" s="280">
        <v>42240</v>
      </c>
      <c r="G1112" s="280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8" t="s">
        <v>47</v>
      </c>
      <c r="E1113" s="279" t="s">
        <v>14</v>
      </c>
      <c r="F1113" s="280">
        <v>40260</v>
      </c>
      <c r="G1113" s="280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8" t="s">
        <v>47</v>
      </c>
      <c r="E1114" s="279" t="s">
        <v>14</v>
      </c>
      <c r="F1114" s="280">
        <v>28020</v>
      </c>
      <c r="G1114" s="280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8" t="s">
        <v>47</v>
      </c>
      <c r="E1115" s="279" t="s">
        <v>14</v>
      </c>
      <c r="F1115" s="280">
        <v>28020</v>
      </c>
      <c r="G1115" s="280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8" t="s">
        <v>47</v>
      </c>
      <c r="E1116" s="279" t="s">
        <v>14</v>
      </c>
      <c r="F1116" s="280">
        <v>45360</v>
      </c>
      <c r="G1116" s="280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8" t="s">
        <v>47</v>
      </c>
      <c r="E1117" s="279" t="s">
        <v>14</v>
      </c>
      <c r="F1117" s="280">
        <v>45360</v>
      </c>
      <c r="G1117" s="280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8" t="s">
        <v>47</v>
      </c>
      <c r="E1118" s="279" t="s">
        <v>14</v>
      </c>
      <c r="F1118" s="280">
        <v>36060</v>
      </c>
      <c r="G1118" s="280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8" t="s">
        <v>47</v>
      </c>
      <c r="E1119" s="279" t="s">
        <v>14</v>
      </c>
      <c r="F1119" s="280">
        <v>33660</v>
      </c>
      <c r="G1119" s="280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8" t="s">
        <v>48</v>
      </c>
      <c r="E1120" s="279"/>
      <c r="F1120" s="280">
        <v>0</v>
      </c>
      <c r="G1120" s="280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8" t="s">
        <v>48</v>
      </c>
      <c r="E1121" s="279"/>
      <c r="F1121" s="280">
        <v>0</v>
      </c>
      <c r="G1121" s="280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8" t="s">
        <v>47</v>
      </c>
      <c r="E1122" s="279" t="s">
        <v>14</v>
      </c>
      <c r="F1122" s="280">
        <v>38820</v>
      </c>
      <c r="G1122" s="280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8" t="s">
        <v>47</v>
      </c>
      <c r="E1123" s="279" t="s">
        <v>14</v>
      </c>
      <c r="F1123" s="280">
        <v>38820</v>
      </c>
      <c r="G1123" s="280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8" t="s">
        <v>47</v>
      </c>
      <c r="E1124" s="279" t="s">
        <v>14</v>
      </c>
      <c r="F1124" s="280">
        <v>47880</v>
      </c>
      <c r="G1124" s="280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8" t="s">
        <v>47</v>
      </c>
      <c r="E1125" s="279" t="s">
        <v>14</v>
      </c>
      <c r="F1125" s="280">
        <v>49920</v>
      </c>
      <c r="G1125" s="280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8" t="s">
        <v>47</v>
      </c>
      <c r="E1126" s="279" t="s">
        <v>14</v>
      </c>
      <c r="F1126" s="280">
        <v>64260</v>
      </c>
      <c r="G1126" s="280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8" t="s">
        <v>47</v>
      </c>
      <c r="E1127" s="279" t="s">
        <v>14</v>
      </c>
      <c r="F1127" s="280">
        <v>110640</v>
      </c>
      <c r="G1127" s="280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8" t="s">
        <v>48</v>
      </c>
      <c r="E1128" s="279"/>
      <c r="F1128" s="280">
        <v>0</v>
      </c>
      <c r="G1128" s="280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8" t="s">
        <v>48</v>
      </c>
      <c r="E1129" s="279"/>
      <c r="F1129" s="280">
        <v>0</v>
      </c>
      <c r="G1129" s="280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8" t="s">
        <v>47</v>
      </c>
      <c r="E1130" s="279" t="s">
        <v>14</v>
      </c>
      <c r="F1130" s="280">
        <v>45120</v>
      </c>
      <c r="G1130" s="280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8" t="s">
        <v>47</v>
      </c>
      <c r="E1131" s="279" t="s">
        <v>14</v>
      </c>
      <c r="F1131" s="280">
        <v>45120</v>
      </c>
      <c r="G1131" s="280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8" t="s">
        <v>47</v>
      </c>
      <c r="E1132" s="279" t="s">
        <v>14</v>
      </c>
      <c r="F1132" s="280">
        <v>44940</v>
      </c>
      <c r="G1132" s="280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8" t="s">
        <v>47</v>
      </c>
      <c r="E1133" s="279" t="s">
        <v>14</v>
      </c>
      <c r="F1133" s="280">
        <v>47640</v>
      </c>
      <c r="G1133" s="280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8" t="s">
        <v>47</v>
      </c>
      <c r="E1134" s="279" t="s">
        <v>14</v>
      </c>
      <c r="F1134" s="280">
        <v>50340</v>
      </c>
      <c r="G1134" s="280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8" t="s">
        <v>47</v>
      </c>
      <c r="E1135" s="279" t="s">
        <v>14</v>
      </c>
      <c r="F1135" s="280">
        <v>43860</v>
      </c>
      <c r="G1135" s="280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8" t="s">
        <v>47</v>
      </c>
      <c r="E1136" s="279" t="s">
        <v>14</v>
      </c>
      <c r="F1136" s="280">
        <v>50940</v>
      </c>
      <c r="G1136" s="280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8" t="s">
        <v>47</v>
      </c>
      <c r="E1137" s="279" t="s">
        <v>14</v>
      </c>
      <c r="F1137" s="280">
        <v>50940</v>
      </c>
      <c r="G1137" s="280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8" t="s">
        <v>47</v>
      </c>
      <c r="E1138" s="279" t="s">
        <v>14</v>
      </c>
      <c r="F1138" s="280">
        <v>48240</v>
      </c>
      <c r="G1138" s="280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8" t="s">
        <v>47</v>
      </c>
      <c r="E1139" s="279" t="s">
        <v>14</v>
      </c>
      <c r="F1139" s="280">
        <v>47280</v>
      </c>
      <c r="G1139" s="280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8" t="s">
        <v>47</v>
      </c>
      <c r="E1140" s="279" t="s">
        <v>14</v>
      </c>
      <c r="F1140" s="280">
        <v>59940</v>
      </c>
      <c r="G1140" s="280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8" t="s">
        <v>47</v>
      </c>
      <c r="E1141" s="279" t="s">
        <v>14</v>
      </c>
      <c r="F1141" s="280">
        <v>55080</v>
      </c>
      <c r="G1141" s="280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8" t="s">
        <v>47</v>
      </c>
      <c r="E1142" s="279" t="s">
        <v>14</v>
      </c>
      <c r="F1142" s="280">
        <v>44640</v>
      </c>
      <c r="G1142" s="280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8" t="s">
        <v>47</v>
      </c>
      <c r="E1143" s="279" t="s">
        <v>14</v>
      </c>
      <c r="F1143" s="280">
        <v>58920</v>
      </c>
      <c r="G1143" s="280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8" t="s">
        <v>47</v>
      </c>
      <c r="E1144" s="279" t="s">
        <v>14</v>
      </c>
      <c r="F1144" s="280">
        <v>58920</v>
      </c>
      <c r="G1144" s="280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8" t="s">
        <v>47</v>
      </c>
      <c r="E1145" s="279" t="s">
        <v>14</v>
      </c>
      <c r="F1145" s="280">
        <v>58140</v>
      </c>
      <c r="G1145" s="280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8" t="s">
        <v>47</v>
      </c>
      <c r="E1146" s="279" t="s">
        <v>14</v>
      </c>
      <c r="F1146" s="280">
        <v>58140</v>
      </c>
      <c r="G1146" s="280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8" t="s">
        <v>47</v>
      </c>
      <c r="E1147" s="279" t="s">
        <v>14</v>
      </c>
      <c r="F1147" s="280">
        <v>56340</v>
      </c>
      <c r="G1147" s="280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8" t="s">
        <v>47</v>
      </c>
      <c r="E1148" s="279" t="s">
        <v>14</v>
      </c>
      <c r="F1148" s="280">
        <v>105060</v>
      </c>
      <c r="G1148" s="280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8" t="s">
        <v>47</v>
      </c>
      <c r="E1149" s="279" t="s">
        <v>14</v>
      </c>
      <c r="F1149" s="280">
        <v>57540</v>
      </c>
      <c r="G1149" s="280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8" t="s">
        <v>47</v>
      </c>
      <c r="E1150" s="279" t="s">
        <v>14</v>
      </c>
      <c r="F1150" s="280">
        <v>61080</v>
      </c>
      <c r="G1150" s="280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8" t="s">
        <v>47</v>
      </c>
      <c r="E1151" s="279" t="s">
        <v>14</v>
      </c>
      <c r="F1151" s="280">
        <v>71880</v>
      </c>
      <c r="G1151" s="280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8" t="s">
        <v>47</v>
      </c>
      <c r="E1152" s="279" t="s">
        <v>14</v>
      </c>
      <c r="F1152" s="280">
        <v>61080</v>
      </c>
      <c r="G1152" s="280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8" t="s">
        <v>47</v>
      </c>
      <c r="E1153" s="279" t="s">
        <v>14</v>
      </c>
      <c r="F1153" s="280">
        <v>55860</v>
      </c>
      <c r="G1153" s="280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8" t="s">
        <v>47</v>
      </c>
      <c r="E1154" s="279" t="s">
        <v>14</v>
      </c>
      <c r="F1154" s="280">
        <v>58680</v>
      </c>
      <c r="G1154" s="280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8" t="s">
        <v>47</v>
      </c>
      <c r="E1155" s="279" t="s">
        <v>14</v>
      </c>
      <c r="F1155" s="280">
        <v>115680</v>
      </c>
      <c r="G1155" s="280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8" t="s">
        <v>47</v>
      </c>
      <c r="E1156" s="279" t="s">
        <v>14</v>
      </c>
      <c r="F1156" s="280">
        <v>118500</v>
      </c>
      <c r="G1156" s="280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8" t="s">
        <v>47</v>
      </c>
      <c r="E1157" s="279" t="s">
        <v>14</v>
      </c>
      <c r="F1157" s="280">
        <v>118500</v>
      </c>
      <c r="G1157" s="280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8" t="s">
        <v>47</v>
      </c>
      <c r="E1158" s="279" t="s">
        <v>14</v>
      </c>
      <c r="F1158" s="280">
        <v>117900</v>
      </c>
      <c r="G1158" s="280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8" t="s">
        <v>47</v>
      </c>
      <c r="E1159" s="279" t="s">
        <v>14</v>
      </c>
      <c r="F1159" s="280">
        <v>120120</v>
      </c>
      <c r="G1159" s="280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8" t="s">
        <v>47</v>
      </c>
      <c r="E1160" s="279" t="s">
        <v>14</v>
      </c>
      <c r="F1160" s="280">
        <v>50460</v>
      </c>
      <c r="G1160" s="280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8" t="s">
        <v>47</v>
      </c>
      <c r="E1161" s="279" t="s">
        <v>14</v>
      </c>
      <c r="F1161" s="280">
        <v>50460</v>
      </c>
      <c r="G1161" s="280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8" t="s">
        <v>47</v>
      </c>
      <c r="E1162" s="279" t="s">
        <v>14</v>
      </c>
      <c r="F1162" s="280">
        <v>41400</v>
      </c>
      <c r="G1162" s="280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8" t="s">
        <v>47</v>
      </c>
      <c r="E1163" s="279" t="s">
        <v>14</v>
      </c>
      <c r="F1163" s="280">
        <v>61140</v>
      </c>
      <c r="G1163" s="280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8" t="s">
        <v>47</v>
      </c>
      <c r="E1164" s="279" t="s">
        <v>14</v>
      </c>
      <c r="F1164" s="280">
        <v>61140</v>
      </c>
      <c r="G1164" s="280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8" t="s">
        <v>47</v>
      </c>
      <c r="E1165" s="279" t="s">
        <v>14</v>
      </c>
      <c r="F1165" s="280">
        <v>55380</v>
      </c>
      <c r="G1165" s="280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8" t="s">
        <v>47</v>
      </c>
      <c r="E1166" s="279" t="s">
        <v>14</v>
      </c>
      <c r="F1166" s="280">
        <v>61860</v>
      </c>
      <c r="G1166" s="280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8" t="s">
        <v>47</v>
      </c>
      <c r="E1167" s="279" t="s">
        <v>14</v>
      </c>
      <c r="F1167" s="280">
        <v>63900</v>
      </c>
      <c r="G1167" s="280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8" t="s">
        <v>47</v>
      </c>
      <c r="E1168" s="279" t="s">
        <v>14</v>
      </c>
      <c r="F1168" s="280">
        <v>59220</v>
      </c>
      <c r="G1168" s="280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8" t="s">
        <v>48</v>
      </c>
      <c r="E1169" s="279"/>
      <c r="F1169" s="280">
        <v>0</v>
      </c>
      <c r="G1169" s="280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8" t="s">
        <v>48</v>
      </c>
      <c r="E1170" s="279"/>
      <c r="F1170" s="280">
        <v>0</v>
      </c>
      <c r="G1170" s="280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8" t="s">
        <v>47</v>
      </c>
      <c r="E1171" s="279" t="s">
        <v>14</v>
      </c>
      <c r="F1171" s="280">
        <v>89700</v>
      </c>
      <c r="G1171" s="280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8" t="s">
        <v>47</v>
      </c>
      <c r="E1172" s="279" t="s">
        <v>14</v>
      </c>
      <c r="F1172" s="280">
        <v>91200</v>
      </c>
      <c r="G1172" s="280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8" t="s">
        <v>47</v>
      </c>
      <c r="E1173" s="279" t="s">
        <v>14</v>
      </c>
      <c r="F1173" s="280">
        <v>95640</v>
      </c>
      <c r="G1173" s="280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8" t="s">
        <v>47</v>
      </c>
      <c r="E1174" s="279" t="s">
        <v>14</v>
      </c>
      <c r="F1174" s="280">
        <v>95640</v>
      </c>
      <c r="G1174" s="280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8" t="s">
        <v>47</v>
      </c>
      <c r="E1175" s="279" t="s">
        <v>14</v>
      </c>
      <c r="F1175" s="280">
        <v>116340</v>
      </c>
      <c r="G1175" s="280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8" t="s">
        <v>47</v>
      </c>
      <c r="E1176" s="279" t="s">
        <v>14</v>
      </c>
      <c r="F1176" s="280">
        <v>115020</v>
      </c>
      <c r="G1176" s="280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8" t="s">
        <v>47</v>
      </c>
      <c r="E1177" s="279" t="s">
        <v>14</v>
      </c>
      <c r="F1177" s="280">
        <v>115020</v>
      </c>
      <c r="G1177" s="280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8" t="s">
        <v>47</v>
      </c>
      <c r="E1178" s="279" t="s">
        <v>14</v>
      </c>
      <c r="F1178" s="280">
        <v>115020</v>
      </c>
      <c r="G1178" s="280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8" t="s">
        <v>47</v>
      </c>
      <c r="E1179" s="279" t="s">
        <v>14</v>
      </c>
      <c r="F1179" s="280">
        <v>117900</v>
      </c>
      <c r="G1179" s="280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8" t="s">
        <v>47</v>
      </c>
      <c r="E1180" s="279" t="s">
        <v>14</v>
      </c>
      <c r="F1180" s="280">
        <v>136860</v>
      </c>
      <c r="G1180" s="280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8" t="s">
        <v>47</v>
      </c>
      <c r="E1181" s="279" t="s">
        <v>14</v>
      </c>
      <c r="F1181" s="280">
        <v>220920</v>
      </c>
      <c r="G1181" s="280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8" t="s">
        <v>47</v>
      </c>
      <c r="E1182" s="279" t="s">
        <v>14</v>
      </c>
      <c r="F1182" s="280">
        <v>220920</v>
      </c>
      <c r="G1182" s="280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8" t="s">
        <v>48</v>
      </c>
      <c r="E1183" s="279"/>
      <c r="F1183" s="280">
        <v>0</v>
      </c>
      <c r="G1183" s="280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8" t="s">
        <v>48</v>
      </c>
      <c r="E1184" s="279"/>
      <c r="F1184" s="280">
        <v>0</v>
      </c>
      <c r="G1184" s="280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8" t="s">
        <v>47</v>
      </c>
      <c r="E1185" s="279" t="s">
        <v>14</v>
      </c>
      <c r="F1185" s="280">
        <v>19440</v>
      </c>
      <c r="G1185" s="280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8" t="s">
        <v>47</v>
      </c>
      <c r="E1186" s="279" t="s">
        <v>14</v>
      </c>
      <c r="F1186" s="280">
        <v>28860</v>
      </c>
      <c r="G1186" s="280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8" t="s">
        <v>47</v>
      </c>
      <c r="E1187" s="279" t="s">
        <v>14</v>
      </c>
      <c r="F1187" s="280">
        <v>33180</v>
      </c>
      <c r="G1187" s="280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8" t="s">
        <v>47</v>
      </c>
      <c r="E1188" s="279" t="s">
        <v>14</v>
      </c>
      <c r="F1188" s="280">
        <v>30900</v>
      </c>
      <c r="G1188" s="280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8" t="s">
        <v>47</v>
      </c>
      <c r="E1189" s="279" t="s">
        <v>14</v>
      </c>
      <c r="F1189" s="280">
        <v>40740</v>
      </c>
      <c r="G1189" s="280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8" t="s">
        <v>47</v>
      </c>
      <c r="E1190" s="279" t="s">
        <v>14</v>
      </c>
      <c r="F1190" s="280">
        <v>34020</v>
      </c>
      <c r="G1190" s="280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8" t="s">
        <v>47</v>
      </c>
      <c r="E1191" s="279" t="s">
        <v>14</v>
      </c>
      <c r="F1191" s="280">
        <v>358140</v>
      </c>
      <c r="G1191" s="280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8" t="s">
        <v>47</v>
      </c>
      <c r="E1192" s="279" t="s">
        <v>14</v>
      </c>
      <c r="F1192" s="280">
        <v>240900</v>
      </c>
      <c r="G1192" s="280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8" t="s">
        <v>48</v>
      </c>
      <c r="E1193" s="279"/>
      <c r="F1193" s="280">
        <v>0</v>
      </c>
      <c r="G1193" s="280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8" t="s">
        <v>48</v>
      </c>
      <c r="E1194" s="279"/>
      <c r="F1194" s="280">
        <v>0</v>
      </c>
      <c r="G1194" s="280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8" t="s">
        <v>47</v>
      </c>
      <c r="E1195" s="279" t="s">
        <v>14</v>
      </c>
      <c r="F1195" s="280">
        <v>33840</v>
      </c>
      <c r="G1195" s="280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8" t="s">
        <v>47</v>
      </c>
      <c r="E1196" s="279" t="s">
        <v>14</v>
      </c>
      <c r="F1196" s="280">
        <v>39240</v>
      </c>
      <c r="G1196" s="280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8" t="s">
        <v>47</v>
      </c>
      <c r="E1197" s="279" t="s">
        <v>14</v>
      </c>
      <c r="F1197" s="280">
        <v>7320</v>
      </c>
      <c r="G1197" s="280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8" t="s">
        <v>47</v>
      </c>
      <c r="E1198" s="279" t="s">
        <v>14</v>
      </c>
      <c r="F1198" s="280">
        <v>9600</v>
      </c>
      <c r="G1198" s="280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8" t="s">
        <v>47</v>
      </c>
      <c r="E1199" s="279" t="s">
        <v>14</v>
      </c>
      <c r="F1199" s="280">
        <v>103860</v>
      </c>
      <c r="G1199" s="280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8" t="s">
        <v>47</v>
      </c>
      <c r="E1200" s="279" t="s">
        <v>14</v>
      </c>
      <c r="F1200" s="280">
        <v>923940</v>
      </c>
      <c r="G1200" s="280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8" t="s">
        <v>47</v>
      </c>
      <c r="E1201" s="279" t="s">
        <v>14</v>
      </c>
      <c r="F1201" s="280">
        <v>14160</v>
      </c>
      <c r="G1201" s="280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8" t="s">
        <v>47</v>
      </c>
      <c r="E1202" s="279" t="s">
        <v>14</v>
      </c>
      <c r="F1202" s="280">
        <v>12060</v>
      </c>
      <c r="G1202" s="280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8" t="s">
        <v>47</v>
      </c>
      <c r="E1203" s="279" t="s">
        <v>14</v>
      </c>
      <c r="F1203" s="280">
        <v>14160</v>
      </c>
      <c r="G1203" s="280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8" t="s">
        <v>47</v>
      </c>
      <c r="E1204" s="279" t="s">
        <v>14</v>
      </c>
      <c r="F1204" s="280">
        <v>14160</v>
      </c>
      <c r="G1204" s="280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8" t="s">
        <v>47</v>
      </c>
      <c r="E1205" s="279" t="s">
        <v>14</v>
      </c>
      <c r="F1205" s="280">
        <v>35040</v>
      </c>
      <c r="G1205" s="280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8" t="s">
        <v>47</v>
      </c>
      <c r="E1206" s="279" t="s">
        <v>14</v>
      </c>
      <c r="F1206" s="280">
        <v>25860</v>
      </c>
      <c r="G1206" s="280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8" t="s">
        <v>47</v>
      </c>
      <c r="E1207" s="279" t="s">
        <v>14</v>
      </c>
      <c r="F1207" s="280">
        <v>35040</v>
      </c>
      <c r="G1207" s="280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8" t="s">
        <v>47</v>
      </c>
      <c r="E1208" s="279" t="s">
        <v>14</v>
      </c>
      <c r="F1208" s="280">
        <v>35040</v>
      </c>
      <c r="G1208" s="280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8" t="s">
        <v>47</v>
      </c>
      <c r="E1209" s="279" t="s">
        <v>14</v>
      </c>
      <c r="F1209" s="280">
        <v>25860</v>
      </c>
      <c r="G1209" s="280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8" t="s">
        <v>47</v>
      </c>
      <c r="E1210" s="279" t="s">
        <v>14</v>
      </c>
      <c r="F1210" s="280">
        <v>25860</v>
      </c>
      <c r="G1210" s="280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8" t="s">
        <v>47</v>
      </c>
      <c r="E1211" s="279" t="s">
        <v>14</v>
      </c>
      <c r="F1211" s="280">
        <v>30960</v>
      </c>
      <c r="G1211" s="280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8" t="s">
        <v>47</v>
      </c>
      <c r="E1212" s="279" t="s">
        <v>14</v>
      </c>
      <c r="F1212" s="280">
        <v>25860</v>
      </c>
      <c r="G1212" s="280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8" t="s">
        <v>47</v>
      </c>
      <c r="E1213" s="279" t="s">
        <v>14</v>
      </c>
      <c r="F1213" s="280">
        <v>2305860</v>
      </c>
      <c r="G1213" s="280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8" t="s">
        <v>47</v>
      </c>
      <c r="E1214" s="279" t="s">
        <v>14</v>
      </c>
      <c r="F1214" s="280">
        <v>18780</v>
      </c>
      <c r="G1214" s="280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8" t="s">
        <v>47</v>
      </c>
      <c r="E1215" s="279" t="s">
        <v>14</v>
      </c>
      <c r="F1215" s="280">
        <v>27360</v>
      </c>
      <c r="G1215" s="280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8" t="s">
        <v>47</v>
      </c>
      <c r="E1216" s="279" t="s">
        <v>14</v>
      </c>
      <c r="F1216" s="280">
        <v>18780</v>
      </c>
      <c r="G1216" s="280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8" t="s">
        <v>47</v>
      </c>
      <c r="E1217" s="279" t="s">
        <v>14</v>
      </c>
      <c r="F1217" s="280">
        <v>27360</v>
      </c>
      <c r="G1217" s="280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8" t="s">
        <v>47</v>
      </c>
      <c r="E1218" s="279" t="s">
        <v>14</v>
      </c>
      <c r="F1218" s="280">
        <v>18720</v>
      </c>
      <c r="G1218" s="280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8" t="s">
        <v>47</v>
      </c>
      <c r="E1219" s="279" t="s">
        <v>14</v>
      </c>
      <c r="F1219" s="280">
        <v>18720</v>
      </c>
      <c r="G1219" s="280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8" t="s">
        <v>47</v>
      </c>
      <c r="E1220" s="279" t="s">
        <v>14</v>
      </c>
      <c r="F1220" s="280">
        <v>18720</v>
      </c>
      <c r="G1220" s="280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8" t="s">
        <v>47</v>
      </c>
      <c r="E1221" s="279" t="s">
        <v>14</v>
      </c>
      <c r="F1221" s="280">
        <v>25260</v>
      </c>
      <c r="G1221" s="280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8" t="s">
        <v>47</v>
      </c>
      <c r="E1222" s="279" t="s">
        <v>14</v>
      </c>
      <c r="F1222" s="280">
        <v>25260</v>
      </c>
      <c r="G1222" s="280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8" t="s">
        <v>47</v>
      </c>
      <c r="E1223" s="279" t="s">
        <v>14</v>
      </c>
      <c r="F1223" s="280">
        <v>22860</v>
      </c>
      <c r="G1223" s="280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8" t="s">
        <v>47</v>
      </c>
      <c r="E1224" s="279" t="s">
        <v>14</v>
      </c>
      <c r="F1224" s="280">
        <v>74340</v>
      </c>
      <c r="G1224" s="280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8" t="s">
        <v>47</v>
      </c>
      <c r="E1225" s="279" t="s">
        <v>14</v>
      </c>
      <c r="F1225" s="280">
        <v>74340</v>
      </c>
      <c r="G1225" s="280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8" t="s">
        <v>47</v>
      </c>
      <c r="E1226" s="279" t="s">
        <v>14</v>
      </c>
      <c r="F1226" s="280">
        <v>27540</v>
      </c>
      <c r="G1226" s="280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8" t="s">
        <v>47</v>
      </c>
      <c r="E1227" s="279" t="s">
        <v>14</v>
      </c>
      <c r="F1227" s="280">
        <v>21480</v>
      </c>
      <c r="G1227" s="280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8" t="s">
        <v>47</v>
      </c>
      <c r="E1228" s="279" t="s">
        <v>14</v>
      </c>
      <c r="F1228" s="280">
        <v>25560</v>
      </c>
      <c r="G1228" s="280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8" t="s">
        <v>47</v>
      </c>
      <c r="E1229" s="279" t="s">
        <v>14</v>
      </c>
      <c r="F1229" s="280">
        <v>457260</v>
      </c>
      <c r="G1229" s="280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8" t="s">
        <v>47</v>
      </c>
      <c r="E1230" s="279" t="s">
        <v>14</v>
      </c>
      <c r="F1230" s="280">
        <v>6360</v>
      </c>
      <c r="G1230" s="280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8" t="s">
        <v>47</v>
      </c>
      <c r="E1231" s="279" t="s">
        <v>14</v>
      </c>
      <c r="F1231" s="280">
        <v>368820</v>
      </c>
      <c r="G1231" s="280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8" t="s">
        <v>47</v>
      </c>
      <c r="E1232" s="279" t="s">
        <v>14</v>
      </c>
      <c r="F1232" s="280">
        <v>497400</v>
      </c>
      <c r="G1232" s="280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8" t="s">
        <v>47</v>
      </c>
      <c r="E1233" s="279" t="s">
        <v>14</v>
      </c>
      <c r="F1233" s="280">
        <v>107520</v>
      </c>
      <c r="G1233" s="280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8" t="s">
        <v>47</v>
      </c>
      <c r="E1234" s="279" t="s">
        <v>473</v>
      </c>
      <c r="F1234" s="280">
        <v>8622.4599999999991</v>
      </c>
      <c r="G1234" s="280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8" t="s">
        <v>48</v>
      </c>
      <c r="E1235" s="279"/>
      <c r="F1235" s="280">
        <v>0</v>
      </c>
      <c r="G1235" s="280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8" t="s">
        <v>48</v>
      </c>
      <c r="E1236" s="279"/>
      <c r="F1236" s="280">
        <v>0</v>
      </c>
      <c r="G1236" s="280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8" t="s">
        <v>47</v>
      </c>
      <c r="E1237" s="279" t="s">
        <v>14</v>
      </c>
      <c r="F1237" s="280">
        <v>940920</v>
      </c>
      <c r="G1237" s="280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8" t="s">
        <v>47</v>
      </c>
      <c r="E1238" s="279" t="s">
        <v>14</v>
      </c>
      <c r="F1238" s="280">
        <v>2080260</v>
      </c>
      <c r="G1238" s="280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8" t="s">
        <v>47</v>
      </c>
      <c r="E1239" s="279" t="s">
        <v>14</v>
      </c>
      <c r="F1239" s="280">
        <v>2080260</v>
      </c>
      <c r="G1239" s="280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8" t="s">
        <v>47</v>
      </c>
      <c r="E1240" s="279" t="s">
        <v>14</v>
      </c>
      <c r="F1240" s="280">
        <v>909420</v>
      </c>
      <c r="G1240" s="280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8"/>
      <c r="E1241" s="279"/>
      <c r="F1241" s="280">
        <v>0</v>
      </c>
      <c r="G1241" s="280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8" t="s">
        <v>48</v>
      </c>
      <c r="E1242" s="279"/>
      <c r="F1242" s="280">
        <v>0</v>
      </c>
      <c r="G1242" s="280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8" t="s">
        <v>47</v>
      </c>
      <c r="E1243" s="279" t="s">
        <v>297</v>
      </c>
      <c r="F1243" s="280">
        <v>285420</v>
      </c>
      <c r="G1243" s="280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8" t="s">
        <v>47</v>
      </c>
      <c r="E1244" s="279" t="s">
        <v>297</v>
      </c>
      <c r="F1244" s="280">
        <v>285420</v>
      </c>
      <c r="G1244" s="280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8" t="s">
        <v>47</v>
      </c>
      <c r="E1245" s="279" t="s">
        <v>297</v>
      </c>
      <c r="F1245" s="280">
        <v>222780</v>
      </c>
      <c r="G1245" s="280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8" t="s">
        <v>47</v>
      </c>
      <c r="E1246" s="279" t="s">
        <v>297</v>
      </c>
      <c r="F1246" s="280">
        <v>211020</v>
      </c>
      <c r="G1246" s="280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8" t="s">
        <v>47</v>
      </c>
      <c r="E1247" s="279" t="s">
        <v>297</v>
      </c>
      <c r="F1247" s="280">
        <v>180060</v>
      </c>
      <c r="G1247" s="280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8" t="s">
        <v>47</v>
      </c>
      <c r="E1248" s="279" t="s">
        <v>297</v>
      </c>
      <c r="F1248" s="280">
        <v>174540</v>
      </c>
      <c r="G1248" s="280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8" t="s">
        <v>47</v>
      </c>
      <c r="E1249" s="279" t="s">
        <v>297</v>
      </c>
      <c r="F1249" s="280">
        <v>174360</v>
      </c>
      <c r="G1249" s="280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8" t="s">
        <v>47</v>
      </c>
      <c r="E1250" s="279" t="s">
        <v>297</v>
      </c>
      <c r="F1250" s="280">
        <v>148200</v>
      </c>
      <c r="G1250" s="280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8" t="s">
        <v>47</v>
      </c>
      <c r="E1251" s="279" t="s">
        <v>297</v>
      </c>
      <c r="F1251" s="280">
        <v>165600</v>
      </c>
      <c r="G1251" s="280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8" t="s">
        <v>47</v>
      </c>
      <c r="E1252" s="279" t="s">
        <v>297</v>
      </c>
      <c r="F1252" s="280">
        <v>160860</v>
      </c>
      <c r="G1252" s="280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8" t="s">
        <v>47</v>
      </c>
      <c r="E1253" s="279" t="s">
        <v>297</v>
      </c>
      <c r="F1253" s="280">
        <v>133440</v>
      </c>
      <c r="G1253" s="280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8" t="s">
        <v>47</v>
      </c>
      <c r="E1254" s="279" t="s">
        <v>297</v>
      </c>
      <c r="F1254" s="280">
        <v>133440</v>
      </c>
      <c r="G1254" s="280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8" t="s">
        <v>47</v>
      </c>
      <c r="E1255" s="279" t="s">
        <v>297</v>
      </c>
      <c r="F1255" s="280">
        <v>118380</v>
      </c>
      <c r="G1255" s="280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8" t="s">
        <v>47</v>
      </c>
      <c r="E1256" s="279" t="s">
        <v>297</v>
      </c>
      <c r="F1256" s="280">
        <v>89520</v>
      </c>
      <c r="G1256" s="280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8" t="s">
        <v>47</v>
      </c>
      <c r="E1257" s="279" t="s">
        <v>297</v>
      </c>
      <c r="F1257" s="280">
        <v>234120</v>
      </c>
      <c r="G1257" s="280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8" t="s">
        <v>47</v>
      </c>
      <c r="E1258" s="279" t="s">
        <v>297</v>
      </c>
      <c r="F1258" s="280">
        <v>184560</v>
      </c>
      <c r="G1258" s="280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8" t="s">
        <v>47</v>
      </c>
      <c r="E1259" s="279" t="s">
        <v>297</v>
      </c>
      <c r="F1259" s="280">
        <v>156960</v>
      </c>
      <c r="G1259" s="280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8" t="s">
        <v>47</v>
      </c>
      <c r="E1260" s="279" t="s">
        <v>297</v>
      </c>
      <c r="F1260" s="280">
        <v>119220</v>
      </c>
      <c r="G1260" s="280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8" t="s">
        <v>47</v>
      </c>
      <c r="E1261" s="279" t="s">
        <v>297</v>
      </c>
      <c r="F1261" s="280">
        <v>163560</v>
      </c>
      <c r="G1261" s="280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8" t="s">
        <v>47</v>
      </c>
      <c r="E1262" s="279" t="s">
        <v>297</v>
      </c>
      <c r="F1262" s="280">
        <v>146040</v>
      </c>
      <c r="G1262" s="280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8" t="s">
        <v>47</v>
      </c>
      <c r="E1263" s="279" t="s">
        <v>297</v>
      </c>
      <c r="F1263" s="280">
        <v>107580</v>
      </c>
      <c r="G1263" s="280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8" t="s">
        <v>47</v>
      </c>
      <c r="E1264" s="279" t="s">
        <v>297</v>
      </c>
      <c r="F1264" s="280">
        <v>91140</v>
      </c>
      <c r="G1264" s="280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8" t="s">
        <v>47</v>
      </c>
      <c r="E1265" s="279" t="s">
        <v>297</v>
      </c>
      <c r="F1265" s="280">
        <v>81891.065868368882</v>
      </c>
      <c r="G1265" s="280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8" t="s">
        <v>47</v>
      </c>
      <c r="E1266" s="279" t="s">
        <v>297</v>
      </c>
      <c r="F1266" s="280">
        <v>75288.699780185358</v>
      </c>
      <c r="G1266" s="280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8" t="s">
        <v>47</v>
      </c>
      <c r="E1267" s="279" t="s">
        <v>297</v>
      </c>
      <c r="F1267" s="280">
        <v>69120</v>
      </c>
      <c r="G1267" s="280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8" t="s">
        <v>47</v>
      </c>
      <c r="E1268" s="279" t="s">
        <v>297</v>
      </c>
      <c r="F1268" s="280">
        <v>69000</v>
      </c>
      <c r="G1268" s="280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8" t="s">
        <v>47</v>
      </c>
      <c r="E1269" s="279" t="s">
        <v>297</v>
      </c>
      <c r="F1269" s="280">
        <v>61080</v>
      </c>
      <c r="G1269" s="280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8" t="s">
        <v>47</v>
      </c>
      <c r="E1270" s="279" t="s">
        <v>297</v>
      </c>
      <c r="F1270" s="280">
        <v>313962</v>
      </c>
      <c r="G1270" s="280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8" t="s">
        <v>47</v>
      </c>
      <c r="E1271" s="279" t="s">
        <v>297</v>
      </c>
      <c r="F1271" s="280">
        <v>313962</v>
      </c>
      <c r="G1271" s="280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8" t="s">
        <v>47</v>
      </c>
      <c r="E1272" s="279" t="s">
        <v>297</v>
      </c>
      <c r="F1272" s="280">
        <v>245058.00000000003</v>
      </c>
      <c r="G1272" s="280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8" t="s">
        <v>47</v>
      </c>
      <c r="E1273" s="279" t="s">
        <v>297</v>
      </c>
      <c r="F1273" s="280">
        <v>232122.00000000003</v>
      </c>
      <c r="G1273" s="280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8" t="s">
        <v>47</v>
      </c>
      <c r="E1274" s="279" t="s">
        <v>297</v>
      </c>
      <c r="F1274" s="280">
        <v>198066</v>
      </c>
      <c r="G1274" s="280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8" t="s">
        <v>47</v>
      </c>
      <c r="E1275" s="279" t="s">
        <v>297</v>
      </c>
      <c r="F1275" s="280">
        <v>191994</v>
      </c>
      <c r="G1275" s="280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8" t="s">
        <v>47</v>
      </c>
      <c r="E1276" s="279" t="s">
        <v>297</v>
      </c>
      <c r="F1276" s="280">
        <v>191796</v>
      </c>
      <c r="G1276" s="280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8" t="s">
        <v>47</v>
      </c>
      <c r="E1277" s="279" t="s">
        <v>297</v>
      </c>
      <c r="F1277" s="280">
        <v>163020</v>
      </c>
      <c r="G1277" s="280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8" t="s">
        <v>47</v>
      </c>
      <c r="E1278" s="279" t="s">
        <v>297</v>
      </c>
      <c r="F1278" s="280">
        <v>182160</v>
      </c>
      <c r="G1278" s="280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8" t="s">
        <v>47</v>
      </c>
      <c r="E1279" s="279" t="s">
        <v>297</v>
      </c>
      <c r="F1279" s="280">
        <v>176946</v>
      </c>
      <c r="G1279" s="280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8" t="s">
        <v>47</v>
      </c>
      <c r="E1280" s="279" t="s">
        <v>297</v>
      </c>
      <c r="F1280" s="280">
        <v>146784</v>
      </c>
      <c r="G1280" s="280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8" t="s">
        <v>47</v>
      </c>
      <c r="E1281" s="279" t="s">
        <v>297</v>
      </c>
      <c r="F1281" s="280">
        <v>146784</v>
      </c>
      <c r="G1281" s="280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8" t="s">
        <v>47</v>
      </c>
      <c r="E1282" s="279" t="s">
        <v>297</v>
      </c>
      <c r="F1282" s="280">
        <v>130218.00000000001</v>
      </c>
      <c r="G1282" s="280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8" t="s">
        <v>47</v>
      </c>
      <c r="E1283" s="279" t="s">
        <v>297</v>
      </c>
      <c r="F1283" s="280">
        <v>98472</v>
      </c>
      <c r="G1283" s="280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8" t="s">
        <v>47</v>
      </c>
      <c r="E1284" s="279" t="s">
        <v>297</v>
      </c>
      <c r="F1284" s="280">
        <v>257532.00000000003</v>
      </c>
      <c r="G1284" s="280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8" t="s">
        <v>47</v>
      </c>
      <c r="E1285" s="279" t="s">
        <v>297</v>
      </c>
      <c r="F1285" s="280">
        <v>203016</v>
      </c>
      <c r="G1285" s="280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8" t="s">
        <v>47</v>
      </c>
      <c r="E1286" s="279" t="s">
        <v>297</v>
      </c>
      <c r="F1286" s="280">
        <v>172656</v>
      </c>
      <c r="G1286" s="280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8" t="s">
        <v>47</v>
      </c>
      <c r="E1287" s="279" t="s">
        <v>297</v>
      </c>
      <c r="F1287" s="280">
        <v>131142</v>
      </c>
      <c r="G1287" s="280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8" t="s">
        <v>47</v>
      </c>
      <c r="E1288" s="279" t="s">
        <v>297</v>
      </c>
      <c r="F1288" s="280">
        <v>179916</v>
      </c>
      <c r="G1288" s="280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8" t="s">
        <v>47</v>
      </c>
      <c r="E1289" s="279" t="s">
        <v>297</v>
      </c>
      <c r="F1289" s="280">
        <v>160644</v>
      </c>
      <c r="G1289" s="280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8" t="s">
        <v>47</v>
      </c>
      <c r="E1290" s="279" t="s">
        <v>297</v>
      </c>
      <c r="F1290" s="280">
        <v>118338.00000000001</v>
      </c>
      <c r="G1290" s="280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8" t="s">
        <v>47</v>
      </c>
      <c r="E1291" s="279" t="s">
        <v>297</v>
      </c>
      <c r="F1291" s="280">
        <v>100254</v>
      </c>
      <c r="G1291" s="280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8" t="s">
        <v>47</v>
      </c>
      <c r="E1292" s="279" t="s">
        <v>297</v>
      </c>
      <c r="F1292" s="280">
        <v>90080.172455205786</v>
      </c>
      <c r="G1292" s="280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8" t="s">
        <v>47</v>
      </c>
      <c r="E1293" s="279" t="s">
        <v>297</v>
      </c>
      <c r="F1293" s="280">
        <v>82817.569758203899</v>
      </c>
      <c r="G1293" s="280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8" t="s">
        <v>47</v>
      </c>
      <c r="E1294" s="279" t="s">
        <v>297</v>
      </c>
      <c r="F1294" s="280">
        <v>76032</v>
      </c>
      <c r="G1294" s="280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8" t="s">
        <v>47</v>
      </c>
      <c r="E1295" s="279" t="s">
        <v>297</v>
      </c>
      <c r="F1295" s="280">
        <v>75900</v>
      </c>
      <c r="G1295" s="280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8" t="s">
        <v>47</v>
      </c>
      <c r="E1296" s="279" t="s">
        <v>297</v>
      </c>
      <c r="F1296" s="280">
        <v>67188</v>
      </c>
      <c r="G1296" s="280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8" t="s">
        <v>47</v>
      </c>
      <c r="E1297" s="279" t="s">
        <v>297</v>
      </c>
      <c r="F1297" s="280">
        <v>397284.97886456642</v>
      </c>
      <c r="G1297" s="280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8" t="s">
        <v>48</v>
      </c>
      <c r="E1298" s="279"/>
      <c r="F1298" s="280">
        <v>0</v>
      </c>
      <c r="G1298" s="280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8" t="s">
        <v>48</v>
      </c>
      <c r="E1299" s="279"/>
      <c r="F1299" s="280">
        <v>0</v>
      </c>
      <c r="G1299" s="280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8" t="s">
        <v>47</v>
      </c>
      <c r="E1300" s="279" t="s">
        <v>297</v>
      </c>
      <c r="F1300" s="280">
        <v>171300</v>
      </c>
      <c r="G1300" s="280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8" t="s">
        <v>47</v>
      </c>
      <c r="E1301" s="279" t="s">
        <v>297</v>
      </c>
      <c r="F1301" s="280">
        <v>144000</v>
      </c>
      <c r="G1301" s="280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8" t="s">
        <v>47</v>
      </c>
      <c r="E1302" s="279" t="s">
        <v>297</v>
      </c>
      <c r="F1302" s="280">
        <v>132480</v>
      </c>
      <c r="G1302" s="280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8" t="s">
        <v>47</v>
      </c>
      <c r="E1303" s="279" t="s">
        <v>297</v>
      </c>
      <c r="F1303" s="280">
        <v>98580</v>
      </c>
      <c r="G1303" s="280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8" t="s">
        <v>47</v>
      </c>
      <c r="E1304" s="279" t="s">
        <v>297</v>
      </c>
      <c r="F1304" s="280">
        <v>67020</v>
      </c>
      <c r="G1304" s="280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8" t="s">
        <v>47</v>
      </c>
      <c r="E1305" s="279" t="s">
        <v>297</v>
      </c>
      <c r="F1305" s="280">
        <v>134100</v>
      </c>
      <c r="G1305" s="280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8" t="s">
        <v>47</v>
      </c>
      <c r="E1306" s="279" t="s">
        <v>297</v>
      </c>
      <c r="F1306" s="280">
        <v>107400</v>
      </c>
      <c r="G1306" s="280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8" t="s">
        <v>48</v>
      </c>
      <c r="E1307" s="279"/>
      <c r="F1307" s="280">
        <v>0</v>
      </c>
      <c r="G1307" s="280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8" t="s">
        <v>48</v>
      </c>
      <c r="E1308" s="279"/>
      <c r="F1308" s="280">
        <v>0</v>
      </c>
      <c r="G1308" s="280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8" t="s">
        <v>47</v>
      </c>
      <c r="E1309" s="279" t="s">
        <v>1102</v>
      </c>
      <c r="F1309" s="280">
        <v>5708400</v>
      </c>
      <c r="G1309" s="280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8" t="s">
        <v>47</v>
      </c>
      <c r="E1310" s="279" t="s">
        <v>1102</v>
      </c>
      <c r="F1310" s="280">
        <v>5708400</v>
      </c>
      <c r="G1310" s="280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8" t="s">
        <v>47</v>
      </c>
      <c r="E1311" s="279" t="s">
        <v>1102</v>
      </c>
      <c r="F1311" s="280">
        <v>4455600</v>
      </c>
      <c r="G1311" s="280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8" t="s">
        <v>47</v>
      </c>
      <c r="E1312" s="279" t="s">
        <v>1102</v>
      </c>
      <c r="F1312" s="280">
        <v>4220400</v>
      </c>
      <c r="G1312" s="280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8" t="s">
        <v>47</v>
      </c>
      <c r="E1313" s="279" t="s">
        <v>1102</v>
      </c>
      <c r="F1313" s="280">
        <v>3601200</v>
      </c>
      <c r="G1313" s="280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8" t="s">
        <v>47</v>
      </c>
      <c r="E1314" s="279" t="s">
        <v>1102</v>
      </c>
      <c r="F1314" s="280">
        <v>3490800</v>
      </c>
      <c r="G1314" s="280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8" t="s">
        <v>47</v>
      </c>
      <c r="E1315" s="279" t="s">
        <v>1102</v>
      </c>
      <c r="F1315" s="280">
        <v>3487200</v>
      </c>
      <c r="G1315" s="280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8" t="s">
        <v>47</v>
      </c>
      <c r="E1316" s="279" t="s">
        <v>1102</v>
      </c>
      <c r="F1316" s="280">
        <v>2964000</v>
      </c>
      <c r="G1316" s="280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8" t="s">
        <v>47</v>
      </c>
      <c r="E1317" s="279" t="s">
        <v>1102</v>
      </c>
      <c r="F1317" s="280">
        <v>3312000</v>
      </c>
      <c r="G1317" s="280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8" t="s">
        <v>47</v>
      </c>
      <c r="E1318" s="279" t="s">
        <v>1102</v>
      </c>
      <c r="F1318" s="280">
        <v>3217200</v>
      </c>
      <c r="G1318" s="280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8" t="s">
        <v>47</v>
      </c>
      <c r="E1319" s="279" t="s">
        <v>1102</v>
      </c>
      <c r="F1319" s="280">
        <v>2668800</v>
      </c>
      <c r="G1319" s="280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8" t="s">
        <v>47</v>
      </c>
      <c r="E1320" s="279" t="s">
        <v>1102</v>
      </c>
      <c r="F1320" s="280">
        <v>2668800</v>
      </c>
      <c r="G1320" s="280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8" t="s">
        <v>47</v>
      </c>
      <c r="E1321" s="279" t="s">
        <v>1102</v>
      </c>
      <c r="F1321" s="280">
        <v>2367600</v>
      </c>
      <c r="G1321" s="280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8" t="s">
        <v>47</v>
      </c>
      <c r="E1322" s="279" t="s">
        <v>1102</v>
      </c>
      <c r="F1322" s="280">
        <v>1790400</v>
      </c>
      <c r="G1322" s="280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8" t="s">
        <v>47</v>
      </c>
      <c r="E1323" s="279" t="s">
        <v>1102</v>
      </c>
      <c r="F1323" s="280">
        <v>4682400</v>
      </c>
      <c r="G1323" s="280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8" t="s">
        <v>47</v>
      </c>
      <c r="E1324" s="279" t="s">
        <v>1102</v>
      </c>
      <c r="F1324" s="280">
        <v>3691200</v>
      </c>
      <c r="G1324" s="280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8" t="s">
        <v>47</v>
      </c>
      <c r="E1325" s="279" t="s">
        <v>1102</v>
      </c>
      <c r="F1325" s="280">
        <v>3139200</v>
      </c>
      <c r="G1325" s="280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8" t="s">
        <v>47</v>
      </c>
      <c r="E1326" s="279" t="s">
        <v>1102</v>
      </c>
      <c r="F1326" s="280">
        <v>2384400</v>
      </c>
      <c r="G1326" s="280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8" t="s">
        <v>47</v>
      </c>
      <c r="E1327" s="279" t="s">
        <v>1102</v>
      </c>
      <c r="F1327" s="280">
        <v>3271200</v>
      </c>
      <c r="G1327" s="280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8" t="s">
        <v>47</v>
      </c>
      <c r="E1328" s="279" t="s">
        <v>1102</v>
      </c>
      <c r="F1328" s="280">
        <v>2920800</v>
      </c>
      <c r="G1328" s="280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8" t="s">
        <v>47</v>
      </c>
      <c r="E1329" s="279" t="s">
        <v>1102</v>
      </c>
      <c r="F1329" s="280">
        <v>2151600</v>
      </c>
      <c r="G1329" s="280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8" t="s">
        <v>47</v>
      </c>
      <c r="E1330" s="279" t="s">
        <v>1102</v>
      </c>
      <c r="F1330" s="280">
        <v>1822800</v>
      </c>
      <c r="G1330" s="280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8" t="s">
        <v>47</v>
      </c>
      <c r="E1331" s="279" t="s">
        <v>1102</v>
      </c>
      <c r="F1331" s="280">
        <v>1637821.3173673779</v>
      </c>
      <c r="G1331" s="280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8" t="s">
        <v>47</v>
      </c>
      <c r="E1332" s="279" t="s">
        <v>1102</v>
      </c>
      <c r="F1332" s="280">
        <v>1505773.9956037072</v>
      </c>
      <c r="G1332" s="280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8" t="s">
        <v>47</v>
      </c>
      <c r="E1333" s="279" t="s">
        <v>1102</v>
      </c>
      <c r="F1333" s="280">
        <v>1382400</v>
      </c>
      <c r="G1333" s="280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8" t="s">
        <v>47</v>
      </c>
      <c r="E1334" s="279" t="s">
        <v>1102</v>
      </c>
      <c r="F1334" s="280">
        <v>1380000</v>
      </c>
      <c r="G1334" s="280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8" t="s">
        <v>47</v>
      </c>
      <c r="E1335" s="279" t="s">
        <v>1102</v>
      </c>
      <c r="F1335" s="280">
        <v>1221600</v>
      </c>
      <c r="G1335" s="280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8" t="s">
        <v>47</v>
      </c>
      <c r="E1336" s="279" t="s">
        <v>1102</v>
      </c>
      <c r="F1336" s="280">
        <v>6279240.0000000009</v>
      </c>
      <c r="G1336" s="280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8" t="s">
        <v>47</v>
      </c>
      <c r="E1337" s="279" t="s">
        <v>1102</v>
      </c>
      <c r="F1337" s="280">
        <v>6279240.0000000009</v>
      </c>
      <c r="G1337" s="280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8" t="s">
        <v>47</v>
      </c>
      <c r="E1338" s="279" t="s">
        <v>1102</v>
      </c>
      <c r="F1338" s="280">
        <v>4901160</v>
      </c>
      <c r="G1338" s="280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8" t="s">
        <v>47</v>
      </c>
      <c r="E1339" s="279" t="s">
        <v>1102</v>
      </c>
      <c r="F1339" s="280">
        <v>4642440</v>
      </c>
      <c r="G1339" s="280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8" t="s">
        <v>47</v>
      </c>
      <c r="E1340" s="279" t="s">
        <v>1102</v>
      </c>
      <c r="F1340" s="280">
        <v>3961320</v>
      </c>
      <c r="G1340" s="280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8" t="s">
        <v>47</v>
      </c>
      <c r="E1341" s="279" t="s">
        <v>1102</v>
      </c>
      <c r="F1341" s="280">
        <v>3839880</v>
      </c>
      <c r="G1341" s="280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8" t="s">
        <v>47</v>
      </c>
      <c r="E1342" s="279" t="s">
        <v>1102</v>
      </c>
      <c r="F1342" s="280">
        <v>3835920</v>
      </c>
      <c r="G1342" s="280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8" t="s">
        <v>47</v>
      </c>
      <c r="E1343" s="279" t="s">
        <v>1102</v>
      </c>
      <c r="F1343" s="280">
        <v>3260400</v>
      </c>
      <c r="G1343" s="280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8" t="s">
        <v>47</v>
      </c>
      <c r="E1344" s="279" t="s">
        <v>1102</v>
      </c>
      <c r="F1344" s="280">
        <v>3643200</v>
      </c>
      <c r="G1344" s="280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8" t="s">
        <v>47</v>
      </c>
      <c r="E1345" s="279" t="s">
        <v>1102</v>
      </c>
      <c r="F1345" s="280">
        <v>3538920</v>
      </c>
      <c r="G1345" s="280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8" t="s">
        <v>47</v>
      </c>
      <c r="E1346" s="279" t="s">
        <v>1102</v>
      </c>
      <c r="F1346" s="280">
        <v>2935680.0000000005</v>
      </c>
      <c r="G1346" s="280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8" t="s">
        <v>47</v>
      </c>
      <c r="E1347" s="279" t="s">
        <v>1102</v>
      </c>
      <c r="F1347" s="280">
        <v>2935680.0000000005</v>
      </c>
      <c r="G1347" s="280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8" t="s">
        <v>47</v>
      </c>
      <c r="E1348" s="279" t="s">
        <v>1102</v>
      </c>
      <c r="F1348" s="280">
        <v>2604360.0000000005</v>
      </c>
      <c r="G1348" s="280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8" t="s">
        <v>47</v>
      </c>
      <c r="E1349" s="279" t="s">
        <v>1102</v>
      </c>
      <c r="F1349" s="280">
        <v>1969440</v>
      </c>
      <c r="G1349" s="280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8" t="s">
        <v>47</v>
      </c>
      <c r="E1350" s="279" t="s">
        <v>1102</v>
      </c>
      <c r="F1350" s="280">
        <v>5150640.0000000009</v>
      </c>
      <c r="G1350" s="280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8" t="s">
        <v>47</v>
      </c>
      <c r="E1351" s="279" t="s">
        <v>1102</v>
      </c>
      <c r="F1351" s="280">
        <v>4060320</v>
      </c>
      <c r="G1351" s="280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8" t="s">
        <v>47</v>
      </c>
      <c r="E1352" s="279" t="s">
        <v>1102</v>
      </c>
      <c r="F1352" s="280">
        <v>3453120</v>
      </c>
      <c r="G1352" s="280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8" t="s">
        <v>47</v>
      </c>
      <c r="E1353" s="279" t="s">
        <v>1102</v>
      </c>
      <c r="F1353" s="280">
        <v>2622840.0000000005</v>
      </c>
      <c r="G1353" s="280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8" t="s">
        <v>47</v>
      </c>
      <c r="E1354" s="279" t="s">
        <v>1102</v>
      </c>
      <c r="F1354" s="280">
        <v>3598320</v>
      </c>
      <c r="G1354" s="280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8" t="s">
        <v>47</v>
      </c>
      <c r="E1355" s="279" t="s">
        <v>1102</v>
      </c>
      <c r="F1355" s="280">
        <v>3212880</v>
      </c>
      <c r="G1355" s="280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8" t="s">
        <v>47</v>
      </c>
      <c r="E1356" s="279" t="s">
        <v>1102</v>
      </c>
      <c r="F1356" s="280">
        <v>2366760</v>
      </c>
      <c r="G1356" s="280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8" t="s">
        <v>47</v>
      </c>
      <c r="E1357" s="279" t="s">
        <v>1102</v>
      </c>
      <c r="F1357" s="280">
        <v>2005080</v>
      </c>
      <c r="G1357" s="280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8" t="s">
        <v>47</v>
      </c>
      <c r="E1358" s="279" t="s">
        <v>1102</v>
      </c>
      <c r="F1358" s="280">
        <v>1801603.4491041158</v>
      </c>
      <c r="G1358" s="280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8" t="s">
        <v>47</v>
      </c>
      <c r="E1359" s="279" t="s">
        <v>1102</v>
      </c>
      <c r="F1359" s="280">
        <v>1656351.3951640779</v>
      </c>
      <c r="G1359" s="280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8" t="s">
        <v>47</v>
      </c>
      <c r="E1360" s="279" t="s">
        <v>1102</v>
      </c>
      <c r="F1360" s="280">
        <v>1520640.0000000002</v>
      </c>
      <c r="G1360" s="280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8" t="s">
        <v>47</v>
      </c>
      <c r="E1361" s="279" t="s">
        <v>1102</v>
      </c>
      <c r="F1361" s="280">
        <v>1518000.0000000002</v>
      </c>
      <c r="G1361" s="280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8" t="s">
        <v>47</v>
      </c>
      <c r="E1362" s="279" t="s">
        <v>1102</v>
      </c>
      <c r="F1362" s="280">
        <v>1343760.0000000002</v>
      </c>
      <c r="G1362" s="280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8" t="s">
        <v>47</v>
      </c>
      <c r="E1363" s="279" t="s">
        <v>1102</v>
      </c>
      <c r="F1363" s="280">
        <v>7945699.5772913285</v>
      </c>
      <c r="G1363" s="280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8" t="s">
        <v>48</v>
      </c>
      <c r="E1364" s="279"/>
      <c r="F1364" s="280">
        <v>0</v>
      </c>
      <c r="G1364" s="280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8" t="s">
        <v>48</v>
      </c>
      <c r="E1365" s="279"/>
      <c r="F1365" s="280">
        <v>0</v>
      </c>
      <c r="G1365" s="280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8" t="s">
        <v>47</v>
      </c>
      <c r="E1366" s="279" t="s">
        <v>1102</v>
      </c>
      <c r="F1366" s="280">
        <v>3426000</v>
      </c>
      <c r="G1366" s="280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8" t="s">
        <v>47</v>
      </c>
      <c r="E1367" s="279" t="s">
        <v>1102</v>
      </c>
      <c r="F1367" s="280">
        <v>2880000</v>
      </c>
      <c r="G1367" s="280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8" t="s">
        <v>47</v>
      </c>
      <c r="E1368" s="279" t="s">
        <v>1102</v>
      </c>
      <c r="F1368" s="280">
        <v>2649600</v>
      </c>
      <c r="G1368" s="280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8" t="s">
        <v>47</v>
      </c>
      <c r="E1369" s="279" t="s">
        <v>1102</v>
      </c>
      <c r="F1369" s="280">
        <v>1971600</v>
      </c>
      <c r="G1369" s="280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8" t="s">
        <v>47</v>
      </c>
      <c r="E1370" s="279" t="s">
        <v>1102</v>
      </c>
      <c r="F1370" s="280">
        <v>1340400</v>
      </c>
      <c r="G1370" s="280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8" t="s">
        <v>47</v>
      </c>
      <c r="E1371" s="279" t="s">
        <v>1102</v>
      </c>
      <c r="F1371" s="280">
        <v>2682000</v>
      </c>
      <c r="G1371" s="280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8" t="s">
        <v>47</v>
      </c>
      <c r="E1372" s="279" t="s">
        <v>1102</v>
      </c>
      <c r="F1372" s="280">
        <v>2148000</v>
      </c>
      <c r="G1372" s="280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8" t="s">
        <v>48</v>
      </c>
      <c r="E1373" s="279"/>
      <c r="F1373" s="280">
        <v>0</v>
      </c>
      <c r="G1373" s="280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8" t="s">
        <v>48</v>
      </c>
      <c r="E1374" s="279"/>
      <c r="F1374" s="280">
        <v>0</v>
      </c>
      <c r="G1374" s="280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8" t="s">
        <v>47</v>
      </c>
      <c r="E1375" s="279" t="s">
        <v>14</v>
      </c>
      <c r="F1375" s="280">
        <v>213420</v>
      </c>
      <c r="G1375" s="280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8" t="s">
        <v>47</v>
      </c>
      <c r="E1376" s="279" t="s">
        <v>14</v>
      </c>
      <c r="F1376" s="280">
        <v>207840</v>
      </c>
      <c r="G1376" s="280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8" t="s">
        <v>47</v>
      </c>
      <c r="E1377" s="279" t="s">
        <v>14</v>
      </c>
      <c r="F1377" s="280">
        <v>342990</v>
      </c>
      <c r="G1377" s="280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8" t="s">
        <v>47</v>
      </c>
      <c r="E1378" s="279" t="s">
        <v>14</v>
      </c>
      <c r="F1378" s="280">
        <v>709680</v>
      </c>
      <c r="G1378" s="280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8" t="s">
        <v>47</v>
      </c>
      <c r="E1379" s="279" t="s">
        <v>14</v>
      </c>
      <c r="F1379" s="280">
        <v>1771980</v>
      </c>
      <c r="G1379" s="280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8" t="s">
        <v>47</v>
      </c>
      <c r="E1380" s="279" t="s">
        <v>14</v>
      </c>
      <c r="F1380" s="280">
        <v>976440</v>
      </c>
      <c r="G1380" s="280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8" t="s">
        <v>47</v>
      </c>
      <c r="E1381" s="279" t="s">
        <v>14</v>
      </c>
      <c r="F1381" s="280">
        <v>2211900</v>
      </c>
      <c r="G1381" s="280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8" t="s">
        <v>47</v>
      </c>
      <c r="E1382" s="279" t="s">
        <v>14</v>
      </c>
      <c r="F1382" s="280">
        <v>2270640</v>
      </c>
      <c r="G1382" s="280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8" t="s">
        <v>47</v>
      </c>
      <c r="E1383" s="279" t="s">
        <v>14</v>
      </c>
      <c r="F1383" s="280">
        <v>2476740</v>
      </c>
      <c r="G1383" s="280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8" t="s">
        <v>48</v>
      </c>
      <c r="E1384" s="279"/>
      <c r="F1384" s="280">
        <v>0</v>
      </c>
      <c r="G1384" s="280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8" t="s">
        <v>48</v>
      </c>
      <c r="E1385" s="279"/>
      <c r="F1385" s="280">
        <v>0</v>
      </c>
      <c r="G1385" s="280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8" t="s">
        <v>47</v>
      </c>
      <c r="E1386" s="279" t="s">
        <v>100</v>
      </c>
      <c r="F1386" s="280">
        <v>220260.49029487889</v>
      </c>
      <c r="G1386" s="280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8" t="s">
        <v>47</v>
      </c>
      <c r="E1387" s="279" t="s">
        <v>100</v>
      </c>
      <c r="F1387" s="280">
        <v>220260.49029487889</v>
      </c>
      <c r="G1387" s="280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8" t="s">
        <v>47</v>
      </c>
      <c r="E1388" s="279" t="s">
        <v>100</v>
      </c>
      <c r="F1388" s="280">
        <v>250977.08928157968</v>
      </c>
      <c r="G1388" s="280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8" t="s">
        <v>47</v>
      </c>
      <c r="E1389" s="279" t="s">
        <v>100</v>
      </c>
      <c r="F1389" s="280">
        <v>289200</v>
      </c>
      <c r="G1389" s="280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8" t="s">
        <v>47</v>
      </c>
      <c r="E1390" s="279" t="s">
        <v>100</v>
      </c>
      <c r="F1390" s="280">
        <v>277947.76156258525</v>
      </c>
      <c r="G1390" s="280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8" t="s">
        <v>47</v>
      </c>
      <c r="E1391" s="279" t="s">
        <v>100</v>
      </c>
      <c r="F1391" s="280">
        <v>309000</v>
      </c>
      <c r="G1391" s="280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8" t="s">
        <v>47</v>
      </c>
      <c r="E1392" s="279" t="s">
        <v>100</v>
      </c>
      <c r="F1392" s="280">
        <v>277947.76156258525</v>
      </c>
      <c r="G1392" s="280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8" t="s">
        <v>47</v>
      </c>
      <c r="E1393" s="279" t="s">
        <v>100</v>
      </c>
      <c r="F1393" s="280">
        <v>345600</v>
      </c>
      <c r="G1393" s="280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8" t="s">
        <v>47</v>
      </c>
      <c r="E1394" s="279" t="s">
        <v>100</v>
      </c>
      <c r="F1394" s="280">
        <v>438273.42456634069</v>
      </c>
      <c r="G1394" s="280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8" t="s">
        <v>47</v>
      </c>
      <c r="E1395" s="279" t="s">
        <v>100</v>
      </c>
      <c r="F1395" s="280">
        <v>384600</v>
      </c>
      <c r="G1395" s="280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8" t="s">
        <v>47</v>
      </c>
      <c r="E1396" s="279" t="s">
        <v>100</v>
      </c>
      <c r="F1396" s="280">
        <v>466742.46752962429</v>
      </c>
      <c r="G1396" s="280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8" t="s">
        <v>47</v>
      </c>
      <c r="E1397" s="279" t="s">
        <v>100</v>
      </c>
      <c r="F1397" s="280">
        <v>466742.46752962429</v>
      </c>
      <c r="G1397" s="280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8" t="s">
        <v>47</v>
      </c>
      <c r="E1398" s="279" t="s">
        <v>100</v>
      </c>
      <c r="F1398" s="280">
        <v>513941.14402138407</v>
      </c>
      <c r="G1398" s="280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8" t="s">
        <v>47</v>
      </c>
      <c r="E1399" s="279" t="s">
        <v>100</v>
      </c>
      <c r="F1399" s="280">
        <v>502200</v>
      </c>
      <c r="G1399" s="280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8" t="s">
        <v>47</v>
      </c>
      <c r="E1400" s="279" t="s">
        <v>100</v>
      </c>
      <c r="F1400" s="280">
        <v>580618.63938275899</v>
      </c>
      <c r="G1400" s="280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8" t="s">
        <v>47</v>
      </c>
      <c r="E1401" s="279" t="s">
        <v>100</v>
      </c>
      <c r="F1401" s="280">
        <v>522000</v>
      </c>
      <c r="G1401" s="280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8" t="s">
        <v>47</v>
      </c>
      <c r="E1402" s="279" t="s">
        <v>100</v>
      </c>
      <c r="F1402" s="280">
        <v>768051.19018409075</v>
      </c>
      <c r="G1402" s="280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8" t="s">
        <v>47</v>
      </c>
      <c r="E1403" s="279" t="s">
        <v>100</v>
      </c>
      <c r="F1403" s="280">
        <v>768051.19018409075</v>
      </c>
      <c r="G1403" s="280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8" t="s">
        <v>47</v>
      </c>
      <c r="E1404" s="279" t="s">
        <v>100</v>
      </c>
      <c r="F1404" s="280">
        <v>755996.11696758063</v>
      </c>
      <c r="G1404" s="280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8" t="s">
        <v>47</v>
      </c>
      <c r="E1405" s="279" t="s">
        <v>100</v>
      </c>
      <c r="F1405" s="280">
        <v>589800</v>
      </c>
      <c r="G1405" s="280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8" t="s">
        <v>47</v>
      </c>
      <c r="E1406" s="279" t="s">
        <v>100</v>
      </c>
      <c r="F1406" s="280">
        <v>832055.45603276498</v>
      </c>
      <c r="G1406" s="280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8" t="s">
        <v>47</v>
      </c>
      <c r="E1407" s="279" t="s">
        <v>100</v>
      </c>
      <c r="F1407" s="280">
        <v>636000</v>
      </c>
      <c r="G1407" s="280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8" t="s">
        <v>47</v>
      </c>
      <c r="E1408" s="279" t="s">
        <v>100</v>
      </c>
      <c r="F1408" s="280">
        <v>842833.50878142437</v>
      </c>
      <c r="G1408" s="280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8" t="s">
        <v>47</v>
      </c>
      <c r="E1409" s="279" t="s">
        <v>100</v>
      </c>
      <c r="F1409" s="280">
        <v>762000</v>
      </c>
      <c r="G1409" s="280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8" t="s">
        <v>47</v>
      </c>
      <c r="E1410" s="279" t="s">
        <v>100</v>
      </c>
      <c r="F1410" s="280">
        <v>902019.15073140874</v>
      </c>
      <c r="G1410" s="280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8" t="s">
        <v>47</v>
      </c>
      <c r="E1411" s="279" t="s">
        <v>100</v>
      </c>
      <c r="F1411" s="280">
        <v>902019.15073140874</v>
      </c>
      <c r="G1411" s="280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8" t="s">
        <v>48</v>
      </c>
      <c r="E1412" s="279"/>
      <c r="F1412" s="280">
        <v>0</v>
      </c>
      <c r="G1412" s="280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8" t="s">
        <v>48</v>
      </c>
      <c r="E1413" s="279"/>
      <c r="F1413" s="280">
        <v>0</v>
      </c>
      <c r="G1413" s="280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8" t="s">
        <v>47</v>
      </c>
      <c r="E1414" s="279" t="s">
        <v>14</v>
      </c>
      <c r="F1414" s="280">
        <v>96180</v>
      </c>
      <c r="G1414" s="280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8" t="s">
        <v>47</v>
      </c>
      <c r="E1415" s="279" t="s">
        <v>14</v>
      </c>
      <c r="F1415" s="280">
        <v>257820</v>
      </c>
      <c r="G1415" s="280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8" t="s">
        <v>47</v>
      </c>
      <c r="E1416" s="279" t="s">
        <v>14</v>
      </c>
      <c r="F1416" s="280">
        <v>299160</v>
      </c>
      <c r="G1416" s="280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8" t="s">
        <v>47</v>
      </c>
      <c r="E1417" s="279" t="s">
        <v>14</v>
      </c>
      <c r="F1417" s="280">
        <v>246960</v>
      </c>
      <c r="G1417" s="280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8" t="s">
        <v>47</v>
      </c>
      <c r="E1418" s="279" t="s">
        <v>14</v>
      </c>
      <c r="F1418" s="280">
        <v>286461</v>
      </c>
      <c r="G1418" s="280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8" t="s">
        <v>47</v>
      </c>
      <c r="E1419" s="279" t="s">
        <v>14</v>
      </c>
      <c r="F1419" s="280">
        <v>259308</v>
      </c>
      <c r="G1419" s="280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8" t="s">
        <v>47</v>
      </c>
      <c r="E1420" s="279" t="s">
        <v>14</v>
      </c>
      <c r="F1420" s="280">
        <v>300784.05</v>
      </c>
      <c r="G1420" s="280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8" t="s">
        <v>47</v>
      </c>
      <c r="E1421" s="279" t="s">
        <v>14</v>
      </c>
      <c r="F1421" s="280">
        <v>300600</v>
      </c>
      <c r="G1421" s="280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8" t="s">
        <v>47</v>
      </c>
      <c r="E1422" s="279" t="s">
        <v>14</v>
      </c>
      <c r="F1422" s="280">
        <v>358140</v>
      </c>
      <c r="G1422" s="280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8" t="s">
        <v>47</v>
      </c>
      <c r="E1423" s="279" t="s">
        <v>14</v>
      </c>
      <c r="F1423" s="280">
        <v>341777.99941898551</v>
      </c>
      <c r="G1423" s="280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8" t="s">
        <v>47</v>
      </c>
      <c r="E1424" s="279" t="s">
        <v>14</v>
      </c>
      <c r="F1424" s="280">
        <v>395879.58401850733</v>
      </c>
      <c r="G1424" s="280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8" t="s">
        <v>47</v>
      </c>
      <c r="E1425" s="279" t="s">
        <v>14</v>
      </c>
      <c r="F1425" s="280">
        <v>6240</v>
      </c>
      <c r="G1425" s="280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8" t="s">
        <v>47</v>
      </c>
      <c r="E1426" s="279" t="s">
        <v>14</v>
      </c>
      <c r="F1426" s="280">
        <v>5760</v>
      </c>
      <c r="G1426" s="280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8" t="s">
        <v>47</v>
      </c>
      <c r="E1427" s="279" t="s">
        <v>297</v>
      </c>
      <c r="F1427" s="280">
        <v>337284.9788645666</v>
      </c>
      <c r="G1427" s="280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8" t="s">
        <v>47</v>
      </c>
      <c r="E1428" s="279" t="s">
        <v>297</v>
      </c>
      <c r="F1428" s="280">
        <v>269827.98309165332</v>
      </c>
      <c r="G1428" s="280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8" t="s">
        <v>47</v>
      </c>
      <c r="E1429" s="279" t="s">
        <v>473</v>
      </c>
      <c r="F1429" s="280">
        <v>420</v>
      </c>
      <c r="G1429" s="280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8" t="s">
        <v>47</v>
      </c>
      <c r="E1430" s="279" t="s">
        <v>473</v>
      </c>
      <c r="F1430" s="280">
        <v>720</v>
      </c>
      <c r="G1430" s="280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8" t="s">
        <v>47</v>
      </c>
      <c r="E1431" s="279" t="s">
        <v>473</v>
      </c>
      <c r="F1431" s="280">
        <v>15300</v>
      </c>
      <c r="G1431" s="280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8" t="s">
        <v>47</v>
      </c>
      <c r="E1432" s="279" t="s">
        <v>473</v>
      </c>
      <c r="F1432" s="280">
        <v>9120</v>
      </c>
      <c r="G1432" s="280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8" t="s">
        <v>47</v>
      </c>
      <c r="E1433" s="279" t="s">
        <v>473</v>
      </c>
      <c r="F1433" s="486">
        <v>2740</v>
      </c>
      <c r="G1433" s="486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8" t="s">
        <v>48</v>
      </c>
      <c r="E1434" s="279"/>
      <c r="F1434" s="280">
        <v>0</v>
      </c>
      <c r="G1434" s="280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8" t="s">
        <v>48</v>
      </c>
      <c r="E1435" s="279"/>
      <c r="F1435" s="280">
        <v>0</v>
      </c>
      <c r="G1435" s="280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8" t="s">
        <v>47</v>
      </c>
      <c r="E1436" s="279" t="s">
        <v>14</v>
      </c>
      <c r="F1436" s="280">
        <v>15000</v>
      </c>
      <c r="G1436" s="280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8" t="s">
        <v>47</v>
      </c>
      <c r="E1437" s="279" t="s">
        <v>14</v>
      </c>
      <c r="F1437" s="280">
        <v>36180</v>
      </c>
      <c r="G1437" s="280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8" t="s">
        <v>47</v>
      </c>
      <c r="E1438" s="279" t="s">
        <v>14</v>
      </c>
      <c r="F1438" s="280">
        <v>32640</v>
      </c>
      <c r="G1438" s="280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8" t="s">
        <v>47</v>
      </c>
      <c r="E1439" s="279" t="s">
        <v>14</v>
      </c>
      <c r="F1439" s="280">
        <v>63840</v>
      </c>
      <c r="G1439" s="280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8" t="s">
        <v>47</v>
      </c>
      <c r="E1440" s="279" t="s">
        <v>14</v>
      </c>
      <c r="F1440" s="280">
        <v>450000</v>
      </c>
      <c r="G1440" s="280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8" t="s">
        <v>47</v>
      </c>
      <c r="E1441" s="279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8" t="s">
        <v>48</v>
      </c>
      <c r="E1442" s="279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8" t="s">
        <v>48</v>
      </c>
      <c r="E1443" s="279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8" t="s">
        <v>47</v>
      </c>
      <c r="E1444" s="279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8" t="s">
        <v>47</v>
      </c>
      <c r="E1445" s="279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8" t="s">
        <v>47</v>
      </c>
      <c r="E1446" s="279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8" t="s">
        <v>47</v>
      </c>
      <c r="E1447" s="279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8" t="s">
        <v>47</v>
      </c>
      <c r="E1448" s="279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8" t="s">
        <v>47</v>
      </c>
      <c r="E1449" s="279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8" t="s">
        <v>47</v>
      </c>
      <c r="E1450" s="279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8" t="s">
        <v>47</v>
      </c>
      <c r="E1451" s="279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8" t="s">
        <v>47</v>
      </c>
      <c r="E1452" s="279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8" t="s">
        <v>47</v>
      </c>
      <c r="E1453" s="279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8" t="s">
        <v>47</v>
      </c>
      <c r="E1454" s="279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8" t="s">
        <v>45</v>
      </c>
      <c r="E1455" s="279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8" t="s">
        <v>47</v>
      </c>
      <c r="E1456" s="279" t="s">
        <v>100</v>
      </c>
      <c r="F1456" s="285">
        <v>750000</v>
      </c>
      <c r="G1456" s="285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8" t="s">
        <v>48</v>
      </c>
      <c r="E1457" s="279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8"/>
      <c r="E1458" s="279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8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8" t="s">
        <v>47</v>
      </c>
      <c r="E1460" s="279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8"/>
      <c r="E1461" s="279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8" t="s">
        <v>47</v>
      </c>
      <c r="E1462" s="279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8" t="s">
        <v>47</v>
      </c>
      <c r="E1463" s="279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8" t="s">
        <v>47</v>
      </c>
      <c r="E1464" s="279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8" t="s">
        <v>47</v>
      </c>
      <c r="E1465" s="279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8"/>
      <c r="E1466" s="279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8"/>
      <c r="E1467" s="279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8" t="s">
        <v>45</v>
      </c>
      <c r="E1468" s="279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8" t="s">
        <v>47</v>
      </c>
      <c r="E1469" s="279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8" t="s">
        <v>48</v>
      </c>
      <c r="E1470" s="279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8"/>
      <c r="E1471" s="279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8" t="s">
        <v>45</v>
      </c>
      <c r="E1472" s="279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8" t="s">
        <v>47</v>
      </c>
      <c r="E1473" s="279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8" t="s">
        <v>48</v>
      </c>
      <c r="E1474" s="279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8" t="s">
        <v>45</v>
      </c>
      <c r="E1475" s="279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8" t="s">
        <v>47</v>
      </c>
      <c r="E1476" s="279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8" t="s">
        <v>48</v>
      </c>
      <c r="E1477" s="279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8" t="s">
        <v>47</v>
      </c>
      <c r="E1478" s="279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7" t="s">
        <v>1426</v>
      </c>
      <c r="D1479" s="278" t="s">
        <v>47</v>
      </c>
      <c r="E1479" s="279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7" t="s">
        <v>1427</v>
      </c>
      <c r="D1480" s="278" t="s">
        <v>47</v>
      </c>
      <c r="E1480" s="279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7" t="s">
        <v>1428</v>
      </c>
      <c r="D1481" s="278" t="s">
        <v>47</v>
      </c>
      <c r="E1481" s="279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7" t="s">
        <v>1429</v>
      </c>
      <c r="D1482" s="278" t="s">
        <v>47</v>
      </c>
      <c r="E1482" s="279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8" t="s">
        <v>47</v>
      </c>
      <c r="E1483" s="279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8" t="s">
        <v>47</v>
      </c>
      <c r="E1484" s="279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7" t="s">
        <v>1431</v>
      </c>
      <c r="D1485" s="278" t="s">
        <v>47</v>
      </c>
      <c r="E1485" s="279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8" t="s">
        <v>48</v>
      </c>
      <c r="E1486" s="279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8"/>
      <c r="E1487" s="279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8" t="s">
        <v>45</v>
      </c>
      <c r="E1488" s="279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8" t="s">
        <v>45</v>
      </c>
      <c r="E1489" s="279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8" t="s">
        <v>45</v>
      </c>
      <c r="E1490" s="279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8" t="s">
        <v>47</v>
      </c>
      <c r="E1491" s="279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8" t="s">
        <v>47</v>
      </c>
      <c r="E1492" s="279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8" t="s">
        <v>47</v>
      </c>
      <c r="E1493" s="279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41" priority="138" operator="equal">
      <formula>0</formula>
    </cfRule>
  </conditionalFormatting>
  <conditionalFormatting sqref="B8:C135">
    <cfRule type="cellIs" dxfId="40" priority="51" operator="equal">
      <formula>0</formula>
    </cfRule>
  </conditionalFormatting>
  <conditionalFormatting sqref="B150:G1493">
    <cfRule type="cellIs" dxfId="39" priority="1" operator="equal">
      <formula>0</formula>
    </cfRule>
  </conditionalFormatting>
  <conditionalFormatting sqref="C143:G149">
    <cfRule type="cellIs" dxfId="38" priority="5" operator="equal">
      <formula>0</formula>
    </cfRule>
  </conditionalFormatting>
  <conditionalFormatting sqref="D9:G142">
    <cfRule type="cellIs" dxfId="37" priority="11" operator="equal">
      <formula>0</formula>
    </cfRule>
  </conditionalFormatting>
  <conditionalFormatting sqref="D1:IV5 A1:C7 D6:K6 H1455:IV1457 H1458:XFD1485 H1486:H1493 I1486:XFD1494 A1494:H1494 A1495:XFD65536">
    <cfRule type="cellIs" dxfId="36" priority="163" operator="equal">
      <formula>0</formula>
    </cfRule>
  </conditionalFormatting>
  <conditionalFormatting sqref="D7:IV8 C136:C142 B136:B149">
    <cfRule type="cellIs" dxfId="35" priority="62" operator="equal">
      <formula>0</formula>
    </cfRule>
  </conditionalFormatting>
  <conditionalFormatting sqref="H9:H1418">
    <cfRule type="cellIs" dxfId="34" priority="129" operator="equal">
      <formula>0</formula>
    </cfRule>
  </conditionalFormatting>
  <conditionalFormatting sqref="H1419:I1454">
    <cfRule type="cellIs" dxfId="33" priority="128" operator="equal">
      <formula>0</formula>
    </cfRule>
  </conditionalFormatting>
  <conditionalFormatting sqref="I108:I1418">
    <cfRule type="cellIs" dxfId="32" priority="125" operator="equal">
      <formula>0</formula>
    </cfRule>
  </conditionalFormatting>
  <conditionalFormatting sqref="J108:IV1454">
    <cfRule type="cellIs" dxfId="31" priority="139" operator="equal">
      <formula>0</formula>
    </cfRule>
  </conditionalFormatting>
  <conditionalFormatting sqref="M6:IV6">
    <cfRule type="cellIs" dxfId="30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M37" sqref="M37"/>
    </sheetView>
  </sheetViews>
  <sheetFormatPr defaultColWidth="9.140625"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98" t="s">
        <v>1454</v>
      </c>
      <c r="C2" s="598"/>
      <c r="D2" s="598"/>
      <c r="E2" s="598"/>
      <c r="I2" s="206"/>
    </row>
    <row r="3" spans="1:12" s="205" customFormat="1" ht="13.5" customHeight="1" thickBot="1">
      <c r="B3" s="277"/>
      <c r="C3" s="277"/>
      <c r="D3" s="277"/>
      <c r="E3" s="277"/>
      <c r="I3" s="206"/>
    </row>
    <row r="4" spans="1:12" s="205" customFormat="1" ht="29.25" customHeight="1">
      <c r="A4" s="209"/>
      <c r="B4" s="603" t="s">
        <v>1532</v>
      </c>
      <c r="C4" s="604"/>
      <c r="D4" s="604"/>
      <c r="E4" s="605"/>
      <c r="F4" s="441"/>
      <c r="G4" s="441"/>
      <c r="H4" s="442"/>
      <c r="I4" s="567" t="s">
        <v>1533</v>
      </c>
      <c r="J4" s="568"/>
      <c r="K4" s="568"/>
      <c r="L4" s="569"/>
    </row>
    <row r="5" spans="1:12" ht="34.5" customHeight="1">
      <c r="A5" s="204"/>
      <c r="B5" s="444" t="s">
        <v>1379</v>
      </c>
      <c r="C5" s="276" t="s">
        <v>9</v>
      </c>
      <c r="D5" s="599" t="str">
        <f>DATA!D14</f>
        <v>LULUK NASEKAH</v>
      </c>
      <c r="E5" s="600"/>
      <c r="F5" s="208"/>
      <c r="G5" s="208"/>
      <c r="I5" s="445" t="s">
        <v>1379</v>
      </c>
      <c r="J5" s="276" t="s">
        <v>9</v>
      </c>
      <c r="K5" s="570" t="str">
        <f>D5</f>
        <v>LULUK NASEKAH</v>
      </c>
      <c r="L5" s="571"/>
    </row>
    <row r="6" spans="1:12" ht="31.5" customHeight="1">
      <c r="A6" s="204"/>
      <c r="B6" s="444" t="s">
        <v>1529</v>
      </c>
      <c r="C6" s="276" t="s">
        <v>9</v>
      </c>
      <c r="D6" s="608">
        <f>DATA!D17*1000</f>
        <v>450</v>
      </c>
      <c r="E6" s="609"/>
      <c r="F6" s="208"/>
      <c r="G6" s="208"/>
      <c r="I6" s="445" t="s">
        <v>1530</v>
      </c>
      <c r="J6" s="276" t="s">
        <v>9</v>
      </c>
      <c r="K6" s="572">
        <f>DATA!D20*1000</f>
        <v>10600</v>
      </c>
      <c r="L6" s="573"/>
    </row>
    <row r="7" spans="1:12" ht="30.75" customHeight="1">
      <c r="A7" s="204"/>
      <c r="B7" s="444" t="s">
        <v>1441</v>
      </c>
      <c r="C7" s="276" t="s">
        <v>9</v>
      </c>
      <c r="D7" s="606">
        <f>DATA!D18</f>
        <v>1</v>
      </c>
      <c r="E7" s="607"/>
      <c r="F7" s="443" t="s">
        <v>1453</v>
      </c>
      <c r="I7" s="445" t="s">
        <v>1441</v>
      </c>
      <c r="J7" s="276" t="s">
        <v>9</v>
      </c>
      <c r="K7" s="574">
        <f>DATA!D21</f>
        <v>1</v>
      </c>
      <c r="L7" s="575"/>
    </row>
    <row r="8" spans="1:12" ht="51" customHeight="1">
      <c r="A8" s="204"/>
      <c r="B8" s="444" t="s">
        <v>1442</v>
      </c>
      <c r="C8" s="276" t="s">
        <v>9</v>
      </c>
      <c r="D8" s="606">
        <f>DATA!D19</f>
        <v>220</v>
      </c>
      <c r="E8" s="607"/>
      <c r="F8" s="443" t="s">
        <v>1453</v>
      </c>
      <c r="G8" s="438">
        <v>220</v>
      </c>
      <c r="I8" s="445" t="s">
        <v>1442</v>
      </c>
      <c r="J8" s="276" t="s">
        <v>9</v>
      </c>
      <c r="K8" s="574">
        <f>DATA!D22</f>
        <v>220</v>
      </c>
      <c r="L8" s="575"/>
    </row>
    <row r="9" spans="1:12" ht="30" customHeight="1" thickBot="1">
      <c r="A9" s="204"/>
      <c r="B9" s="450" t="s">
        <v>1541</v>
      </c>
      <c r="C9" s="440" t="s">
        <v>9</v>
      </c>
      <c r="D9" s="601">
        <f>IF(D7=1,D6/(380/3^0.5),(D6/(380*3^0.5)))</f>
        <v>2.0511127984368285</v>
      </c>
      <c r="E9" s="602"/>
      <c r="F9" s="207"/>
      <c r="G9" s="439">
        <v>380</v>
      </c>
      <c r="I9" s="451" t="s">
        <v>1541</v>
      </c>
      <c r="J9" s="440" t="s">
        <v>9</v>
      </c>
      <c r="K9" s="578">
        <f>IF(K7=1,K6/(380/3^0.5),(K6/(380*3^0.5)))</f>
        <v>48.315101474289733</v>
      </c>
      <c r="L9" s="579"/>
    </row>
    <row r="10" spans="1:12" ht="24.75" customHeight="1">
      <c r="B10" s="452"/>
      <c r="C10" s="449"/>
      <c r="D10" s="453"/>
      <c r="E10" s="453"/>
      <c r="F10" s="207"/>
      <c r="G10" s="439"/>
      <c r="I10" s="452"/>
      <c r="J10" s="449"/>
      <c r="K10" s="453"/>
      <c r="L10" s="453"/>
    </row>
    <row r="11" spans="1:12" ht="16.5" thickBot="1">
      <c r="B11" s="446" t="s">
        <v>1542</v>
      </c>
      <c r="I11" s="446" t="s">
        <v>1536</v>
      </c>
    </row>
    <row r="12" spans="1:12" ht="34.5" customHeight="1">
      <c r="A12" s="204"/>
      <c r="B12" s="474" t="s">
        <v>1534</v>
      </c>
      <c r="C12" s="468" t="s">
        <v>9</v>
      </c>
      <c r="D12" s="610"/>
      <c r="E12" s="611"/>
      <c r="F12" s="208"/>
      <c r="G12" s="208"/>
      <c r="I12" s="467" t="s">
        <v>1534</v>
      </c>
      <c r="J12" s="468" t="s">
        <v>9</v>
      </c>
      <c r="K12" s="610"/>
      <c r="L12" s="611"/>
    </row>
    <row r="13" spans="1:12" ht="31.5" customHeight="1">
      <c r="A13" s="204"/>
      <c r="B13" s="475" t="s">
        <v>1380</v>
      </c>
      <c r="C13" s="455" t="s">
        <v>9</v>
      </c>
      <c r="D13" s="576"/>
      <c r="E13" s="577"/>
      <c r="F13" s="208"/>
      <c r="G13" s="208"/>
      <c r="I13" s="469" t="s">
        <v>1380</v>
      </c>
      <c r="J13" s="455" t="s">
        <v>9</v>
      </c>
      <c r="K13" s="576"/>
      <c r="L13" s="577"/>
    </row>
    <row r="14" spans="1:12" ht="30.75" customHeight="1">
      <c r="A14" s="204"/>
      <c r="B14" s="475" t="s">
        <v>1535</v>
      </c>
      <c r="C14" s="455" t="s">
        <v>9</v>
      </c>
      <c r="D14" s="580"/>
      <c r="E14" s="581"/>
      <c r="F14" s="443" t="s">
        <v>1453</v>
      </c>
      <c r="G14" s="447">
        <v>50</v>
      </c>
      <c r="I14" s="469" t="s">
        <v>1535</v>
      </c>
      <c r="J14" s="455" t="s">
        <v>9</v>
      </c>
      <c r="K14" s="582">
        <v>50</v>
      </c>
      <c r="L14" s="583"/>
    </row>
    <row r="15" spans="1:12" ht="57" customHeight="1">
      <c r="A15" s="204"/>
      <c r="B15" s="475" t="s">
        <v>1441</v>
      </c>
      <c r="C15" s="455" t="s">
        <v>9</v>
      </c>
      <c r="D15" s="461"/>
      <c r="E15" s="470"/>
      <c r="F15" s="443" t="s">
        <v>1453</v>
      </c>
      <c r="G15" s="447">
        <v>100</v>
      </c>
      <c r="I15" s="469" t="s">
        <v>1441</v>
      </c>
      <c r="J15" s="455" t="s">
        <v>9</v>
      </c>
      <c r="K15" s="461">
        <v>3</v>
      </c>
      <c r="L15" s="470"/>
    </row>
    <row r="16" spans="1:12" ht="44.25" customHeight="1">
      <c r="A16" s="204"/>
      <c r="B16" s="475" t="s">
        <v>1545</v>
      </c>
      <c r="C16" s="455"/>
      <c r="D16" s="584">
        <v>0</v>
      </c>
      <c r="E16" s="585"/>
      <c r="F16" s="443"/>
      <c r="G16" s="447">
        <v>160</v>
      </c>
      <c r="I16" s="469" t="s">
        <v>1537</v>
      </c>
      <c r="J16" s="455" t="s">
        <v>9</v>
      </c>
      <c r="K16" s="588">
        <f>K9</f>
        <v>48.315101474289733</v>
      </c>
      <c r="L16" s="589"/>
    </row>
    <row r="17" spans="1:12" ht="34.5" customHeight="1">
      <c r="A17" s="204"/>
      <c r="B17" s="475" t="s">
        <v>1538</v>
      </c>
      <c r="C17" s="455" t="s">
        <v>9</v>
      </c>
      <c r="D17" s="586">
        <f>IF(D15=1,D14/(20/3^0.5),(D14/(20*3^0.5)))</f>
        <v>0</v>
      </c>
      <c r="E17" s="587"/>
      <c r="F17" s="443" t="s">
        <v>1453</v>
      </c>
      <c r="G17" s="448">
        <v>200</v>
      </c>
      <c r="I17" s="469" t="s">
        <v>1538</v>
      </c>
      <c r="J17" s="455" t="s">
        <v>9</v>
      </c>
      <c r="K17" s="592">
        <f>IF(K15=1,K14/(20/3^0.5),(K14/(20*3^0.5)))</f>
        <v>1.4433756729740645</v>
      </c>
      <c r="L17" s="593"/>
    </row>
    <row r="18" spans="1:12" ht="34.5" customHeight="1">
      <c r="A18" s="204"/>
      <c r="B18" s="475" t="s">
        <v>1539</v>
      </c>
      <c r="C18" s="455" t="s">
        <v>9</v>
      </c>
      <c r="D18" s="586">
        <f>IF(D15=1,D14/(380/3^0.5),(D14/(380*3^0.5)))*1000</f>
        <v>0</v>
      </c>
      <c r="E18" s="587"/>
      <c r="F18" s="443" t="s">
        <v>1453</v>
      </c>
      <c r="G18" s="448">
        <v>250</v>
      </c>
      <c r="I18" s="469" t="s">
        <v>1539</v>
      </c>
      <c r="J18" s="455" t="s">
        <v>9</v>
      </c>
      <c r="K18" s="592">
        <f>IF(K15=1,K14/(380/3^0.5),(K14/(380*3^0.5)))*1000</f>
        <v>75.96714068284551</v>
      </c>
      <c r="L18" s="593"/>
    </row>
    <row r="19" spans="1:12" ht="30" customHeight="1">
      <c r="A19" s="204"/>
      <c r="B19" s="476" t="s">
        <v>1531</v>
      </c>
      <c r="C19" s="454" t="s">
        <v>9</v>
      </c>
      <c r="D19" s="586">
        <f>IF(D15=1,D14/(380/3^0.5),(D14/(380*3^0.5)))</f>
        <v>0</v>
      </c>
      <c r="E19" s="587"/>
      <c r="F19" s="207"/>
      <c r="G19" s="439"/>
      <c r="I19" s="471" t="s">
        <v>1531</v>
      </c>
      <c r="J19" s="454" t="s">
        <v>9</v>
      </c>
      <c r="K19" s="592">
        <f>IF(K15=1,K14/(380/3^0.5),(K14/(380*3^0.5)))</f>
        <v>7.5967140682845505E-2</v>
      </c>
      <c r="L19" s="593"/>
    </row>
    <row r="20" spans="1:12" ht="30" customHeight="1" thickBot="1">
      <c r="A20" s="204"/>
      <c r="B20" s="477" t="s">
        <v>1540</v>
      </c>
      <c r="C20" s="473" t="s">
        <v>9</v>
      </c>
      <c r="D20" s="612" t="e">
        <f>D16/D18</f>
        <v>#DIV/0!</v>
      </c>
      <c r="E20" s="613"/>
      <c r="F20" s="207"/>
      <c r="G20" s="439"/>
      <c r="I20" s="472" t="s">
        <v>1531</v>
      </c>
      <c r="J20" s="473" t="s">
        <v>9</v>
      </c>
      <c r="K20" s="590">
        <f>K16/K18</f>
        <v>0.6359999999999999</v>
      </c>
      <c r="L20" s="591"/>
    </row>
    <row r="21" spans="1:12" ht="9.75" customHeight="1">
      <c r="A21" s="204"/>
      <c r="B21" s="462" t="s">
        <v>1540</v>
      </c>
      <c r="C21" s="463" t="s">
        <v>9</v>
      </c>
      <c r="D21" s="597">
        <v>1</v>
      </c>
      <c r="E21" s="597"/>
      <c r="F21" s="464"/>
      <c r="G21" s="465"/>
      <c r="H21" s="466"/>
      <c r="I21" s="462" t="s">
        <v>1531</v>
      </c>
      <c r="J21" s="463" t="s">
        <v>9</v>
      </c>
      <c r="K21" s="597">
        <v>1</v>
      </c>
      <c r="L21" s="597"/>
    </row>
    <row r="22" spans="1:12" ht="6.75" customHeight="1">
      <c r="B22" s="452"/>
      <c r="C22" s="449"/>
      <c r="D22" s="460"/>
      <c r="E22" s="460"/>
      <c r="F22" s="207"/>
      <c r="G22" s="439"/>
      <c r="J22" s="449"/>
      <c r="K22" s="460"/>
      <c r="L22" s="460"/>
    </row>
    <row r="23" spans="1:12" ht="15.75" thickBot="1"/>
    <row r="24" spans="1:12" ht="200.25" customHeight="1" thickBot="1">
      <c r="B24" s="594"/>
      <c r="C24" s="595"/>
      <c r="D24" s="595"/>
      <c r="E24" s="596"/>
      <c r="I24" s="594"/>
      <c r="J24" s="595"/>
      <c r="K24" s="595"/>
      <c r="L24" s="596"/>
    </row>
    <row r="26" spans="1:12">
      <c r="D26" s="457"/>
    </row>
    <row r="27" spans="1:12">
      <c r="D27" s="458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29" priority="5" stopIfTrue="1" operator="greaterThan">
      <formula>0.89</formula>
    </cfRule>
    <cfRule type="cellIs" dxfId="28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7" zoomScaleNormal="100" workbookViewId="0">
      <selection activeCell="I24" sqref="I24:J24"/>
    </sheetView>
  </sheetViews>
  <sheetFormatPr defaultColWidth="9.140625" defaultRowHeight="15"/>
  <cols>
    <col min="1" max="1" width="1.28515625" style="286" customWidth="1"/>
    <col min="2" max="2" width="25.28515625" style="286" customWidth="1"/>
    <col min="3" max="3" width="3.28515625" style="286" customWidth="1"/>
    <col min="4" max="4" width="26.28515625" style="300" customWidth="1"/>
    <col min="5" max="5" width="6.42578125" style="286" customWidth="1"/>
    <col min="6" max="6" width="12" style="286" bestFit="1" customWidth="1"/>
    <col min="7" max="8" width="9.140625" style="286" hidden="1" customWidth="1"/>
    <col min="9" max="9" width="9.140625" style="286"/>
    <col min="10" max="10" width="3.85546875" style="286" customWidth="1"/>
    <col min="11" max="11" width="2.7109375" style="286" customWidth="1"/>
    <col min="12" max="16384" width="9.140625" style="286"/>
  </cols>
  <sheetData>
    <row r="1" spans="2:11" ht="12.75" customHeight="1">
      <c r="B1" s="614"/>
      <c r="C1" s="614"/>
      <c r="D1" s="614"/>
    </row>
    <row r="2" spans="2:11" ht="15.75" customHeight="1">
      <c r="B2" s="287" t="s">
        <v>1443</v>
      </c>
      <c r="C2" s="288"/>
      <c r="D2" s="289"/>
    </row>
    <row r="3" spans="2:11" ht="20.100000000000001" customHeight="1">
      <c r="B3" s="290" t="s">
        <v>1349</v>
      </c>
      <c r="C3" s="291" t="s">
        <v>9</v>
      </c>
      <c r="D3" s="292">
        <v>2022</v>
      </c>
    </row>
    <row r="4" spans="2:11" ht="20.100000000000001" customHeight="1">
      <c r="B4" s="290" t="s">
        <v>1030</v>
      </c>
      <c r="C4" s="291" t="s">
        <v>9</v>
      </c>
      <c r="D4" s="293">
        <v>0.12</v>
      </c>
    </row>
    <row r="5" spans="2:11" ht="20.100000000000001" customHeight="1">
      <c r="B5" s="290" t="s">
        <v>1350</v>
      </c>
      <c r="C5" s="291" t="s">
        <v>9</v>
      </c>
      <c r="D5" s="489">
        <v>1084.1250458865841</v>
      </c>
      <c r="F5" s="484" t="s">
        <v>1611</v>
      </c>
      <c r="K5" s="483"/>
    </row>
    <row r="6" spans="2:11" ht="20.100000000000001" customHeight="1">
      <c r="B6" s="290" t="s">
        <v>1351</v>
      </c>
      <c r="C6" s="291" t="s">
        <v>9</v>
      </c>
      <c r="D6" s="295">
        <v>25</v>
      </c>
      <c r="F6" s="484"/>
    </row>
    <row r="7" spans="2:11" ht="20.100000000000001" customHeight="1">
      <c r="B7" s="290" t="s">
        <v>1352</v>
      </c>
      <c r="C7" s="291" t="s">
        <v>9</v>
      </c>
      <c r="D7" s="296">
        <v>2.2499999999999999E-2</v>
      </c>
    </row>
    <row r="8" spans="2:11" ht="20.100000000000001" customHeight="1">
      <c r="B8" s="290" t="s">
        <v>1444</v>
      </c>
      <c r="C8" s="291" t="s">
        <v>9</v>
      </c>
      <c r="D8" s="520">
        <f>D20-D17</f>
        <v>10.15</v>
      </c>
    </row>
    <row r="9" spans="2:11" ht="20.100000000000001" customHeight="1">
      <c r="B9" s="290" t="s">
        <v>1445</v>
      </c>
      <c r="C9" s="291" t="s">
        <v>9</v>
      </c>
      <c r="D9" s="297">
        <f>(D8*D25)*1000</f>
        <v>9835350</v>
      </c>
    </row>
    <row r="10" spans="2:11" ht="20.100000000000001" customHeight="1">
      <c r="B10" s="290" t="s">
        <v>1446</v>
      </c>
      <c r="C10" s="291" t="s">
        <v>9</v>
      </c>
      <c r="D10" s="297">
        <f ca="1">RAB!K187</f>
        <v>192984014.86831</v>
      </c>
    </row>
    <row r="11" spans="2:11" ht="20.100000000000001" customHeight="1">
      <c r="B11" s="290" t="s">
        <v>1356</v>
      </c>
      <c r="C11" s="291" t="s">
        <v>9</v>
      </c>
      <c r="D11" s="294">
        <f ca="1">2%*D10</f>
        <v>3859680.2973662</v>
      </c>
    </row>
    <row r="12" spans="2:11" ht="9" customHeight="1">
      <c r="B12" s="615"/>
      <c r="C12" s="615"/>
      <c r="D12" s="615"/>
    </row>
    <row r="13" spans="2:11" ht="15.75" customHeight="1">
      <c r="B13" s="298"/>
      <c r="C13" s="298"/>
      <c r="D13" s="298"/>
    </row>
    <row r="14" spans="2:11" ht="33.75" customHeight="1">
      <c r="B14" s="414" t="s">
        <v>1379</v>
      </c>
      <c r="C14" s="415" t="s">
        <v>9</v>
      </c>
      <c r="D14" s="420" t="s">
        <v>1646</v>
      </c>
      <c r="E14" s="299" t="s">
        <v>1453</v>
      </c>
    </row>
    <row r="15" spans="2:11" ht="20.100000000000001" customHeight="1">
      <c r="B15" s="416" t="s">
        <v>1447</v>
      </c>
      <c r="C15" s="417" t="s">
        <v>9</v>
      </c>
      <c r="D15" s="421" t="s">
        <v>1624</v>
      </c>
      <c r="E15" s="299" t="s">
        <v>1453</v>
      </c>
    </row>
    <row r="16" spans="2:11" ht="20.100000000000001" customHeight="1">
      <c r="B16" s="416" t="s">
        <v>1448</v>
      </c>
      <c r="C16" s="417" t="s">
        <v>9</v>
      </c>
      <c r="D16" s="421" t="s">
        <v>1451</v>
      </c>
      <c r="E16" s="299" t="s">
        <v>1453</v>
      </c>
    </row>
    <row r="17" spans="2:5" ht="20.100000000000001" customHeight="1">
      <c r="B17" s="416" t="s">
        <v>1449</v>
      </c>
      <c r="C17" s="417" t="s">
        <v>9</v>
      </c>
      <c r="D17" s="519">
        <v>0.45</v>
      </c>
      <c r="E17" s="299" t="s">
        <v>1453</v>
      </c>
    </row>
    <row r="18" spans="2:5" ht="20.100000000000001" hidden="1" customHeight="1">
      <c r="B18" s="416" t="s">
        <v>1543</v>
      </c>
      <c r="C18" s="417"/>
      <c r="D18" s="519">
        <f>IF((D17&lt;=11),1,3)</f>
        <v>1</v>
      </c>
      <c r="E18" s="299"/>
    </row>
    <row r="19" spans="2:5" ht="20.100000000000001" hidden="1" customHeight="1">
      <c r="B19" s="416" t="s">
        <v>1544</v>
      </c>
      <c r="C19" s="417"/>
      <c r="D19" s="519">
        <f>IF((D17&lt;=11),220,380)</f>
        <v>220</v>
      </c>
      <c r="E19" s="299"/>
    </row>
    <row r="20" spans="2:5" ht="20.100000000000001" customHeight="1">
      <c r="B20" s="416" t="s">
        <v>1450</v>
      </c>
      <c r="C20" s="417" t="s">
        <v>9</v>
      </c>
      <c r="D20" s="519">
        <v>10.6</v>
      </c>
      <c r="E20" s="299" t="s">
        <v>1453</v>
      </c>
    </row>
    <row r="21" spans="2:5" ht="20.100000000000001" hidden="1" customHeight="1">
      <c r="B21" s="416" t="s">
        <v>1543</v>
      </c>
      <c r="C21" s="417"/>
      <c r="D21" s="422">
        <f>IF((D20&lt;=11),1,3)</f>
        <v>1</v>
      </c>
      <c r="E21" s="299"/>
    </row>
    <row r="22" spans="2:5" ht="20.100000000000001" hidden="1" customHeight="1">
      <c r="B22" s="416" t="s">
        <v>1544</v>
      </c>
      <c r="C22" s="417"/>
      <c r="D22" s="422">
        <f>IF((D20&lt;=11),220,380)</f>
        <v>220</v>
      </c>
      <c r="E22" s="299"/>
    </row>
    <row r="23" spans="2:5" ht="20.100000000000001" customHeight="1">
      <c r="B23" s="416" t="s">
        <v>1353</v>
      </c>
      <c r="C23" s="417" t="s">
        <v>9</v>
      </c>
      <c r="D23" s="421">
        <v>1444.7</v>
      </c>
      <c r="E23" s="299" t="s">
        <v>1453</v>
      </c>
    </row>
    <row r="24" spans="2:5" ht="20.100000000000001" customHeight="1">
      <c r="B24" s="416" t="s">
        <v>1354</v>
      </c>
      <c r="C24" s="417" t="s">
        <v>9</v>
      </c>
      <c r="D24" s="421">
        <v>1444.7</v>
      </c>
      <c r="E24" s="299" t="s">
        <v>1453</v>
      </c>
    </row>
    <row r="25" spans="2:5" ht="20.100000000000001" customHeight="1">
      <c r="B25" s="416" t="s">
        <v>1452</v>
      </c>
      <c r="C25" s="417" t="s">
        <v>9</v>
      </c>
      <c r="D25" s="422">
        <v>969</v>
      </c>
      <c r="E25" s="299" t="s">
        <v>1453</v>
      </c>
    </row>
    <row r="26" spans="2:5" ht="20.100000000000001" customHeight="1">
      <c r="B26" s="418" t="s">
        <v>1355</v>
      </c>
      <c r="C26" s="419" t="s">
        <v>9</v>
      </c>
      <c r="D26" s="423">
        <v>40</v>
      </c>
      <c r="E26" s="299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F1" zoomScale="85" zoomScaleNormal="85" workbookViewId="0">
      <pane ySplit="6" topLeftCell="A25" activePane="bottomLeft" state="frozen"/>
      <selection activeCell="H1093" sqref="H1093"/>
      <selection pane="bottomLeft" activeCell="M59" sqref="M59"/>
    </sheetView>
  </sheetViews>
  <sheetFormatPr defaultColWidth="9.140625" defaultRowHeight="15"/>
  <cols>
    <col min="1" max="1" width="5" style="301" customWidth="1"/>
    <col min="2" max="2" width="6.28515625" style="301" customWidth="1"/>
    <col min="3" max="3" width="15.140625" style="301" customWidth="1"/>
    <col min="4" max="4" width="15" style="301" customWidth="1"/>
    <col min="5" max="5" width="15.140625" style="301" bestFit="1" customWidth="1"/>
    <col min="6" max="6" width="12.140625" style="301" bestFit="1" customWidth="1"/>
    <col min="7" max="7" width="10" style="301" bestFit="1" customWidth="1"/>
    <col min="8" max="8" width="15.7109375" style="301" bestFit="1" customWidth="1"/>
    <col min="9" max="9" width="14.140625" style="301" bestFit="1" customWidth="1"/>
    <col min="10" max="10" width="13.85546875" style="301" bestFit="1" customWidth="1"/>
    <col min="11" max="11" width="15.7109375" style="301" customWidth="1"/>
    <col min="12" max="12" width="11.140625" style="301" bestFit="1" customWidth="1"/>
    <col min="13" max="13" width="13.85546875" style="301" bestFit="1" customWidth="1"/>
    <col min="14" max="14" width="12.85546875" style="301" bestFit="1" customWidth="1"/>
    <col min="15" max="15" width="7" style="301" customWidth="1"/>
    <col min="16" max="17" width="12.85546875" style="301" bestFit="1" customWidth="1"/>
    <col min="18" max="18" width="1.28515625" style="301" hidden="1" customWidth="1"/>
    <col min="19" max="19" width="3" style="303" hidden="1" customWidth="1"/>
    <col min="20" max="16384" width="9.140625" style="301"/>
  </cols>
  <sheetData>
    <row r="1" spans="1:21">
      <c r="G1" s="302"/>
    </row>
    <row r="2" spans="1:21">
      <c r="G2" s="302"/>
      <c r="K2" s="302"/>
    </row>
    <row r="3" spans="1:21">
      <c r="B3" s="622" t="s">
        <v>1357</v>
      </c>
      <c r="C3" s="622"/>
      <c r="D3" s="622"/>
      <c r="E3" s="622"/>
      <c r="F3" s="304" t="str">
        <f>DATA!D14</f>
        <v>LULUK NASEKAH</v>
      </c>
      <c r="G3" s="302"/>
    </row>
    <row r="4" spans="1:21" ht="7.5" customHeight="1">
      <c r="B4" s="305"/>
      <c r="C4" s="305"/>
      <c r="D4" s="305"/>
      <c r="E4" s="305"/>
      <c r="F4" s="304"/>
      <c r="G4" s="302"/>
    </row>
    <row r="5" spans="1:21" ht="20.100000000000001" customHeight="1">
      <c r="B5" s="616" t="s">
        <v>1349</v>
      </c>
      <c r="C5" s="616" t="s">
        <v>1358</v>
      </c>
      <c r="D5" s="621" t="s">
        <v>1359</v>
      </c>
      <c r="E5" s="621" t="s">
        <v>1360</v>
      </c>
      <c r="F5" s="616" t="s">
        <v>1361</v>
      </c>
      <c r="G5" s="616"/>
      <c r="H5" s="616"/>
      <c r="I5" s="616"/>
      <c r="J5" s="616"/>
      <c r="K5" s="616" t="s">
        <v>1362</v>
      </c>
      <c r="L5" s="616"/>
      <c r="M5" s="306"/>
      <c r="N5" s="619" t="s">
        <v>1363</v>
      </c>
      <c r="O5" s="621" t="s">
        <v>1364</v>
      </c>
      <c r="P5" s="621" t="s">
        <v>1365</v>
      </c>
      <c r="Q5" s="621" t="s">
        <v>1366</v>
      </c>
      <c r="R5" s="307"/>
      <c r="S5" s="308"/>
      <c r="T5" s="617" t="s">
        <v>1367</v>
      </c>
      <c r="U5" s="309"/>
    </row>
    <row r="6" spans="1:21" ht="20.100000000000001" customHeight="1">
      <c r="B6" s="616"/>
      <c r="C6" s="616"/>
      <c r="D6" s="616"/>
      <c r="E6" s="616"/>
      <c r="F6" s="310" t="s">
        <v>1368</v>
      </c>
      <c r="G6" s="310" t="s">
        <v>1369</v>
      </c>
      <c r="H6" s="310" t="s">
        <v>1370</v>
      </c>
      <c r="I6" s="310" t="s">
        <v>1371</v>
      </c>
      <c r="J6" s="310" t="s">
        <v>1032</v>
      </c>
      <c r="K6" s="310" t="s">
        <v>1372</v>
      </c>
      <c r="L6" s="310" t="s">
        <v>1373</v>
      </c>
      <c r="M6" s="310" t="s">
        <v>1032</v>
      </c>
      <c r="N6" s="620"/>
      <c r="O6" s="616"/>
      <c r="P6" s="616"/>
      <c r="Q6" s="616"/>
      <c r="R6" s="307"/>
      <c r="S6" s="308"/>
      <c r="T6" s="616"/>
      <c r="U6" s="311"/>
    </row>
    <row r="7" spans="1:21" ht="20.100000000000001" customHeight="1">
      <c r="A7" s="312">
        <v>0</v>
      </c>
      <c r="B7" s="313">
        <v>2023</v>
      </c>
      <c r="C7" s="478">
        <f>DATA!D8*DATA!D26*8</f>
        <v>3248</v>
      </c>
      <c r="D7" s="315">
        <f>C7*4/24</f>
        <v>541.33333333333337</v>
      </c>
      <c r="E7" s="315">
        <f>C7-D7</f>
        <v>2706.6666666666665</v>
      </c>
      <c r="F7" s="316">
        <f ca="1">DATA!D10/1000000</f>
        <v>192.98401486831</v>
      </c>
      <c r="G7" s="317">
        <f ca="1">DATA!$D$11/1000000</f>
        <v>3.8596802973662001</v>
      </c>
      <c r="H7" s="317">
        <f>C7*DATA!$D$5/1000000</f>
        <v>3.5212381490396254</v>
      </c>
      <c r="I7" s="317">
        <f>(C7*DATA!$D$5*DATA!$D$7)/1000000</f>
        <v>7.9227858353391564E-2</v>
      </c>
      <c r="J7" s="315">
        <f ca="1">SUM(F7:I7)</f>
        <v>200.4441611730692</v>
      </c>
      <c r="K7" s="318">
        <f>DATA!D9/1000000</f>
        <v>9.83535</v>
      </c>
      <c r="L7" s="315">
        <f>((D7*DATA!$D$23)/1000000)+((E7*DATA!$D$24)/1000000)</f>
        <v>4.6923855999999997</v>
      </c>
      <c r="M7" s="315">
        <f>K7+L7</f>
        <v>14.5277356</v>
      </c>
      <c r="N7" s="315">
        <f ca="1">M7-J7</f>
        <v>-185.9164255730692</v>
      </c>
      <c r="O7" s="313">
        <v>1</v>
      </c>
      <c r="P7" s="315">
        <f ca="1">O7*N7</f>
        <v>-185.9164255730692</v>
      </c>
      <c r="Q7" s="315">
        <f ca="1">P7</f>
        <v>-185.9164255730692</v>
      </c>
      <c r="S7" s="303" t="str">
        <f ca="1">IF(Q7&lt;0,"a","")</f>
        <v>a</v>
      </c>
      <c r="T7" s="319" t="str">
        <f>IF(Q5&gt;=0,"",IF(Q7&lt;0,"",IF(Q7=0,A7,(A7-(Q7/N7)))))</f>
        <v/>
      </c>
      <c r="U7" s="303"/>
    </row>
    <row r="8" spans="1:21" ht="20.100000000000001" customHeight="1">
      <c r="A8" s="312">
        <f>A7+1</f>
        <v>1</v>
      </c>
      <c r="B8" s="313">
        <f>B7+1</f>
        <v>2024</v>
      </c>
      <c r="C8" s="314">
        <f>DATA!D8*DATA!D26*12</f>
        <v>4872</v>
      </c>
      <c r="D8" s="315">
        <f>C8*4/24</f>
        <v>812</v>
      </c>
      <c r="E8" s="315">
        <f t="shared" ref="E8:E32" si="0">C8-D8</f>
        <v>4060</v>
      </c>
      <c r="F8" s="313"/>
      <c r="G8" s="317">
        <f ca="1">DATA!$D$11/1000000</f>
        <v>3.8596802973662001</v>
      </c>
      <c r="H8" s="317">
        <f>C8*DATA!$D$5/1000000</f>
        <v>5.2818572235594372</v>
      </c>
      <c r="I8" s="317">
        <f>(C8*DATA!$D$5*DATA!$D$7)/1000000</f>
        <v>0.11884178753008734</v>
      </c>
      <c r="J8" s="315">
        <f t="shared" ref="J8:J32" ca="1" si="1">SUM(F8:I8)</f>
        <v>9.2603793084557253</v>
      </c>
      <c r="K8" s="320"/>
      <c r="L8" s="315">
        <f>((D8*DATA!$D$23)/1000000)+((E8*DATA!$D$24)/1000000)</f>
        <v>7.0385784000000005</v>
      </c>
      <c r="M8" s="315">
        <f t="shared" ref="M8:M32" si="2">K8+L8</f>
        <v>7.0385784000000005</v>
      </c>
      <c r="N8" s="315">
        <f ca="1">M8-J8</f>
        <v>-2.2218009084557249</v>
      </c>
      <c r="O8" s="314">
        <f>1/(1+'[93]Asumsi I'!$C$3)^(KKF!A8)</f>
        <v>0.89285714285714279</v>
      </c>
      <c r="P8" s="315">
        <f ca="1">O8*N8</f>
        <v>-1.9837508111211828</v>
      </c>
      <c r="Q8" s="315">
        <f ca="1">Q7+P8</f>
        <v>-187.90017638419039</v>
      </c>
      <c r="S8" s="303" t="str">
        <f t="shared" ref="S8:S32" ca="1" si="3">IF(Q8&lt;0,"a","")</f>
        <v>a</v>
      </c>
      <c r="T8" s="319" t="str">
        <f>IF(Q6&gt;=0,"",IF(Q8&lt;0,"",IF(Q8=0,A8,(A8-(Q8/N8)))))</f>
        <v/>
      </c>
      <c r="U8" s="303"/>
    </row>
    <row r="9" spans="1:21" ht="20.100000000000001" customHeight="1">
      <c r="A9" s="312">
        <f t="shared" ref="A9:B24" si="4">A8+1</f>
        <v>2</v>
      </c>
      <c r="B9" s="313">
        <f t="shared" si="4"/>
        <v>2025</v>
      </c>
      <c r="C9" s="321">
        <f>+C8</f>
        <v>4872</v>
      </c>
      <c r="D9" s="315">
        <f t="shared" ref="D9:D32" si="5">C9*4/24</f>
        <v>812</v>
      </c>
      <c r="E9" s="315">
        <f t="shared" si="0"/>
        <v>4060</v>
      </c>
      <c r="F9" s="313"/>
      <c r="G9" s="317">
        <f ca="1">DATA!$D$11/1000000</f>
        <v>3.8596802973662001</v>
      </c>
      <c r="H9" s="317">
        <f>C9*DATA!$D$5/1000000</f>
        <v>5.2818572235594372</v>
      </c>
      <c r="I9" s="317">
        <f>(C9*DATA!$D$5*DATA!$D$7)/1000000</f>
        <v>0.11884178753008734</v>
      </c>
      <c r="J9" s="315">
        <f t="shared" ca="1" si="1"/>
        <v>9.2603793084557253</v>
      </c>
      <c r="K9" s="315"/>
      <c r="L9" s="315">
        <f>((D9*DATA!$D$23)/1000000)+((E9*DATA!$D$24)/1000000)</f>
        <v>7.0385784000000005</v>
      </c>
      <c r="M9" s="315">
        <f t="shared" si="2"/>
        <v>7.0385784000000005</v>
      </c>
      <c r="N9" s="315">
        <f t="shared" ref="N9:N32" ca="1" si="6">M9-J9</f>
        <v>-2.2218009084557249</v>
      </c>
      <c r="O9" s="321">
        <f>1/(1+'[93]Asumsi I'!$C$3)^(KKF!A9)</f>
        <v>0.79719387755102034</v>
      </c>
      <c r="P9" s="315">
        <f t="shared" ref="P9:P32" ca="1" si="7">O9*N9</f>
        <v>-1.7712060813581989</v>
      </c>
      <c r="Q9" s="315">
        <f ca="1">Q8+P9</f>
        <v>-189.67138246554859</v>
      </c>
      <c r="S9" s="303" t="str">
        <f t="shared" ca="1" si="3"/>
        <v>a</v>
      </c>
      <c r="T9" s="319" t="str">
        <f ca="1">IF(Q7&gt;=0,"",IF(Q9&lt;0,"",IF(Q9=0,A9,(A9-(Q9/N9)))))</f>
        <v/>
      </c>
      <c r="U9" s="303"/>
    </row>
    <row r="10" spans="1:21" ht="20.100000000000001" customHeight="1">
      <c r="A10" s="312">
        <f t="shared" si="4"/>
        <v>3</v>
      </c>
      <c r="B10" s="313">
        <f t="shared" si="4"/>
        <v>2026</v>
      </c>
      <c r="C10" s="314">
        <f t="shared" ref="C10:C32" si="8">+C9</f>
        <v>4872</v>
      </c>
      <c r="D10" s="315">
        <f t="shared" si="5"/>
        <v>812</v>
      </c>
      <c r="E10" s="315">
        <f t="shared" si="0"/>
        <v>4060</v>
      </c>
      <c r="F10" s="313"/>
      <c r="G10" s="317">
        <f ca="1">DATA!$D$11/1000000</f>
        <v>3.8596802973662001</v>
      </c>
      <c r="H10" s="317">
        <f>C10*DATA!$D$5/1000000</f>
        <v>5.2818572235594372</v>
      </c>
      <c r="I10" s="317">
        <f>(C10*DATA!$D$5*DATA!$D$7)/1000000</f>
        <v>0.11884178753008734</v>
      </c>
      <c r="J10" s="315">
        <f t="shared" ca="1" si="1"/>
        <v>9.2603793084557253</v>
      </c>
      <c r="K10" s="313"/>
      <c r="L10" s="315">
        <f>((D10*DATA!$D$23)/1000000)+((E10*DATA!$D$24)/1000000)</f>
        <v>7.0385784000000005</v>
      </c>
      <c r="M10" s="315">
        <f t="shared" si="2"/>
        <v>7.0385784000000005</v>
      </c>
      <c r="N10" s="315">
        <f t="shared" ca="1" si="6"/>
        <v>-2.2218009084557249</v>
      </c>
      <c r="O10" s="314">
        <f>1/(1+'[93]Asumsi I'!$C$3)^(KKF!A10)</f>
        <v>0.71178024781341087</v>
      </c>
      <c r="P10" s="315">
        <f t="shared" ca="1" si="7"/>
        <v>-1.5814340012126773</v>
      </c>
      <c r="Q10" s="315">
        <f t="shared" ref="Q10:Q30" ca="1" si="9">Q9+P10</f>
        <v>-191.25281646676126</v>
      </c>
      <c r="S10" s="303" t="str">
        <f t="shared" ca="1" si="3"/>
        <v>a</v>
      </c>
      <c r="T10" s="319" t="str">
        <f t="shared" ref="T10:T32" ca="1" si="10">IF(Q8&gt;=0,"",IF(Q10&lt;0,"",IF(Q10=0,A10,(A10-(Q10/N10)))))</f>
        <v/>
      </c>
      <c r="U10" s="303"/>
    </row>
    <row r="11" spans="1:21" ht="20.100000000000001" customHeight="1">
      <c r="A11" s="312">
        <f t="shared" si="4"/>
        <v>4</v>
      </c>
      <c r="B11" s="313">
        <f t="shared" si="4"/>
        <v>2027</v>
      </c>
      <c r="C11" s="314">
        <f>+C10</f>
        <v>4872</v>
      </c>
      <c r="D11" s="315">
        <f t="shared" si="5"/>
        <v>812</v>
      </c>
      <c r="E11" s="315">
        <f t="shared" si="0"/>
        <v>4060</v>
      </c>
      <c r="F11" s="313"/>
      <c r="G11" s="317">
        <f ca="1">DATA!$D$11/1000000</f>
        <v>3.8596802973662001</v>
      </c>
      <c r="H11" s="317">
        <f>C11*DATA!$D$5/1000000</f>
        <v>5.2818572235594372</v>
      </c>
      <c r="I11" s="317">
        <f>(C11*DATA!$D$5*DATA!$D$7)/1000000</f>
        <v>0.11884178753008734</v>
      </c>
      <c r="J11" s="315">
        <f t="shared" ca="1" si="1"/>
        <v>9.2603793084557253</v>
      </c>
      <c r="K11" s="313"/>
      <c r="L11" s="315">
        <f>((D11*DATA!$D$23)/1000000)+((E11*DATA!$D$24)/1000000)</f>
        <v>7.0385784000000005</v>
      </c>
      <c r="M11" s="315">
        <f t="shared" si="2"/>
        <v>7.0385784000000005</v>
      </c>
      <c r="N11" s="315">
        <f t="shared" ca="1" si="6"/>
        <v>-2.2218009084557249</v>
      </c>
      <c r="O11" s="314">
        <f>1/(1+'[93]Asumsi I'!$C$3)^(KKF!A11)</f>
        <v>0.63551807840483121</v>
      </c>
      <c r="P11" s="315">
        <f t="shared" ca="1" si="7"/>
        <v>-1.4119946439398905</v>
      </c>
      <c r="Q11" s="315">
        <f t="shared" ca="1" si="9"/>
        <v>-192.66481111070115</v>
      </c>
      <c r="S11" s="303" t="str">
        <f t="shared" ca="1" si="3"/>
        <v>a</v>
      </c>
      <c r="T11" s="319" t="str">
        <f t="shared" ca="1" si="10"/>
        <v/>
      </c>
      <c r="U11" s="303"/>
    </row>
    <row r="12" spans="1:21" ht="20.100000000000001" customHeight="1">
      <c r="A12" s="312">
        <f t="shared" si="4"/>
        <v>5</v>
      </c>
      <c r="B12" s="313">
        <f t="shared" si="4"/>
        <v>2028</v>
      </c>
      <c r="C12" s="314">
        <f t="shared" si="8"/>
        <v>4872</v>
      </c>
      <c r="D12" s="315">
        <f t="shared" si="5"/>
        <v>812</v>
      </c>
      <c r="E12" s="315">
        <f t="shared" si="0"/>
        <v>4060</v>
      </c>
      <c r="F12" s="313"/>
      <c r="G12" s="317">
        <f ca="1">DATA!$D$11/1000000</f>
        <v>3.8596802973662001</v>
      </c>
      <c r="H12" s="317">
        <f>C12*DATA!$D$5/1000000</f>
        <v>5.2818572235594372</v>
      </c>
      <c r="I12" s="317">
        <f>(C12*DATA!$D$5*DATA!$D$7)/1000000</f>
        <v>0.11884178753008734</v>
      </c>
      <c r="J12" s="315">
        <f t="shared" ca="1" si="1"/>
        <v>9.2603793084557253</v>
      </c>
      <c r="K12" s="313"/>
      <c r="L12" s="315">
        <f>((D12*DATA!$D$23)/1000000)+((E12*DATA!$D$24)/1000000)</f>
        <v>7.0385784000000005</v>
      </c>
      <c r="M12" s="315">
        <f t="shared" si="2"/>
        <v>7.0385784000000005</v>
      </c>
      <c r="N12" s="315">
        <f t="shared" ca="1" si="6"/>
        <v>-2.2218009084557249</v>
      </c>
      <c r="O12" s="314">
        <f>1/(1+'[93]Asumsi I'!$C$3)^(KKF!A12)</f>
        <v>0.56742685571859919</v>
      </c>
      <c r="P12" s="315">
        <f t="shared" ca="1" si="7"/>
        <v>-1.2607095035177591</v>
      </c>
      <c r="Q12" s="315">
        <f t="shared" ca="1" si="9"/>
        <v>-193.9255206142189</v>
      </c>
      <c r="S12" s="303" t="str">
        <f t="shared" ca="1" si="3"/>
        <v>a</v>
      </c>
      <c r="T12" s="319" t="str">
        <f t="shared" ca="1" si="10"/>
        <v/>
      </c>
      <c r="U12" s="303"/>
    </row>
    <row r="13" spans="1:21" ht="20.100000000000001" customHeight="1">
      <c r="A13" s="312">
        <f t="shared" si="4"/>
        <v>6</v>
      </c>
      <c r="B13" s="313">
        <f t="shared" si="4"/>
        <v>2029</v>
      </c>
      <c r="C13" s="314">
        <f t="shared" si="8"/>
        <v>4872</v>
      </c>
      <c r="D13" s="315">
        <f t="shared" si="5"/>
        <v>812</v>
      </c>
      <c r="E13" s="315">
        <f t="shared" si="0"/>
        <v>4060</v>
      </c>
      <c r="F13" s="313"/>
      <c r="G13" s="317">
        <f ca="1">DATA!$D$11/1000000</f>
        <v>3.8596802973662001</v>
      </c>
      <c r="H13" s="317">
        <f>C13*DATA!$D$5/1000000</f>
        <v>5.2818572235594372</v>
      </c>
      <c r="I13" s="317">
        <f>(C13*DATA!$D$5*DATA!$D$7)/1000000</f>
        <v>0.11884178753008734</v>
      </c>
      <c r="J13" s="315">
        <f t="shared" ca="1" si="1"/>
        <v>9.2603793084557253</v>
      </c>
      <c r="K13" s="313"/>
      <c r="L13" s="315">
        <f>((D13*DATA!$D$23)/1000000)+((E13*DATA!$D$24)/1000000)</f>
        <v>7.0385784000000005</v>
      </c>
      <c r="M13" s="315">
        <f t="shared" si="2"/>
        <v>7.0385784000000005</v>
      </c>
      <c r="N13" s="315">
        <f t="shared" ca="1" si="6"/>
        <v>-2.2218009084557249</v>
      </c>
      <c r="O13" s="314">
        <f>1/(1+'[93]Asumsi I'!$C$3)^(KKF!A13)</f>
        <v>0.50663112117732068</v>
      </c>
      <c r="P13" s="315">
        <f t="shared" ca="1" si="7"/>
        <v>-1.1256334852837135</v>
      </c>
      <c r="Q13" s="315">
        <f t="shared" ca="1" si="9"/>
        <v>-195.05115409950261</v>
      </c>
      <c r="S13" s="303" t="str">
        <f t="shared" ca="1" si="3"/>
        <v>a</v>
      </c>
      <c r="T13" s="319" t="str">
        <f t="shared" ca="1" si="10"/>
        <v/>
      </c>
      <c r="U13" s="303"/>
    </row>
    <row r="14" spans="1:21" ht="20.100000000000001" customHeight="1">
      <c r="A14" s="312">
        <f t="shared" si="4"/>
        <v>7</v>
      </c>
      <c r="B14" s="313">
        <f t="shared" si="4"/>
        <v>2030</v>
      </c>
      <c r="C14" s="314">
        <f t="shared" si="8"/>
        <v>4872</v>
      </c>
      <c r="D14" s="315">
        <f t="shared" si="5"/>
        <v>812</v>
      </c>
      <c r="E14" s="315">
        <f t="shared" si="0"/>
        <v>4060</v>
      </c>
      <c r="F14" s="313"/>
      <c r="G14" s="317">
        <f ca="1">DATA!$D$11/1000000</f>
        <v>3.8596802973662001</v>
      </c>
      <c r="H14" s="317">
        <f>C14*DATA!$D$5/1000000</f>
        <v>5.2818572235594372</v>
      </c>
      <c r="I14" s="317">
        <f>(C14*DATA!$D$5*DATA!$D$7)/1000000</f>
        <v>0.11884178753008734</v>
      </c>
      <c r="J14" s="315">
        <f t="shared" ca="1" si="1"/>
        <v>9.2603793084557253</v>
      </c>
      <c r="K14" s="313"/>
      <c r="L14" s="315">
        <f>((D14*DATA!$D$23)/1000000)+((E14*DATA!$D$24)/1000000)</f>
        <v>7.0385784000000005</v>
      </c>
      <c r="M14" s="315">
        <f t="shared" si="2"/>
        <v>7.0385784000000005</v>
      </c>
      <c r="N14" s="315">
        <f t="shared" ca="1" si="6"/>
        <v>-2.2218009084557249</v>
      </c>
      <c r="O14" s="314">
        <f>1/(1+'[93]Asumsi I'!$C$3)^(KKF!A14)</f>
        <v>0.45234921533689343</v>
      </c>
      <c r="P14" s="315">
        <f t="shared" ca="1" si="7"/>
        <v>-1.005029897574744</v>
      </c>
      <c r="Q14" s="315">
        <f t="shared" ca="1" si="9"/>
        <v>-196.05618399707737</v>
      </c>
      <c r="S14" s="303" t="str">
        <f t="shared" ca="1" si="3"/>
        <v>a</v>
      </c>
      <c r="T14" s="319" t="str">
        <f t="shared" ca="1" si="10"/>
        <v/>
      </c>
      <c r="U14" s="303"/>
    </row>
    <row r="15" spans="1:21" ht="20.100000000000001" customHeight="1">
      <c r="A15" s="312">
        <f t="shared" si="4"/>
        <v>8</v>
      </c>
      <c r="B15" s="313">
        <f t="shared" si="4"/>
        <v>2031</v>
      </c>
      <c r="C15" s="314">
        <f t="shared" si="8"/>
        <v>4872</v>
      </c>
      <c r="D15" s="315">
        <f t="shared" si="5"/>
        <v>812</v>
      </c>
      <c r="E15" s="315">
        <f t="shared" si="0"/>
        <v>4060</v>
      </c>
      <c r="F15" s="313"/>
      <c r="G15" s="317">
        <f ca="1">DATA!$D$11/1000000</f>
        <v>3.8596802973662001</v>
      </c>
      <c r="H15" s="317">
        <f>C15*DATA!$D$5/1000000</f>
        <v>5.2818572235594372</v>
      </c>
      <c r="I15" s="317">
        <f>(C15*DATA!$D$5*DATA!$D$7)/1000000</f>
        <v>0.11884178753008734</v>
      </c>
      <c r="J15" s="315">
        <f t="shared" ca="1" si="1"/>
        <v>9.2603793084557253</v>
      </c>
      <c r="K15" s="313"/>
      <c r="L15" s="315">
        <f>((D15*DATA!$D$23)/1000000)+((E15*DATA!$D$24)/1000000)</f>
        <v>7.0385784000000005</v>
      </c>
      <c r="M15" s="315">
        <f t="shared" si="2"/>
        <v>7.0385784000000005</v>
      </c>
      <c r="N15" s="315">
        <f t="shared" ca="1" si="6"/>
        <v>-2.2218009084557249</v>
      </c>
      <c r="O15" s="314">
        <f>1/(1+'[93]Asumsi I'!$C$3)^(KKF!A15)</f>
        <v>0.4038832279793691</v>
      </c>
      <c r="P15" s="315">
        <f t="shared" ca="1" si="7"/>
        <v>-0.89734812283459287</v>
      </c>
      <c r="Q15" s="315">
        <f t="shared" ca="1" si="9"/>
        <v>-196.95353211991196</v>
      </c>
      <c r="S15" s="303" t="str">
        <f t="shared" ca="1" si="3"/>
        <v>a</v>
      </c>
      <c r="T15" s="319" t="str">
        <f t="shared" ca="1" si="10"/>
        <v/>
      </c>
      <c r="U15" s="303"/>
    </row>
    <row r="16" spans="1:21" ht="20.100000000000001" customHeight="1">
      <c r="A16" s="312">
        <f t="shared" si="4"/>
        <v>9</v>
      </c>
      <c r="B16" s="313">
        <f t="shared" si="4"/>
        <v>2032</v>
      </c>
      <c r="C16" s="314">
        <f t="shared" si="8"/>
        <v>4872</v>
      </c>
      <c r="D16" s="315">
        <f t="shared" si="5"/>
        <v>812</v>
      </c>
      <c r="E16" s="315">
        <f t="shared" si="0"/>
        <v>4060</v>
      </c>
      <c r="F16" s="313"/>
      <c r="G16" s="317">
        <f ca="1">DATA!$D$11/1000000</f>
        <v>3.8596802973662001</v>
      </c>
      <c r="H16" s="317">
        <f>C16*DATA!$D$5/1000000</f>
        <v>5.2818572235594372</v>
      </c>
      <c r="I16" s="317">
        <f>(C16*DATA!$D$5*DATA!$D$7)/1000000</f>
        <v>0.11884178753008734</v>
      </c>
      <c r="J16" s="315">
        <f t="shared" ca="1" si="1"/>
        <v>9.2603793084557253</v>
      </c>
      <c r="K16" s="313"/>
      <c r="L16" s="315">
        <f>((D16*DATA!$D$23)/1000000)+((E16*DATA!$D$24)/1000000)</f>
        <v>7.0385784000000005</v>
      </c>
      <c r="M16" s="315">
        <f t="shared" si="2"/>
        <v>7.0385784000000005</v>
      </c>
      <c r="N16" s="315">
        <f t="shared" ca="1" si="6"/>
        <v>-2.2218009084557249</v>
      </c>
      <c r="O16" s="314">
        <f>1/(1+'[93]Asumsi I'!$C$3)^(KKF!A16)</f>
        <v>0.36061002498157957</v>
      </c>
      <c r="P16" s="315">
        <f t="shared" ca="1" si="7"/>
        <v>-0.8012036811023151</v>
      </c>
      <c r="Q16" s="315">
        <f t="shared" ca="1" si="9"/>
        <v>-197.75473580101428</v>
      </c>
      <c r="S16" s="303" t="str">
        <f t="shared" ca="1" si="3"/>
        <v>a</v>
      </c>
      <c r="T16" s="319" t="str">
        <f t="shared" ca="1" si="10"/>
        <v/>
      </c>
      <c r="U16" s="303"/>
    </row>
    <row r="17" spans="1:21" ht="20.100000000000001" customHeight="1">
      <c r="A17" s="312">
        <f t="shared" si="4"/>
        <v>10</v>
      </c>
      <c r="B17" s="313">
        <f t="shared" si="4"/>
        <v>2033</v>
      </c>
      <c r="C17" s="314">
        <f t="shared" si="8"/>
        <v>4872</v>
      </c>
      <c r="D17" s="315">
        <f t="shared" si="5"/>
        <v>812</v>
      </c>
      <c r="E17" s="315">
        <f t="shared" si="0"/>
        <v>4060</v>
      </c>
      <c r="F17" s="313"/>
      <c r="G17" s="317">
        <f ca="1">DATA!$D$11/1000000</f>
        <v>3.8596802973662001</v>
      </c>
      <c r="H17" s="317">
        <f>C17*DATA!$D$5/1000000</f>
        <v>5.2818572235594372</v>
      </c>
      <c r="I17" s="317">
        <f>(C17*DATA!$D$5*DATA!$D$7)/1000000</f>
        <v>0.11884178753008734</v>
      </c>
      <c r="J17" s="315">
        <f t="shared" ca="1" si="1"/>
        <v>9.2603793084557253</v>
      </c>
      <c r="K17" s="313"/>
      <c r="L17" s="315">
        <f>((D17*DATA!$D$23)/1000000)+((E17*DATA!$D$24)/1000000)</f>
        <v>7.0385784000000005</v>
      </c>
      <c r="M17" s="315">
        <f t="shared" si="2"/>
        <v>7.0385784000000005</v>
      </c>
      <c r="N17" s="315">
        <f t="shared" ca="1" si="6"/>
        <v>-2.2218009084557249</v>
      </c>
      <c r="O17" s="314">
        <f>1/(1+'[93]Asumsi I'!$C$3)^(KKF!A17)</f>
        <v>0.32197323659069599</v>
      </c>
      <c r="P17" s="315">
        <f t="shared" ca="1" si="7"/>
        <v>-0.71536042955563839</v>
      </c>
      <c r="Q17" s="315">
        <f t="shared" ca="1" si="9"/>
        <v>-198.47009623056991</v>
      </c>
      <c r="S17" s="303" t="str">
        <f t="shared" ca="1" si="3"/>
        <v>a</v>
      </c>
      <c r="T17" s="319" t="str">
        <f t="shared" ca="1" si="10"/>
        <v/>
      </c>
      <c r="U17" s="303"/>
    </row>
    <row r="18" spans="1:21" ht="20.100000000000001" customHeight="1">
      <c r="A18" s="312">
        <f t="shared" si="4"/>
        <v>11</v>
      </c>
      <c r="B18" s="313">
        <f t="shared" si="4"/>
        <v>2034</v>
      </c>
      <c r="C18" s="314">
        <f t="shared" si="8"/>
        <v>4872</v>
      </c>
      <c r="D18" s="315">
        <f t="shared" si="5"/>
        <v>812</v>
      </c>
      <c r="E18" s="315">
        <f t="shared" si="0"/>
        <v>4060</v>
      </c>
      <c r="F18" s="313"/>
      <c r="G18" s="317">
        <f ca="1">DATA!$D$11/1000000</f>
        <v>3.8596802973662001</v>
      </c>
      <c r="H18" s="317">
        <f>C18*DATA!$D$5/1000000</f>
        <v>5.2818572235594372</v>
      </c>
      <c r="I18" s="317">
        <f>(C18*DATA!$D$5*DATA!$D$7)/1000000</f>
        <v>0.11884178753008734</v>
      </c>
      <c r="J18" s="315">
        <f t="shared" ca="1" si="1"/>
        <v>9.2603793084557253</v>
      </c>
      <c r="K18" s="313"/>
      <c r="L18" s="315">
        <f>((D18*DATA!$D$23)/1000000)+((E18*DATA!$D$24)/1000000)</f>
        <v>7.0385784000000005</v>
      </c>
      <c r="M18" s="315">
        <f t="shared" si="2"/>
        <v>7.0385784000000005</v>
      </c>
      <c r="N18" s="315">
        <f t="shared" ca="1" si="6"/>
        <v>-2.2218009084557249</v>
      </c>
      <c r="O18" s="314">
        <f>1/(1+'[93]Asumsi I'!$C$3)^(KKF!A18)</f>
        <v>0.28747610409883567</v>
      </c>
      <c r="P18" s="315">
        <f t="shared" ca="1" si="7"/>
        <v>-0.63871466924610565</v>
      </c>
      <c r="Q18" s="315">
        <f t="shared" ca="1" si="9"/>
        <v>-199.10881089981601</v>
      </c>
      <c r="S18" s="303" t="str">
        <f t="shared" ca="1" si="3"/>
        <v>a</v>
      </c>
      <c r="T18" s="319" t="str">
        <f t="shared" ca="1" si="10"/>
        <v/>
      </c>
      <c r="U18" s="303"/>
    </row>
    <row r="19" spans="1:21" ht="20.100000000000001" customHeight="1">
      <c r="A19" s="312">
        <f t="shared" si="4"/>
        <v>12</v>
      </c>
      <c r="B19" s="313">
        <f t="shared" si="4"/>
        <v>2035</v>
      </c>
      <c r="C19" s="314">
        <f t="shared" si="8"/>
        <v>4872</v>
      </c>
      <c r="D19" s="315">
        <f t="shared" si="5"/>
        <v>812</v>
      </c>
      <c r="E19" s="315">
        <f t="shared" si="0"/>
        <v>4060</v>
      </c>
      <c r="F19" s="313"/>
      <c r="G19" s="317">
        <f ca="1">DATA!$D$11/1000000</f>
        <v>3.8596802973662001</v>
      </c>
      <c r="H19" s="317">
        <f>C19*DATA!$D$5/1000000</f>
        <v>5.2818572235594372</v>
      </c>
      <c r="I19" s="317">
        <f>(C19*DATA!$D$5*DATA!$D$7)/1000000</f>
        <v>0.11884178753008734</v>
      </c>
      <c r="J19" s="315">
        <f t="shared" ca="1" si="1"/>
        <v>9.2603793084557253</v>
      </c>
      <c r="K19" s="313"/>
      <c r="L19" s="315">
        <f>((D19*DATA!$D$23)/1000000)+((E19*DATA!$D$24)/1000000)</f>
        <v>7.0385784000000005</v>
      </c>
      <c r="M19" s="315">
        <f t="shared" si="2"/>
        <v>7.0385784000000005</v>
      </c>
      <c r="N19" s="315">
        <f t="shared" ca="1" si="6"/>
        <v>-2.2218009084557249</v>
      </c>
      <c r="O19" s="314">
        <f>1/(1+'[93]Asumsi I'!$C$3)^(KKF!A19)</f>
        <v>0.25667509294538904</v>
      </c>
      <c r="P19" s="315">
        <f t="shared" ca="1" si="7"/>
        <v>-0.57028095468402296</v>
      </c>
      <c r="Q19" s="315">
        <f t="shared" ca="1" si="9"/>
        <v>-199.67909185450003</v>
      </c>
      <c r="S19" s="303" t="str">
        <f t="shared" ca="1" si="3"/>
        <v>a</v>
      </c>
      <c r="T19" s="319" t="str">
        <f t="shared" ca="1" si="10"/>
        <v/>
      </c>
      <c r="U19" s="303"/>
    </row>
    <row r="20" spans="1:21" ht="20.100000000000001" customHeight="1">
      <c r="A20" s="312">
        <f t="shared" si="4"/>
        <v>13</v>
      </c>
      <c r="B20" s="313">
        <f t="shared" si="4"/>
        <v>2036</v>
      </c>
      <c r="C20" s="314">
        <f t="shared" si="8"/>
        <v>4872</v>
      </c>
      <c r="D20" s="315">
        <f t="shared" si="5"/>
        <v>812</v>
      </c>
      <c r="E20" s="315">
        <f t="shared" si="0"/>
        <v>4060</v>
      </c>
      <c r="F20" s="313"/>
      <c r="G20" s="317">
        <f ca="1">DATA!$D$11/1000000</f>
        <v>3.8596802973662001</v>
      </c>
      <c r="H20" s="317">
        <f>C20*DATA!$D$5/1000000</f>
        <v>5.2818572235594372</v>
      </c>
      <c r="I20" s="317">
        <f>(C20*DATA!$D$5*DATA!$D$7)/1000000</f>
        <v>0.11884178753008734</v>
      </c>
      <c r="J20" s="315">
        <f t="shared" ca="1" si="1"/>
        <v>9.2603793084557253</v>
      </c>
      <c r="K20" s="313"/>
      <c r="L20" s="315">
        <f>((D20*DATA!$D$23)/1000000)+((E20*DATA!$D$24)/1000000)</f>
        <v>7.0385784000000005</v>
      </c>
      <c r="M20" s="315">
        <f t="shared" si="2"/>
        <v>7.0385784000000005</v>
      </c>
      <c r="N20" s="315">
        <f t="shared" ca="1" si="6"/>
        <v>-2.2218009084557249</v>
      </c>
      <c r="O20" s="314">
        <f>1/(1+'[93]Asumsi I'!$C$3)^(KKF!A20)</f>
        <v>0.22917419012981158</v>
      </c>
      <c r="P20" s="315">
        <f t="shared" ca="1" si="7"/>
        <v>-0.50917942382502035</v>
      </c>
      <c r="Q20" s="315">
        <f t="shared" ca="1" si="9"/>
        <v>-200.18827127832506</v>
      </c>
      <c r="S20" s="303" t="str">
        <f t="shared" ca="1" si="3"/>
        <v>a</v>
      </c>
      <c r="T20" s="319" t="str">
        <f t="shared" ca="1" si="10"/>
        <v/>
      </c>
      <c r="U20" s="303"/>
    </row>
    <row r="21" spans="1:21" ht="20.100000000000001" customHeight="1">
      <c r="A21" s="312">
        <f t="shared" si="4"/>
        <v>14</v>
      </c>
      <c r="B21" s="313">
        <f t="shared" si="4"/>
        <v>2037</v>
      </c>
      <c r="C21" s="314">
        <f t="shared" si="8"/>
        <v>4872</v>
      </c>
      <c r="D21" s="315">
        <f t="shared" si="5"/>
        <v>812</v>
      </c>
      <c r="E21" s="315">
        <f t="shared" si="0"/>
        <v>4060</v>
      </c>
      <c r="F21" s="313"/>
      <c r="G21" s="317">
        <f ca="1">DATA!$D$11/1000000</f>
        <v>3.8596802973662001</v>
      </c>
      <c r="H21" s="317">
        <f>C21*DATA!$D$5/1000000</f>
        <v>5.2818572235594372</v>
      </c>
      <c r="I21" s="317">
        <f>(C21*DATA!$D$5*DATA!$D$7)/1000000</f>
        <v>0.11884178753008734</v>
      </c>
      <c r="J21" s="315">
        <f t="shared" ca="1" si="1"/>
        <v>9.2603793084557253</v>
      </c>
      <c r="K21" s="313"/>
      <c r="L21" s="315">
        <f>((D21*DATA!$D$23)/1000000)+((E21*DATA!$D$24)/1000000)</f>
        <v>7.0385784000000005</v>
      </c>
      <c r="M21" s="315">
        <f t="shared" si="2"/>
        <v>7.0385784000000005</v>
      </c>
      <c r="N21" s="315">
        <f t="shared" ca="1" si="6"/>
        <v>-2.2218009084557249</v>
      </c>
      <c r="O21" s="314">
        <f>1/(1+'[93]Asumsi I'!$C$3)^(KKF!A21)</f>
        <v>0.20461981261590317</v>
      </c>
      <c r="P21" s="315">
        <f t="shared" ca="1" si="7"/>
        <v>-0.45462448555805385</v>
      </c>
      <c r="Q21" s="315">
        <f t="shared" ca="1" si="9"/>
        <v>-200.6428957638831</v>
      </c>
      <c r="S21" s="303" t="str">
        <f t="shared" ca="1" si="3"/>
        <v>a</v>
      </c>
      <c r="T21" s="319" t="str">
        <f t="shared" ca="1" si="10"/>
        <v/>
      </c>
      <c r="U21" s="303"/>
    </row>
    <row r="22" spans="1:21" ht="20.100000000000001" customHeight="1">
      <c r="A22" s="312">
        <f t="shared" si="4"/>
        <v>15</v>
      </c>
      <c r="B22" s="313">
        <f t="shared" si="4"/>
        <v>2038</v>
      </c>
      <c r="C22" s="314">
        <f t="shared" si="8"/>
        <v>4872</v>
      </c>
      <c r="D22" s="315">
        <f t="shared" si="5"/>
        <v>812</v>
      </c>
      <c r="E22" s="315">
        <f t="shared" si="0"/>
        <v>4060</v>
      </c>
      <c r="F22" s="313"/>
      <c r="G22" s="317">
        <f ca="1">DATA!$D$11/1000000</f>
        <v>3.8596802973662001</v>
      </c>
      <c r="H22" s="317">
        <f>C22*DATA!$D$5/1000000</f>
        <v>5.2818572235594372</v>
      </c>
      <c r="I22" s="317">
        <f>(C22*DATA!$D$5*DATA!$D$7)/1000000</f>
        <v>0.11884178753008734</v>
      </c>
      <c r="J22" s="315">
        <f t="shared" ca="1" si="1"/>
        <v>9.2603793084557253</v>
      </c>
      <c r="K22" s="313"/>
      <c r="L22" s="315">
        <f>((D22*DATA!$D$23)/1000000)+((E22*DATA!$D$24)/1000000)</f>
        <v>7.0385784000000005</v>
      </c>
      <c r="M22" s="315">
        <f t="shared" si="2"/>
        <v>7.0385784000000005</v>
      </c>
      <c r="N22" s="315">
        <f t="shared" ca="1" si="6"/>
        <v>-2.2218009084557249</v>
      </c>
      <c r="O22" s="314">
        <f>1/(1+'[93]Asumsi I'!$C$3)^(KKF!A22)</f>
        <v>0.18269626126419927</v>
      </c>
      <c r="P22" s="315">
        <f t="shared" ca="1" si="7"/>
        <v>-0.40591471924826239</v>
      </c>
      <c r="Q22" s="315">
        <f t="shared" ca="1" si="9"/>
        <v>-201.04881048313138</v>
      </c>
      <c r="S22" s="303" t="str">
        <f t="shared" ca="1" si="3"/>
        <v>a</v>
      </c>
      <c r="T22" s="319" t="str">
        <f t="shared" ca="1" si="10"/>
        <v/>
      </c>
      <c r="U22" s="303"/>
    </row>
    <row r="23" spans="1:21" ht="20.100000000000001" customHeight="1">
      <c r="A23" s="312">
        <f t="shared" si="4"/>
        <v>16</v>
      </c>
      <c r="B23" s="313">
        <f t="shared" si="4"/>
        <v>2039</v>
      </c>
      <c r="C23" s="314">
        <f t="shared" si="8"/>
        <v>4872</v>
      </c>
      <c r="D23" s="315">
        <f t="shared" si="5"/>
        <v>812</v>
      </c>
      <c r="E23" s="315">
        <f t="shared" si="0"/>
        <v>4060</v>
      </c>
      <c r="F23" s="313"/>
      <c r="G23" s="317">
        <f ca="1">DATA!$D$11/1000000</f>
        <v>3.8596802973662001</v>
      </c>
      <c r="H23" s="317">
        <f>C23*DATA!$D$5/1000000</f>
        <v>5.2818572235594372</v>
      </c>
      <c r="I23" s="317">
        <f>(C23*DATA!$D$5*DATA!$D$7)/1000000</f>
        <v>0.11884178753008734</v>
      </c>
      <c r="J23" s="315">
        <f t="shared" ca="1" si="1"/>
        <v>9.2603793084557253</v>
      </c>
      <c r="K23" s="313"/>
      <c r="L23" s="315">
        <f>((D23*DATA!$D$23)/1000000)+((E23*DATA!$D$24)/1000000)</f>
        <v>7.0385784000000005</v>
      </c>
      <c r="M23" s="315">
        <f t="shared" si="2"/>
        <v>7.0385784000000005</v>
      </c>
      <c r="N23" s="315">
        <f t="shared" ca="1" si="6"/>
        <v>-2.2218009084557249</v>
      </c>
      <c r="O23" s="314">
        <f>1/(1+'[93]Asumsi I'!$C$3)^(KKF!A23)</f>
        <v>0.16312166184303503</v>
      </c>
      <c r="P23" s="315">
        <f t="shared" ca="1" si="7"/>
        <v>-0.36242385647166281</v>
      </c>
      <c r="Q23" s="315">
        <f t="shared" ca="1" si="9"/>
        <v>-201.41123433960303</v>
      </c>
      <c r="S23" s="303" t="str">
        <f t="shared" ca="1" si="3"/>
        <v>a</v>
      </c>
      <c r="T23" s="319" t="str">
        <f t="shared" ca="1" si="10"/>
        <v/>
      </c>
      <c r="U23" s="303"/>
    </row>
    <row r="24" spans="1:21" ht="20.100000000000001" customHeight="1">
      <c r="A24" s="312">
        <f t="shared" si="4"/>
        <v>17</v>
      </c>
      <c r="B24" s="313">
        <f t="shared" si="4"/>
        <v>2040</v>
      </c>
      <c r="C24" s="314">
        <f t="shared" si="8"/>
        <v>4872</v>
      </c>
      <c r="D24" s="315">
        <f t="shared" si="5"/>
        <v>812</v>
      </c>
      <c r="E24" s="315">
        <f t="shared" si="0"/>
        <v>4060</v>
      </c>
      <c r="F24" s="313"/>
      <c r="G24" s="317">
        <f ca="1">DATA!$D$11/1000000</f>
        <v>3.8596802973662001</v>
      </c>
      <c r="H24" s="317">
        <f>C24*DATA!$D$5/1000000</f>
        <v>5.2818572235594372</v>
      </c>
      <c r="I24" s="317">
        <f>(C24*DATA!$D$5*DATA!$D$7)/1000000</f>
        <v>0.11884178753008734</v>
      </c>
      <c r="J24" s="315">
        <f t="shared" ca="1" si="1"/>
        <v>9.2603793084557253</v>
      </c>
      <c r="K24" s="313"/>
      <c r="L24" s="315">
        <f>((D24*DATA!$D$23)/1000000)+((E24*DATA!$D$24)/1000000)</f>
        <v>7.0385784000000005</v>
      </c>
      <c r="M24" s="315">
        <f t="shared" si="2"/>
        <v>7.0385784000000005</v>
      </c>
      <c r="N24" s="315">
        <f t="shared" ca="1" si="6"/>
        <v>-2.2218009084557249</v>
      </c>
      <c r="O24" s="314">
        <f>1/(1+'[93]Asumsi I'!$C$3)^(KKF!A24)</f>
        <v>0.14564434093128129</v>
      </c>
      <c r="P24" s="315">
        <f t="shared" ca="1" si="7"/>
        <v>-0.32359272899255609</v>
      </c>
      <c r="Q24" s="315">
        <f t="shared" ca="1" si="9"/>
        <v>-201.73482706859559</v>
      </c>
      <c r="S24" s="303" t="str">
        <f t="shared" ca="1" si="3"/>
        <v>a</v>
      </c>
      <c r="T24" s="319" t="str">
        <f t="shared" ca="1" si="10"/>
        <v/>
      </c>
      <c r="U24" s="303"/>
    </row>
    <row r="25" spans="1:21" ht="20.100000000000001" customHeight="1">
      <c r="A25" s="312">
        <f t="shared" ref="A25:B32" si="11">A24+1</f>
        <v>18</v>
      </c>
      <c r="B25" s="313">
        <f t="shared" si="11"/>
        <v>2041</v>
      </c>
      <c r="C25" s="314">
        <f t="shared" si="8"/>
        <v>4872</v>
      </c>
      <c r="D25" s="315">
        <f t="shared" si="5"/>
        <v>812</v>
      </c>
      <c r="E25" s="315">
        <f t="shared" si="0"/>
        <v>4060</v>
      </c>
      <c r="F25" s="313"/>
      <c r="G25" s="317">
        <f ca="1">DATA!$D$11/1000000</f>
        <v>3.8596802973662001</v>
      </c>
      <c r="H25" s="317">
        <f>C25*DATA!$D$5/1000000</f>
        <v>5.2818572235594372</v>
      </c>
      <c r="I25" s="317">
        <f>(C25*DATA!$D$5*DATA!$D$7)/1000000</f>
        <v>0.11884178753008734</v>
      </c>
      <c r="J25" s="315">
        <f t="shared" ca="1" si="1"/>
        <v>9.2603793084557253</v>
      </c>
      <c r="K25" s="313"/>
      <c r="L25" s="315">
        <f>((D25*DATA!$D$23)/1000000)+((E25*DATA!$D$24)/1000000)</f>
        <v>7.0385784000000005</v>
      </c>
      <c r="M25" s="315">
        <f t="shared" si="2"/>
        <v>7.0385784000000005</v>
      </c>
      <c r="N25" s="315">
        <f t="shared" ca="1" si="6"/>
        <v>-2.2218009084557249</v>
      </c>
      <c r="O25" s="314">
        <f>1/(1+'[93]Asumsi I'!$C$3)^(KKF!A25)</f>
        <v>0.13003959011721541</v>
      </c>
      <c r="P25" s="315">
        <f t="shared" ca="1" si="7"/>
        <v>-0.28892207945763931</v>
      </c>
      <c r="Q25" s="315">
        <f t="shared" ca="1" si="9"/>
        <v>-202.02374914805324</v>
      </c>
      <c r="S25" s="303" t="str">
        <f t="shared" ca="1" si="3"/>
        <v>a</v>
      </c>
      <c r="T25" s="319" t="str">
        <f t="shared" ca="1" si="10"/>
        <v/>
      </c>
      <c r="U25" s="303"/>
    </row>
    <row r="26" spans="1:21" ht="20.100000000000001" customHeight="1">
      <c r="A26" s="312">
        <f t="shared" si="11"/>
        <v>19</v>
      </c>
      <c r="B26" s="313">
        <f t="shared" si="11"/>
        <v>2042</v>
      </c>
      <c r="C26" s="314">
        <f t="shared" si="8"/>
        <v>4872</v>
      </c>
      <c r="D26" s="315">
        <f t="shared" si="5"/>
        <v>812</v>
      </c>
      <c r="E26" s="315">
        <f t="shared" si="0"/>
        <v>4060</v>
      </c>
      <c r="F26" s="313"/>
      <c r="G26" s="317">
        <f ca="1">DATA!$D$11/1000000</f>
        <v>3.8596802973662001</v>
      </c>
      <c r="H26" s="317">
        <f>C26*DATA!$D$5/1000000</f>
        <v>5.2818572235594372</v>
      </c>
      <c r="I26" s="317">
        <f>(C26*DATA!$D$5*DATA!$D$7)/1000000</f>
        <v>0.11884178753008734</v>
      </c>
      <c r="J26" s="315">
        <f t="shared" ca="1" si="1"/>
        <v>9.2603793084557253</v>
      </c>
      <c r="K26" s="313"/>
      <c r="L26" s="315">
        <f>((D26*DATA!$D$23)/1000000)+((E26*DATA!$D$24)/1000000)</f>
        <v>7.0385784000000005</v>
      </c>
      <c r="M26" s="315">
        <f t="shared" si="2"/>
        <v>7.0385784000000005</v>
      </c>
      <c r="N26" s="315">
        <f t="shared" ca="1" si="6"/>
        <v>-2.2218009084557249</v>
      </c>
      <c r="O26" s="314">
        <f>1/(1+'[93]Asumsi I'!$C$3)^(KKF!A26)</f>
        <v>0.1161067768903709</v>
      </c>
      <c r="P26" s="315">
        <f t="shared" ca="1" si="7"/>
        <v>-0.25796614237289223</v>
      </c>
      <c r="Q26" s="315">
        <f t="shared" ca="1" si="9"/>
        <v>-202.28171529042612</v>
      </c>
      <c r="S26" s="303" t="str">
        <f t="shared" ca="1" si="3"/>
        <v>a</v>
      </c>
      <c r="T26" s="319" t="str">
        <f t="shared" ca="1" si="10"/>
        <v/>
      </c>
      <c r="U26" s="303"/>
    </row>
    <row r="27" spans="1:21" ht="20.100000000000001" customHeight="1">
      <c r="A27" s="312">
        <f t="shared" si="11"/>
        <v>20</v>
      </c>
      <c r="B27" s="313">
        <f t="shared" si="11"/>
        <v>2043</v>
      </c>
      <c r="C27" s="314">
        <f t="shared" si="8"/>
        <v>4872</v>
      </c>
      <c r="D27" s="315">
        <f t="shared" si="5"/>
        <v>812</v>
      </c>
      <c r="E27" s="315">
        <f t="shared" si="0"/>
        <v>4060</v>
      </c>
      <c r="F27" s="313"/>
      <c r="G27" s="317">
        <f ca="1">DATA!$D$11/1000000</f>
        <v>3.8596802973662001</v>
      </c>
      <c r="H27" s="317">
        <f>C27*DATA!$D$5/1000000</f>
        <v>5.2818572235594372</v>
      </c>
      <c r="I27" s="317">
        <f>(C27*DATA!$D$5*DATA!$D$7)/1000000</f>
        <v>0.11884178753008734</v>
      </c>
      <c r="J27" s="315">
        <f t="shared" ca="1" si="1"/>
        <v>9.2603793084557253</v>
      </c>
      <c r="K27" s="313"/>
      <c r="L27" s="315">
        <f>((D27*DATA!$D$23)/1000000)+((E27*DATA!$D$24)/1000000)</f>
        <v>7.0385784000000005</v>
      </c>
      <c r="M27" s="315">
        <f t="shared" si="2"/>
        <v>7.0385784000000005</v>
      </c>
      <c r="N27" s="315">
        <f t="shared" ca="1" si="6"/>
        <v>-2.2218009084557249</v>
      </c>
      <c r="O27" s="314">
        <f>1/(1+'[93]Asumsi I'!$C$3)^(KKF!A27)</f>
        <v>0.1036667650806883</v>
      </c>
      <c r="P27" s="315">
        <f t="shared" ca="1" si="7"/>
        <v>-0.23032691283293946</v>
      </c>
      <c r="Q27" s="315">
        <f t="shared" ca="1" si="9"/>
        <v>-202.51204220325906</v>
      </c>
      <c r="S27" s="303" t="str">
        <f t="shared" ca="1" si="3"/>
        <v>a</v>
      </c>
      <c r="T27" s="319" t="str">
        <f t="shared" ca="1" si="10"/>
        <v/>
      </c>
      <c r="U27" s="303"/>
    </row>
    <row r="28" spans="1:21" ht="20.100000000000001" customHeight="1">
      <c r="A28" s="312">
        <f t="shared" si="11"/>
        <v>21</v>
      </c>
      <c r="B28" s="313">
        <f t="shared" si="11"/>
        <v>2044</v>
      </c>
      <c r="C28" s="314">
        <f t="shared" si="8"/>
        <v>4872</v>
      </c>
      <c r="D28" s="315">
        <f t="shared" si="5"/>
        <v>812</v>
      </c>
      <c r="E28" s="315">
        <f t="shared" si="0"/>
        <v>4060</v>
      </c>
      <c r="F28" s="313"/>
      <c r="G28" s="317">
        <f ca="1">DATA!$D$11/1000000</f>
        <v>3.8596802973662001</v>
      </c>
      <c r="H28" s="317">
        <f>C28*DATA!$D$5/1000000</f>
        <v>5.2818572235594372</v>
      </c>
      <c r="I28" s="317">
        <f>(C28*DATA!$D$5*DATA!$D$7)/1000000</f>
        <v>0.11884178753008734</v>
      </c>
      <c r="J28" s="315">
        <f t="shared" ca="1" si="1"/>
        <v>9.2603793084557253</v>
      </c>
      <c r="K28" s="313"/>
      <c r="L28" s="315">
        <f>((D28*DATA!$D$23)/1000000)+((E28*DATA!$D$24)/1000000)</f>
        <v>7.0385784000000005</v>
      </c>
      <c r="M28" s="315">
        <f t="shared" si="2"/>
        <v>7.0385784000000005</v>
      </c>
      <c r="N28" s="315">
        <f t="shared" ca="1" si="6"/>
        <v>-2.2218009084557249</v>
      </c>
      <c r="O28" s="314">
        <f>1/(1+'[93]Asumsi I'!$C$3)^(KKF!A28)</f>
        <v>9.2559611679185971E-2</v>
      </c>
      <c r="P28" s="315">
        <f t="shared" ca="1" si="7"/>
        <v>-0.20564902931512452</v>
      </c>
      <c r="Q28" s="315">
        <f t="shared" ca="1" si="9"/>
        <v>-202.71769123257417</v>
      </c>
      <c r="S28" s="303" t="str">
        <f t="shared" ca="1" si="3"/>
        <v>a</v>
      </c>
      <c r="T28" s="319" t="str">
        <f t="shared" ca="1" si="10"/>
        <v/>
      </c>
      <c r="U28" s="303"/>
    </row>
    <row r="29" spans="1:21" ht="20.100000000000001" customHeight="1">
      <c r="A29" s="312">
        <f t="shared" si="11"/>
        <v>22</v>
      </c>
      <c r="B29" s="313">
        <f t="shared" si="11"/>
        <v>2045</v>
      </c>
      <c r="C29" s="314">
        <f t="shared" si="8"/>
        <v>4872</v>
      </c>
      <c r="D29" s="315">
        <f t="shared" si="5"/>
        <v>812</v>
      </c>
      <c r="E29" s="315">
        <f t="shared" si="0"/>
        <v>4060</v>
      </c>
      <c r="F29" s="313"/>
      <c r="G29" s="317">
        <f ca="1">DATA!$D$11/1000000</f>
        <v>3.8596802973662001</v>
      </c>
      <c r="H29" s="317">
        <f>C29*DATA!$D$5/1000000</f>
        <v>5.2818572235594372</v>
      </c>
      <c r="I29" s="317">
        <f>(C29*DATA!$D$5*DATA!$D$7)/1000000</f>
        <v>0.11884178753008734</v>
      </c>
      <c r="J29" s="315">
        <f t="shared" ca="1" si="1"/>
        <v>9.2603793084557253</v>
      </c>
      <c r="K29" s="313"/>
      <c r="L29" s="315">
        <f>((D29*DATA!$D$23)/1000000)+((E29*DATA!$D$24)/1000000)</f>
        <v>7.0385784000000005</v>
      </c>
      <c r="M29" s="315">
        <f t="shared" si="2"/>
        <v>7.0385784000000005</v>
      </c>
      <c r="N29" s="315">
        <f t="shared" ca="1" si="6"/>
        <v>-2.2218009084557249</v>
      </c>
      <c r="O29" s="314">
        <f>1/(1+'[93]Asumsi I'!$C$3)^(KKF!A29)</f>
        <v>8.2642510427844609E-2</v>
      </c>
      <c r="P29" s="315">
        <f t="shared" ca="1" si="7"/>
        <v>-0.18361520474564688</v>
      </c>
      <c r="Q29" s="315">
        <f t="shared" ca="1" si="9"/>
        <v>-202.90130643731982</v>
      </c>
      <c r="S29" s="303" t="str">
        <f t="shared" ca="1" si="3"/>
        <v>a</v>
      </c>
      <c r="T29" s="319" t="str">
        <f t="shared" ca="1" si="10"/>
        <v/>
      </c>
      <c r="U29" s="303"/>
    </row>
    <row r="30" spans="1:21" ht="20.100000000000001" customHeight="1">
      <c r="A30" s="312">
        <f t="shared" si="11"/>
        <v>23</v>
      </c>
      <c r="B30" s="313">
        <f t="shared" si="11"/>
        <v>2046</v>
      </c>
      <c r="C30" s="314">
        <f t="shared" si="8"/>
        <v>4872</v>
      </c>
      <c r="D30" s="315">
        <f t="shared" si="5"/>
        <v>812</v>
      </c>
      <c r="E30" s="315">
        <f t="shared" si="0"/>
        <v>4060</v>
      </c>
      <c r="F30" s="313"/>
      <c r="G30" s="317">
        <f ca="1">DATA!$D$11/1000000</f>
        <v>3.8596802973662001</v>
      </c>
      <c r="H30" s="317">
        <f>C30*DATA!$D$5/1000000</f>
        <v>5.2818572235594372</v>
      </c>
      <c r="I30" s="317">
        <f>(C30*DATA!$D$5*DATA!$D$7)/1000000</f>
        <v>0.11884178753008734</v>
      </c>
      <c r="J30" s="315">
        <f t="shared" ca="1" si="1"/>
        <v>9.2603793084557253</v>
      </c>
      <c r="K30" s="313"/>
      <c r="L30" s="315">
        <f>((D30*DATA!$D$23)/1000000)+((E30*DATA!$D$24)/1000000)</f>
        <v>7.0385784000000005</v>
      </c>
      <c r="M30" s="315">
        <f t="shared" si="2"/>
        <v>7.0385784000000005</v>
      </c>
      <c r="N30" s="315">
        <f t="shared" ca="1" si="6"/>
        <v>-2.2218009084557249</v>
      </c>
      <c r="O30" s="314">
        <f>1/(1+'[93]Asumsi I'!$C$3)^(KKF!A30)</f>
        <v>7.3787955739146982E-2</v>
      </c>
      <c r="P30" s="315">
        <f t="shared" ca="1" si="7"/>
        <v>-0.16394214709432758</v>
      </c>
      <c r="Q30" s="315">
        <f t="shared" ca="1" si="9"/>
        <v>-203.06524858441415</v>
      </c>
      <c r="S30" s="303" t="str">
        <f t="shared" ca="1" si="3"/>
        <v>a</v>
      </c>
      <c r="T30" s="319" t="str">
        <f t="shared" ca="1" si="10"/>
        <v/>
      </c>
      <c r="U30" s="303"/>
    </row>
    <row r="31" spans="1:21" ht="20.100000000000001" customHeight="1">
      <c r="A31" s="312">
        <f t="shared" si="11"/>
        <v>24</v>
      </c>
      <c r="B31" s="313">
        <f t="shared" si="11"/>
        <v>2047</v>
      </c>
      <c r="C31" s="314">
        <f t="shared" si="8"/>
        <v>4872</v>
      </c>
      <c r="D31" s="315">
        <f t="shared" si="5"/>
        <v>812</v>
      </c>
      <c r="E31" s="315">
        <f t="shared" si="0"/>
        <v>4060</v>
      </c>
      <c r="F31" s="313"/>
      <c r="G31" s="317">
        <f ca="1">DATA!$D$11/1000000</f>
        <v>3.8596802973662001</v>
      </c>
      <c r="H31" s="317">
        <f>C31*DATA!$D$5/1000000</f>
        <v>5.2818572235594372</v>
      </c>
      <c r="I31" s="317">
        <f>(C31*DATA!$D$5*DATA!$D$7)/1000000</f>
        <v>0.11884178753008734</v>
      </c>
      <c r="J31" s="315">
        <f t="shared" ca="1" si="1"/>
        <v>9.2603793084557253</v>
      </c>
      <c r="K31" s="313"/>
      <c r="L31" s="315">
        <f>((D31*DATA!$D$23)/1000000)+((E31*DATA!$D$24)/1000000)</f>
        <v>7.0385784000000005</v>
      </c>
      <c r="M31" s="315">
        <f t="shared" si="2"/>
        <v>7.0385784000000005</v>
      </c>
      <c r="N31" s="315">
        <f t="shared" ca="1" si="6"/>
        <v>-2.2218009084557249</v>
      </c>
      <c r="O31" s="314">
        <f>1/(1+'[93]Asumsi I'!$C$3)^(KKF!A31)</f>
        <v>6.5882103338524081E-2</v>
      </c>
      <c r="P31" s="315">
        <f t="shared" ca="1" si="7"/>
        <v>-0.14637691704850675</v>
      </c>
      <c r="Q31" s="315">
        <f ca="1">Q30+P31</f>
        <v>-203.21162550146266</v>
      </c>
      <c r="S31" s="303" t="str">
        <f t="shared" ca="1" si="3"/>
        <v>a</v>
      </c>
      <c r="T31" s="319" t="str">
        <f t="shared" ca="1" si="10"/>
        <v/>
      </c>
      <c r="U31" s="303"/>
    </row>
    <row r="32" spans="1:21" ht="20.100000000000001" customHeight="1">
      <c r="A32" s="312">
        <f t="shared" si="11"/>
        <v>25</v>
      </c>
      <c r="B32" s="313">
        <f>B30+1</f>
        <v>2047</v>
      </c>
      <c r="C32" s="314">
        <f t="shared" si="8"/>
        <v>4872</v>
      </c>
      <c r="D32" s="315">
        <f t="shared" si="5"/>
        <v>812</v>
      </c>
      <c r="E32" s="315">
        <f t="shared" si="0"/>
        <v>4060</v>
      </c>
      <c r="F32" s="313"/>
      <c r="G32" s="317">
        <f ca="1">DATA!$D$11/1000000</f>
        <v>3.8596802973662001</v>
      </c>
      <c r="H32" s="317">
        <f>C32*DATA!$D$5/1000000</f>
        <v>5.2818572235594372</v>
      </c>
      <c r="I32" s="317">
        <f>(C32*DATA!$D$5*DATA!$D$7)/1000000</f>
        <v>0.11884178753008734</v>
      </c>
      <c r="J32" s="315">
        <f t="shared" ca="1" si="1"/>
        <v>9.2603793084557253</v>
      </c>
      <c r="K32" s="313"/>
      <c r="L32" s="315">
        <f>((D32*DATA!$D$23)/1000000)+((E32*DATA!$D$24)/1000000)</f>
        <v>7.0385784000000005</v>
      </c>
      <c r="M32" s="315">
        <f t="shared" si="2"/>
        <v>7.0385784000000005</v>
      </c>
      <c r="N32" s="315">
        <f t="shared" ca="1" si="6"/>
        <v>-2.2218009084557249</v>
      </c>
      <c r="O32" s="314">
        <f>1/(1+'[93]Asumsi I'!$C$3)^(KKF!A32)</f>
        <v>5.8823306552253637E-2</v>
      </c>
      <c r="P32" s="315">
        <f t="shared" ca="1" si="7"/>
        <v>-0.13069367593616674</v>
      </c>
      <c r="Q32" s="315">
        <f ca="1">Q31+P32</f>
        <v>-203.34231917739882</v>
      </c>
      <c r="S32" s="303" t="str">
        <f t="shared" ca="1" si="3"/>
        <v>a</v>
      </c>
      <c r="T32" s="319" t="str">
        <f t="shared" ca="1" si="10"/>
        <v/>
      </c>
      <c r="U32" s="303"/>
    </row>
    <row r="33" spans="2:22" ht="20.100000000000001" customHeight="1">
      <c r="B33" s="322"/>
      <c r="C33" s="322"/>
      <c r="D33" s="322"/>
      <c r="E33" s="322"/>
      <c r="F33" s="618" t="s">
        <v>1374</v>
      </c>
      <c r="G33" s="618"/>
      <c r="H33" s="618"/>
      <c r="I33" s="323"/>
      <c r="J33" s="324">
        <f ca="1">SUM(J7:J32)</f>
        <v>431.95364388446285</v>
      </c>
      <c r="K33" s="618" t="s">
        <v>1375</v>
      </c>
      <c r="L33" s="618"/>
      <c r="M33" s="324">
        <f>SUM(M7:M32)</f>
        <v>190.49219560000009</v>
      </c>
      <c r="N33" s="322"/>
      <c r="O33" s="322"/>
      <c r="P33" s="325"/>
      <c r="Q33" s="325"/>
      <c r="S33" s="303">
        <f ca="1">COUNTIF(S7:S32,"a")</f>
        <v>26</v>
      </c>
    </row>
    <row r="34" spans="2:22" ht="20.100000000000001" customHeight="1">
      <c r="B34" s="322"/>
      <c r="C34" s="322"/>
      <c r="D34" s="322"/>
      <c r="E34" s="322"/>
      <c r="F34" s="326"/>
      <c r="G34" s="326"/>
      <c r="H34" s="326"/>
      <c r="I34" s="326"/>
      <c r="J34" s="327"/>
      <c r="K34" s="326"/>
      <c r="L34" s="326"/>
      <c r="M34" s="327"/>
      <c r="N34" s="322"/>
      <c r="O34" s="322"/>
      <c r="P34" s="328" t="s">
        <v>1376</v>
      </c>
      <c r="Q34" s="329">
        <f ca="1">+J7/N32</f>
        <v>-90.216976872328786</v>
      </c>
      <c r="V34" s="330"/>
    </row>
    <row r="35" spans="2:22" ht="20.100000000000001" customHeight="1">
      <c r="B35" s="322"/>
      <c r="C35" s="322"/>
      <c r="D35" s="322"/>
      <c r="E35" s="322"/>
      <c r="F35" s="326"/>
      <c r="G35" s="326"/>
      <c r="H35" s="326"/>
      <c r="I35" s="326"/>
      <c r="J35" s="327"/>
      <c r="K35" s="326"/>
      <c r="L35" s="326"/>
      <c r="M35" s="327"/>
      <c r="N35" s="322"/>
      <c r="O35" s="322"/>
      <c r="P35" s="328" t="s">
        <v>1377</v>
      </c>
      <c r="Q35" s="331" t="e">
        <f ca="1">AVERAGE(T7:T32)</f>
        <v>#DIV/0!</v>
      </c>
    </row>
    <row r="36" spans="2:22" ht="20.100000000000001" customHeight="1">
      <c r="B36" s="322"/>
      <c r="C36" s="322"/>
      <c r="D36" s="322"/>
      <c r="E36" s="322"/>
      <c r="F36" s="326"/>
      <c r="G36" s="326"/>
      <c r="H36" s="326"/>
      <c r="I36" s="326"/>
      <c r="J36" s="327"/>
      <c r="K36" s="326"/>
      <c r="L36" s="326"/>
      <c r="M36" s="327"/>
      <c r="N36" s="322"/>
      <c r="O36" s="322"/>
      <c r="P36" s="328" t="s">
        <v>1378</v>
      </c>
      <c r="Q36" s="332">
        <f ca="1">M33/J33</f>
        <v>0.44100147850807836</v>
      </c>
    </row>
    <row r="37" spans="2:22" ht="20.100000000000001" customHeight="1">
      <c r="B37" s="322"/>
      <c r="C37" s="322"/>
      <c r="D37" s="322"/>
      <c r="E37" s="322"/>
      <c r="F37" s="326"/>
      <c r="G37" s="326"/>
      <c r="H37" s="326"/>
      <c r="I37" s="326"/>
      <c r="J37" s="327"/>
      <c r="K37" s="326"/>
      <c r="L37" s="326"/>
      <c r="M37" s="327"/>
      <c r="N37" s="322"/>
      <c r="O37" s="322"/>
      <c r="P37" s="328" t="s">
        <v>1028</v>
      </c>
      <c r="Q37" s="333">
        <f ca="1">+NPV(0.12,N7:N32)</f>
        <v>-181.55564212267751</v>
      </c>
    </row>
    <row r="38" spans="2:22" ht="20.100000000000001" customHeight="1">
      <c r="B38" s="322"/>
      <c r="C38" s="322"/>
      <c r="D38" s="322"/>
      <c r="E38" s="322"/>
      <c r="F38" s="326"/>
      <c r="G38" s="326"/>
      <c r="H38" s="326"/>
      <c r="I38" s="326"/>
      <c r="J38" s="327"/>
      <c r="K38" s="326"/>
      <c r="L38" s="326"/>
      <c r="M38" s="327"/>
      <c r="N38" s="322"/>
      <c r="O38" s="322"/>
      <c r="P38" s="328" t="s">
        <v>1029</v>
      </c>
      <c r="Q38" s="334" t="e">
        <f ca="1">IRR(N7:N32,DATA!D4)</f>
        <v>#NUM!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27" priority="1" stopIfTrue="1" operator="greaterThanOrEqual">
      <formula>$F$7</formula>
    </cfRule>
    <cfRule type="cellIs" dxfId="26" priority="2" stopIfTrue="1" operator="lessThan">
      <formula>$F$7</formula>
    </cfRule>
  </conditionalFormatting>
  <conditionalFormatting sqref="Q7:Q32">
    <cfRule type="cellIs" dxfId="25" priority="3" operator="lessThan">
      <formula>0</formula>
    </cfRule>
    <cfRule type="cellIs" dxfId="24" priority="4" operator="lessThan">
      <formula>0</formula>
    </cfRule>
    <cfRule type="cellIs" dxfId="23" priority="5" operator="lessThan">
      <formula>-6395.81</formula>
    </cfRule>
    <cfRule type="cellIs" dxfId="22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202"/>
  <sheetViews>
    <sheetView showGridLines="0" zoomScale="70" zoomScaleNormal="70" zoomScaleSheetLayoutView="70" workbookViewId="0">
      <pane ySplit="13" topLeftCell="A167" activePane="bottomLeft" state="frozen"/>
      <selection activeCell="H1093" sqref="H1093"/>
      <selection pane="bottomLeft" activeCell="G7" sqref="G7"/>
    </sheetView>
  </sheetViews>
  <sheetFormatPr defaultColWidth="9.140625" defaultRowHeight="15"/>
  <cols>
    <col min="1" max="1" width="8.28515625" style="335" customWidth="1"/>
    <col min="2" max="2" width="5.140625" style="336" customWidth="1"/>
    <col min="3" max="3" width="53.42578125" style="408" customWidth="1"/>
    <col min="4" max="4" width="13.7109375" style="408" customWidth="1"/>
    <col min="5" max="5" width="12.5703125" style="339" customWidth="1"/>
    <col min="6" max="6" width="7.7109375" style="339" customWidth="1"/>
    <col min="7" max="7" width="12.7109375" style="339" customWidth="1"/>
    <col min="8" max="8" width="18.140625" style="340" customWidth="1"/>
    <col min="9" max="9" width="16.7109375" style="340" customWidth="1"/>
    <col min="10" max="11" width="16.7109375" style="341" customWidth="1"/>
    <col min="12" max="12" width="3.7109375" style="341" customWidth="1"/>
    <col min="13" max="13" width="14" style="341" customWidth="1"/>
    <col min="14" max="14" width="15" style="341" customWidth="1"/>
    <col min="15" max="15" width="9.140625" style="342" customWidth="1"/>
    <col min="16" max="16" width="12.7109375" style="343" customWidth="1"/>
    <col min="17" max="17" width="12.7109375" style="342" customWidth="1"/>
    <col min="18" max="18" width="2.42578125" style="342" customWidth="1"/>
    <col min="19" max="22" width="10.85546875" style="342" customWidth="1"/>
    <col min="23" max="24" width="9.140625" style="342" customWidth="1"/>
    <col min="25" max="16384" width="9.140625" style="342"/>
  </cols>
  <sheetData>
    <row r="1" spans="1:22">
      <c r="C1" s="337" t="s">
        <v>1009</v>
      </c>
      <c r="D1" s="338"/>
      <c r="U1" s="335"/>
    </row>
    <row r="2" spans="1:22">
      <c r="C2" s="337" t="s">
        <v>1348</v>
      </c>
      <c r="D2" s="338"/>
      <c r="T2" s="343"/>
      <c r="U2" s="344" t="s">
        <v>1036</v>
      </c>
      <c r="V2" s="343"/>
    </row>
    <row r="3" spans="1:22">
      <c r="C3" s="337" t="s">
        <v>1440</v>
      </c>
      <c r="D3" s="338"/>
      <c r="O3" s="641" t="s">
        <v>1036</v>
      </c>
      <c r="P3" s="641"/>
      <c r="Q3" s="345"/>
      <c r="T3" s="343"/>
      <c r="U3" s="344" t="s">
        <v>1041</v>
      </c>
      <c r="V3" s="343"/>
    </row>
    <row r="4" spans="1:22" ht="15.75" customHeight="1">
      <c r="B4" s="642" t="s">
        <v>1023</v>
      </c>
      <c r="C4" s="642"/>
      <c r="D4" s="642"/>
      <c r="E4" s="642"/>
      <c r="F4" s="642"/>
      <c r="G4" s="642"/>
      <c r="H4" s="642"/>
      <c r="I4" s="642"/>
      <c r="J4" s="642"/>
      <c r="K4" s="642"/>
      <c r="O4" s="641"/>
      <c r="P4" s="641"/>
      <c r="T4" s="343"/>
      <c r="U4" s="343"/>
      <c r="V4" s="343"/>
    </row>
    <row r="5" spans="1:22">
      <c r="C5" s="346"/>
      <c r="D5" s="338"/>
      <c r="T5" s="343"/>
      <c r="U5" s="344"/>
      <c r="V5" s="343"/>
    </row>
    <row r="6" spans="1:22">
      <c r="C6" s="346"/>
      <c r="D6" s="338"/>
      <c r="E6" s="347" t="s">
        <v>1037</v>
      </c>
      <c r="F6" s="348" t="s">
        <v>9</v>
      </c>
      <c r="G6" s="729" t="str">
        <f>DATA!D14</f>
        <v>LULUK NASEKAH</v>
      </c>
      <c r="H6" s="625"/>
      <c r="I6" s="625"/>
      <c r="J6" s="625"/>
      <c r="K6" s="625"/>
      <c r="T6" s="343"/>
      <c r="U6" s="344"/>
      <c r="V6" s="343"/>
    </row>
    <row r="7" spans="1:22">
      <c r="C7" s="346"/>
      <c r="D7" s="338"/>
      <c r="E7" s="347" t="s">
        <v>1038</v>
      </c>
      <c r="F7" s="348" t="s">
        <v>9</v>
      </c>
      <c r="G7" s="347" t="s">
        <v>1645</v>
      </c>
      <c r="J7" s="349"/>
      <c r="T7" s="343"/>
      <c r="U7" s="344"/>
      <c r="V7" s="343"/>
    </row>
    <row r="8" spans="1:22">
      <c r="C8" s="346"/>
      <c r="D8" s="338"/>
      <c r="E8" s="347" t="s">
        <v>1039</v>
      </c>
      <c r="F8" s="348" t="s">
        <v>9</v>
      </c>
      <c r="G8" s="347" t="s">
        <v>1440</v>
      </c>
      <c r="J8" s="349"/>
      <c r="T8" s="343"/>
      <c r="U8" s="344"/>
      <c r="V8" s="343"/>
    </row>
    <row r="9" spans="1:22">
      <c r="C9" s="346"/>
      <c r="D9" s="338"/>
      <c r="E9" s="347" t="s">
        <v>1040</v>
      </c>
      <c r="F9" s="348" t="s">
        <v>9</v>
      </c>
      <c r="G9" s="347" t="s">
        <v>1548</v>
      </c>
      <c r="J9" s="349"/>
      <c r="T9" s="343"/>
      <c r="U9" s="344"/>
      <c r="V9" s="343"/>
    </row>
    <row r="10" spans="1:22" ht="15.75" thickBot="1">
      <c r="C10" s="338"/>
      <c r="D10" s="338"/>
      <c r="T10" s="343"/>
      <c r="U10" s="343"/>
      <c r="V10" s="343"/>
    </row>
    <row r="11" spans="1:22" ht="21" customHeight="1">
      <c r="B11" s="644" t="s">
        <v>0</v>
      </c>
      <c r="C11" s="646" t="s">
        <v>1</v>
      </c>
      <c r="D11" s="635" t="s">
        <v>42</v>
      </c>
      <c r="E11" s="635" t="s">
        <v>43</v>
      </c>
      <c r="F11" s="635" t="s">
        <v>2</v>
      </c>
      <c r="G11" s="649" t="s">
        <v>41</v>
      </c>
      <c r="H11" s="635" t="s">
        <v>3</v>
      </c>
      <c r="I11" s="635"/>
      <c r="J11" s="635"/>
      <c r="K11" s="636"/>
      <c r="O11" s="350"/>
      <c r="P11" s="351"/>
      <c r="Q11" s="350"/>
      <c r="S11" s="352"/>
      <c r="T11" s="353"/>
      <c r="U11" s="353"/>
      <c r="V11" s="353"/>
    </row>
    <row r="12" spans="1:22" ht="15" customHeight="1">
      <c r="B12" s="645"/>
      <c r="C12" s="647"/>
      <c r="D12" s="639"/>
      <c r="E12" s="639"/>
      <c r="F12" s="639"/>
      <c r="G12" s="650"/>
      <c r="H12" s="637" t="s">
        <v>46</v>
      </c>
      <c r="I12" s="637" t="s">
        <v>5</v>
      </c>
      <c r="J12" s="639" t="s">
        <v>47</v>
      </c>
      <c r="K12" s="640" t="s">
        <v>4</v>
      </c>
      <c r="O12" s="351"/>
      <c r="P12" s="351"/>
      <c r="Q12" s="351"/>
      <c r="S12" s="352"/>
      <c r="T12" s="352"/>
      <c r="U12" s="352"/>
      <c r="V12" s="352"/>
    </row>
    <row r="13" spans="1:22" ht="15" customHeight="1">
      <c r="B13" s="645"/>
      <c r="C13" s="648"/>
      <c r="D13" s="639"/>
      <c r="E13" s="639"/>
      <c r="F13" s="639"/>
      <c r="G13" s="651"/>
      <c r="H13" s="638"/>
      <c r="I13" s="638"/>
      <c r="J13" s="639"/>
      <c r="K13" s="640"/>
      <c r="O13" s="354"/>
      <c r="P13" s="354"/>
      <c r="Q13" s="354"/>
      <c r="S13" s="352"/>
      <c r="T13" s="352"/>
      <c r="U13" s="352"/>
      <c r="V13" s="352"/>
    </row>
    <row r="14" spans="1:22" s="364" customFormat="1" ht="15.75" customHeight="1">
      <c r="A14" s="335"/>
      <c r="B14" s="355"/>
      <c r="C14" s="356"/>
      <c r="D14" s="357" t="str">
        <f ca="1">IF(ISERROR(OFFSET('HARGA SATUAN'!$D$6,MATCH(RAB!C14,'HARGA SATUAN'!$C$7:$C$1492,0),0)),"",OFFSET('HARGA SATUAN'!$D$6,MATCH(RAB!C14,'HARGA SATUAN'!$C$7:$C$1492,0),0))</f>
        <v/>
      </c>
      <c r="E14" s="358" t="str">
        <f ca="1">IF(B14="+","Unit",IF(ISERROR(OFFSET('HARGA SATUAN'!$E$6,MATCH(RAB!C14,'HARGA SATUAN'!$C$7:$C$1492,0),0)),"",OFFSET('HARGA SATUAN'!$E$6,MATCH(RAB!C14,'HARGA SATUAN'!$C$7:$C$1492,0),0)))</f>
        <v/>
      </c>
      <c r="F14" s="367"/>
      <c r="G14" s="359">
        <f ca="1">IF(ISERROR(OFFSET('HARGA SATUAN'!$I$6,MATCH(RAB!C14,'HARGA SATUAN'!$C$7:$C$1492,0),0)),0,OFFSET('HARGA SATUAN'!$I$6,MATCH(RAB!C14,'HARGA SATUAN'!$C$7:$C$1492,0),0))</f>
        <v>0</v>
      </c>
      <c r="H14" s="360">
        <f t="shared" ref="H14" ca="1" si="0">IF(OR(D14="MDU",D14="MDU-KD"),(IF($O$3="RAB NON MDU","PLN KD",G14*F14)),0)</f>
        <v>0</v>
      </c>
      <c r="I14" s="360">
        <f t="shared" ref="I14" ca="1" si="1">IF(D14="HDW",G14*F14,0)</f>
        <v>0</v>
      </c>
      <c r="J14" s="360">
        <f t="shared" ref="J14" ca="1" si="2">IF(D14="JASA",G14*F14,0)</f>
        <v>0</v>
      </c>
      <c r="K14" s="361">
        <f t="shared" ref="K14" ca="1" si="3">SUM(H14:J14)</f>
        <v>0</v>
      </c>
      <c r="L14" s="341"/>
      <c r="M14" s="341"/>
      <c r="N14" s="341"/>
      <c r="O14" s="362"/>
      <c r="P14" s="362"/>
      <c r="Q14" s="343"/>
      <c r="R14" s="335"/>
      <c r="S14" s="363"/>
      <c r="T14" s="340"/>
      <c r="U14" s="340"/>
      <c r="V14" s="340"/>
    </row>
    <row r="15" spans="1:22" s="369" customFormat="1">
      <c r="A15" s="335" t="e">
        <f>IF(AND(C15=0,#REF!=0,#REF!=0),"BLANKS",1)</f>
        <v>#REF!</v>
      </c>
      <c r="B15" s="365" t="s">
        <v>10</v>
      </c>
      <c r="C15" s="366" t="s">
        <v>1612</v>
      </c>
      <c r="D15" s="357" t="str">
        <f ca="1">IF(ISERROR(OFFSET('HARGA SATUAN'!$D$6,MATCH(RAB!C15,'HARGA SATUAN'!$C$7:$C$1492,0),0)),"",OFFSET('HARGA SATUAN'!$D$6,MATCH(RAB!C15,'HARGA SATUAN'!$C$7:$C$1492,0),0))</f>
        <v/>
      </c>
      <c r="E15" s="358" t="str">
        <f ca="1">IF(B15="+","Unit",IF(ISERROR(OFFSET('HARGA SATUAN'!$E$6,MATCH(RAB!C15,'HARGA SATUAN'!$C$7:$C$1492,0),0)),"",OFFSET('HARGA SATUAN'!$E$6,MATCH(RAB!C15,'HARGA SATUAN'!$C$7:$C$1492,0),0)))</f>
        <v/>
      </c>
      <c r="F15" s="367"/>
      <c r="G15" s="359">
        <f ca="1">IF(ISERROR(OFFSET('HARGA SATUAN'!$I$6,MATCH(RAB!C15,'HARGA SATUAN'!$C$7:$C$1492,0),0)),0,OFFSET('HARGA SATUAN'!$I$6,MATCH(RAB!C15,'HARGA SATUAN'!$C$7:$C$1492,0),0))</f>
        <v>0</v>
      </c>
      <c r="H15" s="360">
        <f t="shared" ref="H15:H16" ca="1" si="4">IF(OR(D15="MDU",D15="MDU-KD"),(IF($O$3="RAB NON MDU","PLN KD",G15*F15)),0)</f>
        <v>0</v>
      </c>
      <c r="I15" s="360">
        <f t="shared" ref="I15:I16" ca="1" si="5">IF(D15="HDW",G15*F15,0)</f>
        <v>0</v>
      </c>
      <c r="J15" s="360">
        <f t="shared" ref="J15:J16" ca="1" si="6">IF(D15="JASA",G15*F15,0)</f>
        <v>0</v>
      </c>
      <c r="K15" s="361">
        <f t="shared" ref="K15:K16" ca="1" si="7">SUM(H15:J15)</f>
        <v>0</v>
      </c>
      <c r="L15" s="368"/>
      <c r="M15" s="368"/>
      <c r="N15" s="368"/>
      <c r="O15" s="362"/>
      <c r="P15" s="362"/>
      <c r="Q15" s="343"/>
      <c r="R15" s="335"/>
      <c r="S15" s="363"/>
      <c r="T15" s="340"/>
      <c r="U15" s="340"/>
      <c r="V15" s="340"/>
    </row>
    <row r="16" spans="1:22" s="369" customFormat="1">
      <c r="A16" s="335" t="e">
        <f>IF(AND(C16=0,#REF!=0,#REF!=0),"BLANKS",1)</f>
        <v>#REF!</v>
      </c>
      <c r="B16" s="370"/>
      <c r="C16" s="371"/>
      <c r="D16" s="357" t="str">
        <f ca="1">IF(ISERROR(OFFSET('HARGA SATUAN'!$D$6,MATCH(RAB!C16,'HARGA SATUAN'!$C$7:$C$1492,0),0)),"",OFFSET('HARGA SATUAN'!$D$6,MATCH(RAB!C16,'HARGA SATUAN'!$C$7:$C$1492,0),0))</f>
        <v/>
      </c>
      <c r="E16" s="358" t="str">
        <f ca="1">IF(B16="+","Unit",IF(ISERROR(OFFSET('HARGA SATUAN'!$E$6,MATCH(RAB!C16,'HARGA SATUAN'!$C$7:$C$1492,0),0)),"",OFFSET('HARGA SATUAN'!$E$6,MATCH(RAB!C16,'HARGA SATUAN'!$C$7:$C$1492,0),0)))</f>
        <v/>
      </c>
      <c r="F16" s="367"/>
      <c r="G16" s="359">
        <f ca="1">IF(ISERROR(OFFSET('HARGA SATUAN'!$I$6,MATCH(RAB!C16,'HARGA SATUAN'!$C$7:$C$1492,0),0)),0,OFFSET('HARGA SATUAN'!$I$6,MATCH(RAB!C16,'HARGA SATUAN'!$C$7:$C$1492,0),0))</f>
        <v>0</v>
      </c>
      <c r="H16" s="360">
        <f t="shared" ca="1" si="4"/>
        <v>0</v>
      </c>
      <c r="I16" s="360">
        <f t="shared" ca="1" si="5"/>
        <v>0</v>
      </c>
      <c r="J16" s="360">
        <f t="shared" ca="1" si="6"/>
        <v>0</v>
      </c>
      <c r="K16" s="361">
        <f t="shared" ca="1" si="7"/>
        <v>0</v>
      </c>
      <c r="L16" s="368"/>
      <c r="M16" s="368"/>
      <c r="N16" s="368"/>
      <c r="O16" s="362"/>
      <c r="P16" s="362"/>
      <c r="Q16" s="343"/>
      <c r="R16" s="335"/>
      <c r="S16" s="363"/>
      <c r="T16" s="340"/>
      <c r="U16" s="340"/>
      <c r="V16" s="340"/>
    </row>
    <row r="17" spans="1:22" s="369" customFormat="1">
      <c r="A17" s="335"/>
      <c r="B17" s="370">
        <v>1</v>
      </c>
      <c r="C17" s="109" t="s">
        <v>104</v>
      </c>
      <c r="D17" s="357" t="str">
        <f ca="1">IF(ISERROR(OFFSET('HARGA SATUAN'!$D$6,MATCH(RAB!C17,'HARGA SATUAN'!$C$7:$C$1492,0),0)),"",OFFSET('HARGA SATUAN'!$D$6,MATCH(RAB!C17,'HARGA SATUAN'!$C$7:$C$1492,0),0))</f>
        <v>HDW</v>
      </c>
      <c r="E17" s="358" t="str">
        <f ca="1">IF(B17="+","Unit",IF(ISERROR(OFFSET('HARGA SATUAN'!$E$6,MATCH(RAB!C17,'HARGA SATUAN'!$C$7:$C$1492,0),0)),"",OFFSET('HARGA SATUAN'!$E$6,MATCH(RAB!C17,'HARGA SATUAN'!$C$7:$C$1492,0),0)))</f>
        <v>Btg</v>
      </c>
      <c r="F17" s="367">
        <v>1</v>
      </c>
      <c r="G17" s="359">
        <f ca="1">IF(ISERROR(OFFSET('HARGA SATUAN'!$I$6,MATCH(RAB!C17,'HARGA SATUAN'!$C$7:$C$1492,0),0)),0,OFFSET('HARGA SATUAN'!$I$6,MATCH(RAB!C17,'HARGA SATUAN'!$C$7:$C$1492,0),0))</f>
        <v>6074400</v>
      </c>
      <c r="H17" s="360">
        <f t="shared" ref="H17" ca="1" si="8">IF(OR(D17="MDU",D17="MDU-KD"),(IF($O$3="RAB NON MDU","PLN KD",G17*F17)),0)</f>
        <v>0</v>
      </c>
      <c r="I17" s="360">
        <f t="shared" ref="I17" ca="1" si="9">IF(D17="HDW",G17*F17,0)</f>
        <v>6074400</v>
      </c>
      <c r="J17" s="360">
        <f t="shared" ref="J17" ca="1" si="10">IF(D17="JASA",G17*F17,0)</f>
        <v>0</v>
      </c>
      <c r="K17" s="361">
        <f t="shared" ref="K17" ca="1" si="11">SUM(H17:J17)</f>
        <v>6074400</v>
      </c>
      <c r="L17" s="368"/>
      <c r="M17" s="368"/>
      <c r="N17" s="368"/>
      <c r="O17" s="362"/>
      <c r="P17" s="362"/>
      <c r="Q17" s="343"/>
      <c r="R17" s="335"/>
      <c r="S17" s="363"/>
      <c r="T17" s="340"/>
      <c r="U17" s="340"/>
      <c r="V17" s="340"/>
    </row>
    <row r="18" spans="1:22" s="369" customFormat="1">
      <c r="A18" s="335"/>
      <c r="B18" s="370">
        <v>2</v>
      </c>
      <c r="C18" s="109" t="s">
        <v>103</v>
      </c>
      <c r="D18" s="357" t="str">
        <f ca="1">IF(ISERROR(OFFSET('HARGA SATUAN'!$D$6,MATCH(RAB!C18,'HARGA SATUAN'!$C$7:$C$1492,0),0)),"",OFFSET('HARGA SATUAN'!$D$6,MATCH(RAB!C18,'HARGA SATUAN'!$C$7:$C$1492,0),0))</f>
        <v>HDW</v>
      </c>
      <c r="E18" s="358" t="str">
        <f ca="1">IF(B18="+","Unit",IF(ISERROR(OFFSET('HARGA SATUAN'!$E$6,MATCH(RAB!C18,'HARGA SATUAN'!$C$7:$C$1492,0),0)),"",OFFSET('HARGA SATUAN'!$E$6,MATCH(RAB!C18,'HARGA SATUAN'!$C$7:$C$1492,0),0)))</f>
        <v>Btg</v>
      </c>
      <c r="F18" s="367">
        <v>7</v>
      </c>
      <c r="G18" s="359">
        <f ca="1">IF(ISERROR(OFFSET('HARGA SATUAN'!$I$6,MATCH(RAB!C18,'HARGA SATUAN'!$C$7:$C$1492,0),0)),0,OFFSET('HARGA SATUAN'!$I$6,MATCH(RAB!C18,'HARGA SATUAN'!$C$7:$C$1492,0),0))</f>
        <v>5800000</v>
      </c>
      <c r="H18" s="360">
        <f t="shared" ref="H18:H22" ca="1" si="12">IF(OR(D18="MDU",D18="MDU-KD"),(IF($O$3="RAB NON MDU","PLN KD",G18*F18)),0)</f>
        <v>0</v>
      </c>
      <c r="I18" s="360">
        <f t="shared" ref="I18:I22" ca="1" si="13">IF(D18="HDW",G18*F18,0)</f>
        <v>40600000</v>
      </c>
      <c r="J18" s="360">
        <f t="shared" ref="J18:J22" ca="1" si="14">IF(D18="JASA",G18*F18,0)</f>
        <v>0</v>
      </c>
      <c r="K18" s="361">
        <f t="shared" ref="K18:K22" ca="1" si="15">SUM(H18:J18)</f>
        <v>40600000</v>
      </c>
      <c r="L18" s="368"/>
      <c r="M18" s="368"/>
      <c r="N18" s="368"/>
      <c r="O18" s="362"/>
      <c r="P18" s="362"/>
      <c r="Q18" s="343"/>
      <c r="R18" s="335"/>
      <c r="S18" s="363"/>
      <c r="T18" s="340"/>
      <c r="U18" s="340"/>
      <c r="V18" s="340"/>
    </row>
    <row r="19" spans="1:22" s="369" customFormat="1">
      <c r="A19" s="335"/>
      <c r="B19" s="370">
        <v>3</v>
      </c>
      <c r="C19" s="109" t="s">
        <v>6</v>
      </c>
      <c r="D19" s="357" t="str">
        <f ca="1">IF(ISERROR(OFFSET('HARGA SATUAN'!$D$6,MATCH(RAB!C19,'HARGA SATUAN'!$C$7:$C$1492,0),0)),"",OFFSET('HARGA SATUAN'!$D$6,MATCH(RAB!C19,'HARGA SATUAN'!$C$7:$C$1492,0),0))</f>
        <v>JASA</v>
      </c>
      <c r="E19" s="358" t="str">
        <f ca="1">IF(B19="+","Unit",IF(ISERROR(OFFSET('HARGA SATUAN'!$E$6,MATCH(RAB!C19,'HARGA SATUAN'!$C$7:$C$1492,0),0)),"",OFFSET('HARGA SATUAN'!$E$6,MATCH(RAB!C19,'HARGA SATUAN'!$C$7:$C$1492,0),0)))</f>
        <v>Btg</v>
      </c>
      <c r="F19" s="367">
        <v>1</v>
      </c>
      <c r="G19" s="359">
        <f ca="1">IF(ISERROR(OFFSET('HARGA SATUAN'!$I$6,MATCH(RAB!C19,'HARGA SATUAN'!$C$7:$C$1492,0),0)),0,OFFSET('HARGA SATUAN'!$I$6,MATCH(RAB!C19,'HARGA SATUAN'!$C$7:$C$1492,0),0))</f>
        <v>10066.666666666668</v>
      </c>
      <c r="H19" s="360">
        <f t="shared" ca="1" si="12"/>
        <v>0</v>
      </c>
      <c r="I19" s="360">
        <f t="shared" ca="1" si="13"/>
        <v>0</v>
      </c>
      <c r="J19" s="360">
        <f t="shared" ca="1" si="14"/>
        <v>10066.666666666668</v>
      </c>
      <c r="K19" s="361">
        <f t="shared" ca="1" si="15"/>
        <v>10066.666666666668</v>
      </c>
      <c r="L19" s="368"/>
      <c r="M19" s="368"/>
      <c r="N19" s="368"/>
      <c r="O19" s="362"/>
      <c r="P19" s="362"/>
      <c r="Q19" s="343"/>
      <c r="R19" s="335"/>
      <c r="S19" s="363"/>
      <c r="T19" s="340"/>
      <c r="U19" s="340"/>
      <c r="V19" s="340"/>
    </row>
    <row r="20" spans="1:22" s="369" customFormat="1">
      <c r="A20" s="335"/>
      <c r="B20" s="370">
        <v>4</v>
      </c>
      <c r="C20" s="109" t="s">
        <v>461</v>
      </c>
      <c r="D20" s="357" t="str">
        <f ca="1">IF(ISERROR(OFFSET('HARGA SATUAN'!$D$6,MATCH(RAB!C20,'HARGA SATUAN'!$C$7:$C$1492,0),0)),"",OFFSET('HARGA SATUAN'!$D$6,MATCH(RAB!C20,'HARGA SATUAN'!$C$7:$C$1492,0),0))</f>
        <v>HDW</v>
      </c>
      <c r="E20" s="358" t="str">
        <f ca="1">IF(B20="+","Unit",IF(ISERROR(OFFSET('HARGA SATUAN'!$E$6,MATCH(RAB!C20,'HARGA SATUAN'!$C$7:$C$1492,0),0)),"",OFFSET('HARGA SATUAN'!$E$6,MATCH(RAB!C20,'HARGA SATUAN'!$C$7:$C$1492,0),0)))</f>
        <v>Set</v>
      </c>
      <c r="F20" s="367">
        <v>1</v>
      </c>
      <c r="G20" s="359">
        <f ca="1">IF(ISERROR(OFFSET('HARGA SATUAN'!$I$6,MATCH(RAB!C20,'HARGA SATUAN'!$C$7:$C$1492,0),0)),0,OFFSET('HARGA SATUAN'!$I$6,MATCH(RAB!C20,'HARGA SATUAN'!$C$7:$C$1492,0),0))</f>
        <v>200000</v>
      </c>
      <c r="H20" s="360">
        <f t="shared" ca="1" si="12"/>
        <v>0</v>
      </c>
      <c r="I20" s="360">
        <f t="shared" ca="1" si="13"/>
        <v>200000</v>
      </c>
      <c r="J20" s="360">
        <f t="shared" ca="1" si="14"/>
        <v>0</v>
      </c>
      <c r="K20" s="361">
        <f t="shared" ca="1" si="15"/>
        <v>200000</v>
      </c>
      <c r="L20" s="368"/>
      <c r="M20" s="368"/>
      <c r="N20" s="368"/>
      <c r="O20" s="362"/>
      <c r="P20" s="362"/>
      <c r="Q20" s="343"/>
      <c r="R20" s="335"/>
      <c r="S20" s="363"/>
      <c r="T20" s="340"/>
      <c r="U20" s="340"/>
      <c r="V20" s="340"/>
    </row>
    <row r="21" spans="1:22" s="369" customFormat="1">
      <c r="A21" s="335"/>
      <c r="B21" s="370"/>
      <c r="C21" s="109"/>
      <c r="D21" s="357"/>
      <c r="E21" s="358"/>
      <c r="F21" s="367"/>
      <c r="G21" s="359">
        <f ca="1">IF(ISERROR(OFFSET('HARGA SATUAN'!$I$6,MATCH(RAB!C21,'HARGA SATUAN'!$C$7:$C$1492,0),0)),0,OFFSET('HARGA SATUAN'!$I$6,MATCH(RAB!C21,'HARGA SATUAN'!$C$7:$C$1492,0),0))</f>
        <v>0</v>
      </c>
      <c r="H21" s="360">
        <f t="shared" si="12"/>
        <v>0</v>
      </c>
      <c r="I21" s="360">
        <f t="shared" si="13"/>
        <v>0</v>
      </c>
      <c r="J21" s="360">
        <f t="shared" si="14"/>
        <v>0</v>
      </c>
      <c r="K21" s="361">
        <f t="shared" si="15"/>
        <v>0</v>
      </c>
      <c r="L21" s="368"/>
      <c r="M21" s="368"/>
      <c r="N21" s="368"/>
      <c r="O21" s="362"/>
      <c r="P21" s="362"/>
      <c r="Q21" s="343"/>
      <c r="R21" s="335"/>
      <c r="S21" s="363"/>
      <c r="T21" s="340"/>
      <c r="U21" s="340"/>
      <c r="V21" s="340"/>
    </row>
    <row r="22" spans="1:22" s="369" customFormat="1">
      <c r="A22" s="335"/>
      <c r="B22" s="365" t="s">
        <v>1613</v>
      </c>
      <c r="C22" s="366" t="s">
        <v>1622</v>
      </c>
      <c r="D22" s="357" t="str">
        <f ca="1">IF(ISERROR(OFFSET('HARGA SATUAN'!$D$6,MATCH(RAB!C22,'HARGA SATUAN'!$C$7:$C$1492,0),0)),"",OFFSET('HARGA SATUAN'!$D$6,MATCH(RAB!C22,'HARGA SATUAN'!$C$7:$C$1492,0),0))</f>
        <v/>
      </c>
      <c r="E22" s="358" t="str">
        <f ca="1">IF(B22="+","Unit",IF(ISERROR(OFFSET('HARGA SATUAN'!$E$6,MATCH(RAB!C22,'HARGA SATUAN'!$C$7:$C$1492,0),0)),"",OFFSET('HARGA SATUAN'!$E$6,MATCH(RAB!C22,'HARGA SATUAN'!$C$7:$C$1492,0),0)))</f>
        <v/>
      </c>
      <c r="F22" s="367"/>
      <c r="G22" s="359">
        <f ca="1">IF(ISERROR(OFFSET('HARGA SATUAN'!$I$6,MATCH(RAB!C22,'HARGA SATUAN'!$C$7:$C$1492,0),0)),0,OFFSET('HARGA SATUAN'!$I$6,MATCH(RAB!C22,'HARGA SATUAN'!$C$7:$C$1492,0),0))</f>
        <v>0</v>
      </c>
      <c r="H22" s="360">
        <f t="shared" ca="1" si="12"/>
        <v>0</v>
      </c>
      <c r="I22" s="360">
        <f t="shared" ca="1" si="13"/>
        <v>0</v>
      </c>
      <c r="J22" s="360">
        <f t="shared" ca="1" si="14"/>
        <v>0</v>
      </c>
      <c r="K22" s="361">
        <f t="shared" ca="1" si="15"/>
        <v>0</v>
      </c>
      <c r="L22" s="368"/>
      <c r="M22" s="368"/>
      <c r="N22" s="368"/>
      <c r="O22" s="362"/>
      <c r="P22" s="362"/>
      <c r="Q22" s="343"/>
      <c r="R22" s="335"/>
      <c r="S22" s="363"/>
      <c r="T22" s="340"/>
      <c r="U22" s="340"/>
      <c r="V22" s="340"/>
    </row>
    <row r="23" spans="1:22" s="364" customFormat="1">
      <c r="A23" s="335"/>
      <c r="B23" s="495"/>
      <c r="C23" s="496"/>
      <c r="D23" s="357" t="str">
        <f ca="1">IF(ISERROR(OFFSET('HARGA SATUAN'!$D$6,MATCH(RAB!C23,'HARGA SATUAN'!$C$7:$C$1492,0),0)),"",OFFSET('HARGA SATUAN'!$D$6,MATCH(RAB!C23,'HARGA SATUAN'!$C$7:$C$1492,0),0))</f>
        <v/>
      </c>
      <c r="E23" s="358" t="str">
        <f ca="1">IF(B23="+","Unit",IF(ISERROR(OFFSET('HARGA SATUAN'!$E$6,MATCH(RAB!C23,'HARGA SATUAN'!$C$7:$C$1492,0),0)),"",OFFSET('HARGA SATUAN'!$E$6,MATCH(RAB!C23,'HARGA SATUAN'!$C$7:$C$1492,0),0)))</f>
        <v/>
      </c>
      <c r="F23" s="367"/>
      <c r="G23" s="359">
        <f ca="1">IF(ISERROR(OFFSET('HARGA SATUAN'!$I$6,MATCH(RAB!C23,'HARGA SATUAN'!$C$7:$C$1492,0),0)),0,OFFSET('HARGA SATUAN'!$I$6,MATCH(RAB!C23,'HARGA SATUAN'!$C$7:$C$1492,0),0))</f>
        <v>0</v>
      </c>
      <c r="H23" s="360">
        <f t="shared" ref="H23" ca="1" si="16">IF(OR(D23="MDU",D23="MDU-KD"),(IF($O$3="RAB NON MDU","PLN KD",G23*F23)),0)</f>
        <v>0</v>
      </c>
      <c r="I23" s="360">
        <f t="shared" ref="I23" ca="1" si="17">IF(D23="HDW",G23*F23,0)</f>
        <v>0</v>
      </c>
      <c r="J23" s="360">
        <f t="shared" ref="J23" ca="1" si="18">IF(D23="JASA",G23*F23,0)</f>
        <v>0</v>
      </c>
      <c r="K23" s="361">
        <f t="shared" ref="K23" ca="1" si="19">SUM(H23:J23)</f>
        <v>0</v>
      </c>
      <c r="L23" s="341"/>
      <c r="M23" s="341"/>
      <c r="N23" s="368"/>
      <c r="O23" s="343"/>
      <c r="P23" s="396"/>
      <c r="Q23" s="343"/>
    </row>
    <row r="24" spans="1:22" s="364" customFormat="1">
      <c r="A24" s="335"/>
      <c r="B24" s="723" t="s">
        <v>1035</v>
      </c>
      <c r="C24" s="724" t="s">
        <v>1642</v>
      </c>
      <c r="D24" s="357" t="str">
        <f ca="1">IF(ISERROR(OFFSET('HARGA SATUAN'!$D$6,MATCH(RAB!C24,'HARGA SATUAN'!$C$7:$C$1492,0),0)),"",OFFSET('HARGA SATUAN'!$D$6,MATCH(RAB!C24,'HARGA SATUAN'!$C$7:$C$1492,0),0))</f>
        <v/>
      </c>
      <c r="E24" s="358" t="str">
        <f ca="1">IF(B24="+","Unit",IF(ISERROR(OFFSET('HARGA SATUAN'!$E$6,MATCH(RAB!C24,'HARGA SATUAN'!$C$7:$C$1492,0),0)),"",OFFSET('HARGA SATUAN'!$E$6,MATCH(RAB!C24,'HARGA SATUAN'!$C$7:$C$1492,0),0)))</f>
        <v>Unit</v>
      </c>
      <c r="F24" s="498">
        <v>1</v>
      </c>
      <c r="G24" s="359">
        <f ca="1">IF(ISERROR(OFFSET('HARGA SATUAN'!$I$6,MATCH(RAB!C24,'HARGA SATUAN'!$C$7:$C$1492,0),0)),0,OFFSET('HARGA SATUAN'!$I$6,MATCH(RAB!C24,'HARGA SATUAN'!$C$7:$C$1492,0),0))</f>
        <v>0</v>
      </c>
      <c r="H24" s="360">
        <f t="shared" ref="H24:H29" ca="1" si="20">IF(OR(D24="MDU",D24="MDU-KD"),(IF($O$3="RAB NON MDU","PLN KD",G24*F24)),0)</f>
        <v>0</v>
      </c>
      <c r="I24" s="360">
        <f t="shared" ref="I24:I29" ca="1" si="21">IF(D24="HDW",G24*F24,0)</f>
        <v>0</v>
      </c>
      <c r="J24" s="360">
        <f t="shared" ref="J24:J29" ca="1" si="22">IF(D24="JASA",G24*F24,0)</f>
        <v>0</v>
      </c>
      <c r="K24" s="361">
        <f t="shared" ref="K24:K29" ca="1" si="23">SUM(H24:J24)</f>
        <v>0</v>
      </c>
      <c r="L24" s="341"/>
      <c r="M24" s="341"/>
      <c r="N24" s="368"/>
      <c r="O24" s="343"/>
      <c r="P24" s="396"/>
      <c r="Q24" s="343"/>
    </row>
    <row r="25" spans="1:22" s="364" customFormat="1">
      <c r="A25" s="335"/>
      <c r="B25" s="723">
        <v>1</v>
      </c>
      <c r="C25" s="109" t="s">
        <v>1129</v>
      </c>
      <c r="D25" s="357" t="str">
        <f ca="1">IF(ISERROR(OFFSET('HARGA SATUAN'!$D$6,MATCH(RAB!C25,'HARGA SATUAN'!$C$7:$C$1492,0),0)),"",OFFSET('HARGA SATUAN'!$D$6,MATCH(RAB!C25,'HARGA SATUAN'!$C$7:$C$1492,0),0))</f>
        <v>MDU-KD</v>
      </c>
      <c r="E25" s="358" t="str">
        <f ca="1">IF(B25="+","Unit",IF(ISERROR(OFFSET('HARGA SATUAN'!$E$6,MATCH(RAB!C25,'HARGA SATUAN'!$C$7:$C$1492,0),0)),"",OFFSET('HARGA SATUAN'!$E$6,MATCH(RAB!C25,'HARGA SATUAN'!$C$7:$C$1492,0),0)))</f>
        <v>Bh</v>
      </c>
      <c r="F25" s="498">
        <f>F24*1</f>
        <v>1</v>
      </c>
      <c r="G25" s="359">
        <f ca="1">IF(ISERROR(OFFSET('HARGA SATUAN'!$I$6,MATCH(RAB!C25,'HARGA SATUAN'!$C$7:$C$1492,0),0)),0,OFFSET('HARGA SATUAN'!$I$6,MATCH(RAB!C25,'HARGA SATUAN'!$C$7:$C$1492,0),0))</f>
        <v>176900</v>
      </c>
      <c r="H25" s="360">
        <f t="shared" ca="1" si="20"/>
        <v>176900</v>
      </c>
      <c r="I25" s="360">
        <f t="shared" ca="1" si="21"/>
        <v>0</v>
      </c>
      <c r="J25" s="360">
        <f t="shared" ca="1" si="22"/>
        <v>0</v>
      </c>
      <c r="K25" s="361">
        <f t="shared" ca="1" si="23"/>
        <v>176900</v>
      </c>
      <c r="L25" s="341"/>
      <c r="M25" s="341"/>
      <c r="N25" s="368"/>
      <c r="O25" s="343"/>
      <c r="P25" s="396"/>
      <c r="Q25" s="343"/>
    </row>
    <row r="26" spans="1:22" s="364" customFormat="1">
      <c r="A26" s="335"/>
      <c r="B26" s="723">
        <v>2</v>
      </c>
      <c r="C26" s="109" t="s">
        <v>1129</v>
      </c>
      <c r="D26" s="357" t="str">
        <f ca="1">IF(ISERROR(OFFSET('HARGA SATUAN'!$D$6,MATCH(RAB!C26,'HARGA SATUAN'!$C$7:$C$1492,0),0)),"",OFFSET('HARGA SATUAN'!$D$6,MATCH(RAB!C26,'HARGA SATUAN'!$C$7:$C$1492,0),0))</f>
        <v>MDU-KD</v>
      </c>
      <c r="E26" s="358" t="str">
        <f ca="1">IF(B26="+","Unit",IF(ISERROR(OFFSET('HARGA SATUAN'!$E$6,MATCH(RAB!C26,'HARGA SATUAN'!$C$7:$C$1492,0),0)),"",OFFSET('HARGA SATUAN'!$E$6,MATCH(RAB!C26,'HARGA SATUAN'!$C$7:$C$1492,0),0)))</f>
        <v>Bh</v>
      </c>
      <c r="F26" s="498">
        <f>F24*2</f>
        <v>2</v>
      </c>
      <c r="G26" s="359">
        <f ca="1">IF(ISERROR(OFFSET('HARGA SATUAN'!$I$6,MATCH(RAB!C26,'HARGA SATUAN'!$C$7:$C$1492,0),0)),0,OFFSET('HARGA SATUAN'!$I$6,MATCH(RAB!C26,'HARGA SATUAN'!$C$7:$C$1492,0),0))</f>
        <v>176900</v>
      </c>
      <c r="H26" s="360">
        <f t="shared" ca="1" si="20"/>
        <v>353800</v>
      </c>
      <c r="I26" s="360">
        <f t="shared" ca="1" si="21"/>
        <v>0</v>
      </c>
      <c r="J26" s="360">
        <f t="shared" ca="1" si="22"/>
        <v>0</v>
      </c>
      <c r="K26" s="361">
        <f t="shared" ca="1" si="23"/>
        <v>353800</v>
      </c>
      <c r="L26" s="341"/>
      <c r="M26" s="341"/>
      <c r="N26" s="368"/>
      <c r="O26" s="343"/>
      <c r="P26" s="396"/>
      <c r="Q26" s="343"/>
    </row>
    <row r="27" spans="1:22" s="364" customFormat="1">
      <c r="A27" s="335"/>
      <c r="B27" s="723">
        <v>3</v>
      </c>
      <c r="C27" s="724" t="s">
        <v>28</v>
      </c>
      <c r="D27" s="357" t="str">
        <f ca="1">IF(ISERROR(OFFSET('HARGA SATUAN'!$D$6,MATCH(RAB!C27,'HARGA SATUAN'!$C$7:$C$1492,0),0)),"",OFFSET('HARGA SATUAN'!$D$6,MATCH(RAB!C27,'HARGA SATUAN'!$C$7:$C$1492,0),0))</f>
        <v>HDW</v>
      </c>
      <c r="E27" s="358" t="str">
        <f ca="1">IF(B27="+","Unit",IF(ISERROR(OFFSET('HARGA SATUAN'!$E$6,MATCH(RAB!C27,'HARGA SATUAN'!$C$7:$C$1492,0),0)),"",OFFSET('HARGA SATUAN'!$E$6,MATCH(RAB!C27,'HARGA SATUAN'!$C$7:$C$1492,0),0)))</f>
        <v>Bh</v>
      </c>
      <c r="F27" s="498">
        <f>F24*3</f>
        <v>3</v>
      </c>
      <c r="G27" s="359">
        <f ca="1">IF(ISERROR(OFFSET('HARGA SATUAN'!$I$6,MATCH(RAB!C27,'HARGA SATUAN'!$C$7:$C$1492,0),0)),0,OFFSET('HARGA SATUAN'!$I$6,MATCH(RAB!C27,'HARGA SATUAN'!$C$7:$C$1492,0),0))</f>
        <v>26500</v>
      </c>
      <c r="H27" s="360">
        <f t="shared" ca="1" si="20"/>
        <v>0</v>
      </c>
      <c r="I27" s="360">
        <f t="shared" ca="1" si="21"/>
        <v>79500</v>
      </c>
      <c r="J27" s="360">
        <f t="shared" ca="1" si="22"/>
        <v>0</v>
      </c>
      <c r="K27" s="361">
        <f t="shared" ca="1" si="23"/>
        <v>79500</v>
      </c>
      <c r="L27" s="341"/>
      <c r="M27" s="341"/>
      <c r="N27" s="368"/>
      <c r="O27" s="343"/>
      <c r="P27" s="396"/>
      <c r="Q27" s="343"/>
    </row>
    <row r="28" spans="1:22" s="364" customFormat="1">
      <c r="A28" s="335"/>
      <c r="B28" s="723">
        <v>4</v>
      </c>
      <c r="C28" s="724" t="s">
        <v>163</v>
      </c>
      <c r="D28" s="357" t="str">
        <f ca="1">IF(ISERROR(OFFSET('HARGA SATUAN'!$D$6,MATCH(RAB!C28,'HARGA SATUAN'!$C$7:$C$1492,0),0)),"",OFFSET('HARGA SATUAN'!$D$6,MATCH(RAB!C28,'HARGA SATUAN'!$C$7:$C$1492,0),0))</f>
        <v>HDW</v>
      </c>
      <c r="E28" s="358" t="str">
        <f ca="1">IF(B28="+","Unit",IF(ISERROR(OFFSET('HARGA SATUAN'!$E$6,MATCH(RAB!C28,'HARGA SATUAN'!$C$7:$C$1492,0),0)),"",OFFSET('HARGA SATUAN'!$E$6,MATCH(RAB!C28,'HARGA SATUAN'!$C$7:$C$1492,0),0)))</f>
        <v>Bh</v>
      </c>
      <c r="F28" s="498">
        <f>F24*2</f>
        <v>2</v>
      </c>
      <c r="G28" s="359">
        <f ca="1">IF(ISERROR(OFFSET('HARGA SATUAN'!$I$6,MATCH(RAB!C28,'HARGA SATUAN'!$C$7:$C$1492,0),0)),0,OFFSET('HARGA SATUAN'!$I$6,MATCH(RAB!C28,'HARGA SATUAN'!$C$7:$C$1492,0),0))</f>
        <v>7938</v>
      </c>
      <c r="H28" s="360">
        <f t="shared" ca="1" si="20"/>
        <v>0</v>
      </c>
      <c r="I28" s="360">
        <f t="shared" ca="1" si="21"/>
        <v>15876</v>
      </c>
      <c r="J28" s="360">
        <f t="shared" ca="1" si="22"/>
        <v>0</v>
      </c>
      <c r="K28" s="361">
        <f t="shared" ca="1" si="23"/>
        <v>15876</v>
      </c>
      <c r="L28" s="341"/>
      <c r="M28" s="341"/>
      <c r="N28" s="368"/>
      <c r="O28" s="343"/>
      <c r="P28" s="396"/>
      <c r="Q28" s="343"/>
    </row>
    <row r="29" spans="1:22" s="364" customFormat="1">
      <c r="A29" s="335"/>
      <c r="B29" s="723">
        <v>5</v>
      </c>
      <c r="C29" s="724" t="s">
        <v>168</v>
      </c>
      <c r="D29" s="357" t="str">
        <f ca="1">IF(ISERROR(OFFSET('HARGA SATUAN'!$D$6,MATCH(RAB!C29,'HARGA SATUAN'!$C$7:$C$1492,0),0)),"",OFFSET('HARGA SATUAN'!$D$6,MATCH(RAB!C29,'HARGA SATUAN'!$C$7:$C$1492,0),0))</f>
        <v>HDW</v>
      </c>
      <c r="E29" s="358" t="str">
        <f ca="1">IF(B29="+","Unit",IF(ISERROR(OFFSET('HARGA SATUAN'!$E$6,MATCH(RAB!C29,'HARGA SATUAN'!$C$7:$C$1492,0),0)),"",OFFSET('HARGA SATUAN'!$E$6,MATCH(RAB!C29,'HARGA SATUAN'!$C$7:$C$1492,0),0)))</f>
        <v>Bh</v>
      </c>
      <c r="F29" s="498">
        <f>F24*1</f>
        <v>1</v>
      </c>
      <c r="G29" s="359">
        <f ca="1">IF(ISERROR(OFFSET('HARGA SATUAN'!$I$6,MATCH(RAB!C29,'HARGA SATUAN'!$C$7:$C$1492,0),0)),0,OFFSET('HARGA SATUAN'!$I$6,MATCH(RAB!C29,'HARGA SATUAN'!$C$7:$C$1492,0),0))</f>
        <v>33600</v>
      </c>
      <c r="H29" s="360">
        <f t="shared" ca="1" si="20"/>
        <v>0</v>
      </c>
      <c r="I29" s="360">
        <f t="shared" ca="1" si="21"/>
        <v>33600</v>
      </c>
      <c r="J29" s="360">
        <f t="shared" ca="1" si="22"/>
        <v>0</v>
      </c>
      <c r="K29" s="361">
        <f t="shared" ca="1" si="23"/>
        <v>33600</v>
      </c>
      <c r="L29" s="341"/>
      <c r="M29" s="341"/>
      <c r="N29" s="368"/>
      <c r="O29" s="343"/>
      <c r="P29" s="396"/>
      <c r="Q29" s="343"/>
    </row>
    <row r="30" spans="1:22" s="364" customFormat="1">
      <c r="A30" s="335"/>
      <c r="B30" s="723">
        <v>6</v>
      </c>
      <c r="C30" s="724" t="s">
        <v>173</v>
      </c>
      <c r="D30" s="357" t="str">
        <f ca="1">IF(ISERROR(OFFSET('HARGA SATUAN'!$D$6,MATCH(RAB!C30,'HARGA SATUAN'!$C$7:$C$1492,0),0)),"",OFFSET('HARGA SATUAN'!$D$6,MATCH(RAB!C30,'HARGA SATUAN'!$C$7:$C$1492,0),0))</f>
        <v>HDW</v>
      </c>
      <c r="E30" s="358" t="str">
        <f ca="1">IF(B30="+","Unit",IF(ISERROR(OFFSET('HARGA SATUAN'!$E$6,MATCH(RAB!C30,'HARGA SATUAN'!$C$7:$C$1492,0),0)),"",OFFSET('HARGA SATUAN'!$E$6,MATCH(RAB!C30,'HARGA SATUAN'!$C$7:$C$1492,0),0)))</f>
        <v>Bh</v>
      </c>
      <c r="F30" s="498">
        <f>F24*2</f>
        <v>2</v>
      </c>
      <c r="G30" s="359">
        <f ca="1">IF(ISERROR(OFFSET('HARGA SATUAN'!$I$6,MATCH(RAB!C30,'HARGA SATUAN'!$C$7:$C$1492,0),0)),0,OFFSET('HARGA SATUAN'!$I$6,MATCH(RAB!C30,'HARGA SATUAN'!$C$7:$C$1492,0),0))</f>
        <v>45000</v>
      </c>
      <c r="H30" s="360">
        <f t="shared" ref="H30:H101" ca="1" si="24">IF(OR(D30="MDU",D30="MDU-KD"),(IF($O$3="RAB NON MDU","PLN KD",G30*F30)),0)</f>
        <v>0</v>
      </c>
      <c r="I30" s="360">
        <f t="shared" ref="I30:I101" ca="1" si="25">IF(D30="HDW",G30*F30,0)</f>
        <v>90000</v>
      </c>
      <c r="J30" s="360">
        <f t="shared" ref="J30:J101" ca="1" si="26">IF(D30="JASA",G30*F30,0)</f>
        <v>0</v>
      </c>
      <c r="K30" s="361">
        <f t="shared" ref="K30:K101" ca="1" si="27">SUM(H30:J30)</f>
        <v>90000</v>
      </c>
      <c r="L30" s="341"/>
      <c r="M30" s="341"/>
      <c r="N30" s="368"/>
      <c r="O30" s="343"/>
      <c r="P30" s="396"/>
      <c r="Q30" s="343"/>
    </row>
    <row r="31" spans="1:22" s="364" customFormat="1">
      <c r="A31" s="335"/>
      <c r="B31" s="723">
        <v>7</v>
      </c>
      <c r="C31" s="724" t="s">
        <v>178</v>
      </c>
      <c r="D31" s="357" t="str">
        <f ca="1">IF(ISERROR(OFFSET('HARGA SATUAN'!$D$6,MATCH(RAB!C31,'HARGA SATUAN'!$C$7:$C$1492,0),0)),"",OFFSET('HARGA SATUAN'!$D$6,MATCH(RAB!C31,'HARGA SATUAN'!$C$7:$C$1492,0),0))</f>
        <v>HDW</v>
      </c>
      <c r="E31" s="358" t="str">
        <f ca="1">IF(B31="+","Unit",IF(ISERROR(OFFSET('HARGA SATUAN'!$E$6,MATCH(RAB!C31,'HARGA SATUAN'!$C$7:$C$1492,0),0)),"",OFFSET('HARGA SATUAN'!$E$6,MATCH(RAB!C31,'HARGA SATUAN'!$C$7:$C$1492,0),0)))</f>
        <v>Bh</v>
      </c>
      <c r="F31" s="498">
        <f>F24*1</f>
        <v>1</v>
      </c>
      <c r="G31" s="359">
        <f ca="1">IF(ISERROR(OFFSET('HARGA SATUAN'!$I$6,MATCH(RAB!C31,'HARGA SATUAN'!$C$7:$C$1492,0),0)),0,OFFSET('HARGA SATUAN'!$I$6,MATCH(RAB!C31,'HARGA SATUAN'!$C$7:$C$1492,0),0))</f>
        <v>95000</v>
      </c>
      <c r="H31" s="360">
        <f t="shared" ca="1" si="24"/>
        <v>0</v>
      </c>
      <c r="I31" s="360">
        <f t="shared" ca="1" si="25"/>
        <v>95000</v>
      </c>
      <c r="J31" s="360">
        <f t="shared" ca="1" si="26"/>
        <v>0</v>
      </c>
      <c r="K31" s="361">
        <f t="shared" ca="1" si="27"/>
        <v>95000</v>
      </c>
      <c r="L31" s="341"/>
      <c r="M31" s="341"/>
      <c r="N31" s="368"/>
      <c r="O31" s="343"/>
      <c r="P31" s="396"/>
      <c r="Q31" s="343"/>
    </row>
    <row r="32" spans="1:22" s="364" customFormat="1">
      <c r="A32" s="335"/>
      <c r="B32" s="723">
        <v>8</v>
      </c>
      <c r="C32" s="724" t="s">
        <v>593</v>
      </c>
      <c r="D32" s="357" t="str">
        <f ca="1">IF(ISERROR(OFFSET('HARGA SATUAN'!$D$6,MATCH(RAB!C32,'HARGA SATUAN'!$C$7:$C$1492,0),0)),"",OFFSET('HARGA SATUAN'!$D$6,MATCH(RAB!C32,'HARGA SATUAN'!$C$7:$C$1492,0),0))</f>
        <v>HDW</v>
      </c>
      <c r="E32" s="358" t="str">
        <f ca="1">IF(B32="+","Unit",IF(ISERROR(OFFSET('HARGA SATUAN'!$E$6,MATCH(RAB!C32,'HARGA SATUAN'!$C$7:$C$1492,0),0)),"",OFFSET('HARGA SATUAN'!$E$6,MATCH(RAB!C32,'HARGA SATUAN'!$C$7:$C$1492,0),0)))</f>
        <v>Bh</v>
      </c>
      <c r="F32" s="498">
        <f>F24*1</f>
        <v>1</v>
      </c>
      <c r="G32" s="359">
        <f ca="1">IF(ISERROR(OFFSET('HARGA SATUAN'!$I$6,MATCH(RAB!C32,'HARGA SATUAN'!$C$7:$C$1492,0),0)),0,OFFSET('HARGA SATUAN'!$I$6,MATCH(RAB!C32,'HARGA SATUAN'!$C$7:$C$1492,0),0))</f>
        <v>380500</v>
      </c>
      <c r="H32" s="360">
        <f t="shared" ca="1" si="24"/>
        <v>0</v>
      </c>
      <c r="I32" s="360">
        <f t="shared" ca="1" si="25"/>
        <v>380500</v>
      </c>
      <c r="J32" s="360">
        <f t="shared" ca="1" si="26"/>
        <v>0</v>
      </c>
      <c r="K32" s="361">
        <f t="shared" ca="1" si="27"/>
        <v>380500</v>
      </c>
      <c r="L32" s="341"/>
      <c r="M32" s="341"/>
      <c r="N32" s="368"/>
      <c r="O32" s="343"/>
      <c r="P32" s="396"/>
      <c r="Q32" s="343"/>
    </row>
    <row r="33" spans="1:17" s="364" customFormat="1">
      <c r="A33" s="335"/>
      <c r="B33" s="723">
        <v>9</v>
      </c>
      <c r="C33" s="724" t="s">
        <v>217</v>
      </c>
      <c r="D33" s="357" t="str">
        <f ca="1">IF(ISERROR(OFFSET('HARGA SATUAN'!$D$6,MATCH(RAB!C33,'HARGA SATUAN'!$C$7:$C$1492,0),0)),"",OFFSET('HARGA SATUAN'!$D$6,MATCH(RAB!C33,'HARGA SATUAN'!$C$7:$C$1492,0),0))</f>
        <v>HDW</v>
      </c>
      <c r="E33" s="358" t="str">
        <f ca="1">IF(B33="+","Unit",IF(ISERROR(OFFSET('HARGA SATUAN'!$E$6,MATCH(RAB!C33,'HARGA SATUAN'!$C$7:$C$1492,0),0)),"",OFFSET('HARGA SATUAN'!$E$6,MATCH(RAB!C33,'HARGA SATUAN'!$C$7:$C$1492,0),0)))</f>
        <v>Bh</v>
      </c>
      <c r="F33" s="498">
        <f>F24*4</f>
        <v>4</v>
      </c>
      <c r="G33" s="359">
        <f ca="1">IF(ISERROR(OFFSET('HARGA SATUAN'!$I$6,MATCH(RAB!C33,'HARGA SATUAN'!$C$7:$C$1492,0),0)),0,OFFSET('HARGA SATUAN'!$I$6,MATCH(RAB!C33,'HARGA SATUAN'!$C$7:$C$1492,0),0))</f>
        <v>11400</v>
      </c>
      <c r="H33" s="360">
        <f t="shared" ca="1" si="24"/>
        <v>0</v>
      </c>
      <c r="I33" s="360">
        <f t="shared" ca="1" si="25"/>
        <v>45600</v>
      </c>
      <c r="J33" s="360">
        <f t="shared" ca="1" si="26"/>
        <v>0</v>
      </c>
      <c r="K33" s="361">
        <f t="shared" ca="1" si="27"/>
        <v>45600</v>
      </c>
      <c r="L33" s="341"/>
      <c r="M33" s="341"/>
      <c r="N33" s="368"/>
      <c r="O33" s="343"/>
      <c r="P33" s="396"/>
      <c r="Q33" s="343"/>
    </row>
    <row r="34" spans="1:17" s="364" customFormat="1">
      <c r="A34" s="335"/>
      <c r="B34" s="723">
        <v>10</v>
      </c>
      <c r="C34" s="724" t="s">
        <v>247</v>
      </c>
      <c r="D34" s="357" t="str">
        <f ca="1">IF(ISERROR(OFFSET('HARGA SATUAN'!$D$6,MATCH(RAB!C34,'HARGA SATUAN'!$C$7:$C$1492,0),0)),"",OFFSET('HARGA SATUAN'!$D$6,MATCH(RAB!C34,'HARGA SATUAN'!$C$7:$C$1492,0),0))</f>
        <v>HDW</v>
      </c>
      <c r="E34" s="358" t="str">
        <f ca="1">IF(B34="+","Unit",IF(ISERROR(OFFSET('HARGA SATUAN'!$E$6,MATCH(RAB!C34,'HARGA SATUAN'!$C$7:$C$1492,0),0)),"",OFFSET('HARGA SATUAN'!$E$6,MATCH(RAB!C34,'HARGA SATUAN'!$C$7:$C$1492,0),0)))</f>
        <v>Bh</v>
      </c>
      <c r="F34" s="498">
        <f>F24*1</f>
        <v>1</v>
      </c>
      <c r="G34" s="359">
        <f ca="1">IF(ISERROR(OFFSET('HARGA SATUAN'!$I$6,MATCH(RAB!C34,'HARGA SATUAN'!$C$7:$C$1492,0),0)),0,OFFSET('HARGA SATUAN'!$I$6,MATCH(RAB!C34,'HARGA SATUAN'!$C$7:$C$1492,0),0))</f>
        <v>57690</v>
      </c>
      <c r="H34" s="360">
        <f t="shared" ca="1" si="24"/>
        <v>0</v>
      </c>
      <c r="I34" s="360">
        <f t="shared" ca="1" si="25"/>
        <v>57690</v>
      </c>
      <c r="J34" s="360">
        <f t="shared" ca="1" si="26"/>
        <v>0</v>
      </c>
      <c r="K34" s="361">
        <f t="shared" ca="1" si="27"/>
        <v>57690</v>
      </c>
      <c r="L34" s="341"/>
      <c r="M34" s="341"/>
      <c r="N34" s="368"/>
      <c r="O34" s="343"/>
      <c r="P34" s="396"/>
      <c r="Q34" s="343"/>
    </row>
    <row r="35" spans="1:17" s="364" customFormat="1">
      <c r="A35" s="335"/>
      <c r="B35" s="723">
        <v>11</v>
      </c>
      <c r="C35" s="724" t="s">
        <v>264</v>
      </c>
      <c r="D35" s="357" t="str">
        <f ca="1">IF(ISERROR(OFFSET('HARGA SATUAN'!$D$6,MATCH(RAB!C35,'HARGA SATUAN'!$C$7:$C$1492,0),0)),"",OFFSET('HARGA SATUAN'!$D$6,MATCH(RAB!C35,'HARGA SATUAN'!$C$7:$C$1492,0),0))</f>
        <v>HDW</v>
      </c>
      <c r="E35" s="358" t="str">
        <f ca="1">IF(B35="+","Unit",IF(ISERROR(OFFSET('HARGA SATUAN'!$E$6,MATCH(RAB!C35,'HARGA SATUAN'!$C$7:$C$1492,0),0)),"",OFFSET('HARGA SATUAN'!$E$6,MATCH(RAB!C35,'HARGA SATUAN'!$C$7:$C$1492,0),0)))</f>
        <v>Bh</v>
      </c>
      <c r="F35" s="498">
        <f>F24*1</f>
        <v>1</v>
      </c>
      <c r="G35" s="359">
        <f ca="1">IF(ISERROR(OFFSET('HARGA SATUAN'!$I$6,MATCH(RAB!C35,'HARGA SATUAN'!$C$7:$C$1492,0),0)),0,OFFSET('HARGA SATUAN'!$I$6,MATCH(RAB!C35,'HARGA SATUAN'!$C$7:$C$1492,0),0))</f>
        <v>28000</v>
      </c>
      <c r="H35" s="360">
        <f t="shared" ca="1" si="24"/>
        <v>0</v>
      </c>
      <c r="I35" s="360">
        <f t="shared" ca="1" si="25"/>
        <v>28000</v>
      </c>
      <c r="J35" s="360">
        <f t="shared" ca="1" si="26"/>
        <v>0</v>
      </c>
      <c r="K35" s="361">
        <f t="shared" ca="1" si="27"/>
        <v>28000</v>
      </c>
      <c r="L35" s="341"/>
      <c r="M35" s="341"/>
      <c r="N35" s="368"/>
      <c r="O35" s="343"/>
      <c r="P35" s="396"/>
      <c r="Q35" s="343"/>
    </row>
    <row r="36" spans="1:17" s="364" customFormat="1">
      <c r="A36" s="335"/>
      <c r="B36" s="723">
        <v>12</v>
      </c>
      <c r="C36" s="724" t="s">
        <v>38</v>
      </c>
      <c r="D36" s="357" t="str">
        <f ca="1">IF(ISERROR(OFFSET('HARGA SATUAN'!$D$6,MATCH(RAB!C36,'HARGA SATUAN'!$C$7:$C$1492,0),0)),"",OFFSET('HARGA SATUAN'!$D$6,MATCH(RAB!C36,'HARGA SATUAN'!$C$7:$C$1492,0),0))</f>
        <v>HDW</v>
      </c>
      <c r="E36" s="358" t="str">
        <f ca="1">IF(B36="+","Unit",IF(ISERROR(OFFSET('HARGA SATUAN'!$E$6,MATCH(RAB!C36,'HARGA SATUAN'!$C$7:$C$1492,0),0)),"",OFFSET('HARGA SATUAN'!$E$6,MATCH(RAB!C36,'HARGA SATUAN'!$C$7:$C$1492,0),0)))</f>
        <v>Mtr</v>
      </c>
      <c r="F36" s="498">
        <f>6.2*F24</f>
        <v>6.2</v>
      </c>
      <c r="G36" s="359">
        <f ca="1">IF(ISERROR(OFFSET('HARGA SATUAN'!$I$6,MATCH(RAB!C36,'HARGA SATUAN'!$C$7:$C$1492,0),0)),0,OFFSET('HARGA SATUAN'!$I$6,MATCH(RAB!C36,'HARGA SATUAN'!$C$7:$C$1492,0),0))</f>
        <v>8550</v>
      </c>
      <c r="H36" s="360">
        <f t="shared" ca="1" si="24"/>
        <v>0</v>
      </c>
      <c r="I36" s="360">
        <f t="shared" ca="1" si="25"/>
        <v>53010</v>
      </c>
      <c r="J36" s="360">
        <f t="shared" ca="1" si="26"/>
        <v>0</v>
      </c>
      <c r="K36" s="361">
        <f t="shared" ca="1" si="27"/>
        <v>53010</v>
      </c>
      <c r="L36" s="341"/>
      <c r="M36" s="341"/>
      <c r="N36" s="368"/>
      <c r="O36" s="343"/>
      <c r="P36" s="396"/>
      <c r="Q36" s="343"/>
    </row>
    <row r="37" spans="1:17" s="364" customFormat="1">
      <c r="A37" s="335"/>
      <c r="B37" s="723">
        <v>13</v>
      </c>
      <c r="C37" s="724" t="s">
        <v>26</v>
      </c>
      <c r="D37" s="357" t="str">
        <f ca="1">IF(ISERROR(OFFSET('HARGA SATUAN'!$D$6,MATCH(RAB!C37,'HARGA SATUAN'!$C$7:$C$1492,0),0)),"",OFFSET('HARGA SATUAN'!$D$6,MATCH(RAB!C37,'HARGA SATUAN'!$C$7:$C$1492,0),0))</f>
        <v>HDW</v>
      </c>
      <c r="E37" s="358" t="str">
        <f ca="1">IF(B37="+","Unit",IF(ISERROR(OFFSET('HARGA SATUAN'!$E$6,MATCH(RAB!C37,'HARGA SATUAN'!$C$7:$C$1492,0),0)),"",OFFSET('HARGA SATUAN'!$E$6,MATCH(RAB!C37,'HARGA SATUAN'!$C$7:$C$1492,0),0)))</f>
        <v>Bh</v>
      </c>
      <c r="F37" s="498">
        <f>F24*5</f>
        <v>5</v>
      </c>
      <c r="G37" s="359">
        <f ca="1">IF(ISERROR(OFFSET('HARGA SATUAN'!$I$6,MATCH(RAB!C37,'HARGA SATUAN'!$C$7:$C$1492,0),0)),0,OFFSET('HARGA SATUAN'!$I$6,MATCH(RAB!C37,'HARGA SATUAN'!$C$7:$C$1492,0),0))</f>
        <v>2500</v>
      </c>
      <c r="H37" s="360">
        <f t="shared" ref="H37" ca="1" si="28">IF(OR(D37="MDU",D37="MDU-KD"),(IF($O$3="RAB NON MDU","PLN KD",G37*F37)),0)</f>
        <v>0</v>
      </c>
      <c r="I37" s="360">
        <f t="shared" ref="I37" ca="1" si="29">IF(D37="HDW",G37*F37,0)</f>
        <v>12500</v>
      </c>
      <c r="J37" s="360">
        <f t="shared" ref="J37" ca="1" si="30">IF(D37="JASA",G37*F37,0)</f>
        <v>0</v>
      </c>
      <c r="K37" s="361">
        <f t="shared" ref="K37" ca="1" si="31">SUM(H37:J37)</f>
        <v>12500</v>
      </c>
      <c r="L37" s="341"/>
      <c r="M37" s="341"/>
      <c r="N37" s="368"/>
      <c r="O37" s="343"/>
      <c r="P37" s="396"/>
      <c r="Q37" s="343"/>
    </row>
    <row r="38" spans="1:17" s="364" customFormat="1">
      <c r="A38" s="335"/>
      <c r="B38" s="723">
        <v>14</v>
      </c>
      <c r="C38" s="724" t="s">
        <v>687</v>
      </c>
      <c r="D38" s="357" t="str">
        <f ca="1">IF(ISERROR(OFFSET('HARGA SATUAN'!$D$6,MATCH(RAB!C38,'HARGA SATUAN'!$C$7:$C$1492,0),0)),"",OFFSET('HARGA SATUAN'!$D$6,MATCH(RAB!C38,'HARGA SATUAN'!$C$7:$C$1492,0),0))</f>
        <v>JASA</v>
      </c>
      <c r="E38" s="358" t="str">
        <f ca="1">IF(B38="+","Unit",IF(ISERROR(OFFSET('HARGA SATUAN'!$E$6,MATCH(RAB!C38,'HARGA SATUAN'!$C$7:$C$1492,0),0)),"",OFFSET('HARGA SATUAN'!$E$6,MATCH(RAB!C38,'HARGA SATUAN'!$C$7:$C$1492,0),0)))</f>
        <v>Unit</v>
      </c>
      <c r="F38" s="498">
        <f>F24*1</f>
        <v>1</v>
      </c>
      <c r="G38" s="359">
        <f ca="1">IF(ISERROR(OFFSET('HARGA SATUAN'!$I$6,MATCH(RAB!C38,'HARGA SATUAN'!$C$7:$C$1492,0),0)),0,OFFSET('HARGA SATUAN'!$I$6,MATCH(RAB!C38,'HARGA SATUAN'!$C$7:$C$1492,0),0))</f>
        <v>111000</v>
      </c>
      <c r="H38" s="360">
        <f t="shared" ca="1" si="24"/>
        <v>0</v>
      </c>
      <c r="I38" s="360">
        <f t="shared" ca="1" si="25"/>
        <v>0</v>
      </c>
      <c r="J38" s="360">
        <f t="shared" ca="1" si="26"/>
        <v>111000</v>
      </c>
      <c r="K38" s="361">
        <f t="shared" ca="1" si="27"/>
        <v>111000</v>
      </c>
      <c r="L38" s="341"/>
      <c r="M38" s="341"/>
      <c r="N38" s="368"/>
      <c r="O38" s="343"/>
      <c r="P38" s="396"/>
      <c r="Q38" s="343"/>
    </row>
    <row r="39" spans="1:17" s="364" customFormat="1">
      <c r="A39" s="335"/>
      <c r="B39" s="723"/>
      <c r="C39" s="724"/>
      <c r="D39" s="357" t="str">
        <f ca="1">IF(ISERROR(OFFSET('HARGA SATUAN'!$D$6,MATCH(RAB!C39,'HARGA SATUAN'!$C$7:$C$1492,0),0)),"",OFFSET('HARGA SATUAN'!$D$6,MATCH(RAB!C39,'HARGA SATUAN'!$C$7:$C$1492,0),0))</f>
        <v/>
      </c>
      <c r="E39" s="358" t="str">
        <f ca="1">IF(B39="+","Unit",IF(ISERROR(OFFSET('HARGA SATUAN'!$E$6,MATCH(RAB!C39,'HARGA SATUAN'!$C$7:$C$1492,0),0)),"",OFFSET('HARGA SATUAN'!$E$6,MATCH(RAB!C39,'HARGA SATUAN'!$C$7:$C$1492,0),0)))</f>
        <v/>
      </c>
      <c r="F39" s="498"/>
      <c r="G39" s="359">
        <f ca="1">IF(ISERROR(OFFSET('HARGA SATUAN'!$I$6,MATCH(RAB!C39,'HARGA SATUAN'!$C$7:$C$1492,0),0)),0,OFFSET('HARGA SATUAN'!$I$6,MATCH(RAB!C39,'HARGA SATUAN'!$C$7:$C$1492,0),0))</f>
        <v>0</v>
      </c>
      <c r="H39" s="360">
        <f t="shared" ref="H39:H75" ca="1" si="32">IF(OR(D39="MDU",D39="MDU-KD"),(IF($O$3="RAB NON MDU","PLN KD",G39*F39)),0)</f>
        <v>0</v>
      </c>
      <c r="I39" s="360">
        <f t="shared" ref="I39:I75" ca="1" si="33">IF(D39="HDW",G39*F39,0)</f>
        <v>0</v>
      </c>
      <c r="J39" s="360">
        <f t="shared" ref="J39:J75" ca="1" si="34">IF(D39="JASA",G39*F39,0)</f>
        <v>0</v>
      </c>
      <c r="K39" s="361">
        <f t="shared" ref="K39:K75" ca="1" si="35">SUM(H39:J39)</f>
        <v>0</v>
      </c>
      <c r="L39" s="341"/>
      <c r="M39" s="341"/>
      <c r="N39" s="368"/>
      <c r="O39" s="343"/>
      <c r="P39" s="396"/>
      <c r="Q39" s="343"/>
    </row>
    <row r="40" spans="1:17" s="364" customFormat="1">
      <c r="A40" s="335"/>
      <c r="B40" s="723"/>
      <c r="C40" s="366" t="s">
        <v>618</v>
      </c>
      <c r="D40" s="357" t="str">
        <f ca="1">IF(ISERROR(OFFSET('HARGA SATUAN'!$D$6,MATCH(RAB!C40,'HARGA SATUAN'!$C$7:$C$1492,0),0)),"",OFFSET('HARGA SATUAN'!$D$6,MATCH(RAB!C40,'HARGA SATUAN'!$C$7:$C$1492,0),0))</f>
        <v/>
      </c>
      <c r="E40" s="358">
        <f ca="1">IF(B40="+","Unit",IF(ISERROR(OFFSET('HARGA SATUAN'!$E$6,MATCH(RAB!C40,'HARGA SATUAN'!$C$7:$C$1492,0),0)),"",OFFSET('HARGA SATUAN'!$E$6,MATCH(RAB!C40,'HARGA SATUAN'!$C$7:$C$1492,0),0)))</f>
        <v>0</v>
      </c>
      <c r="F40" s="498"/>
      <c r="G40" s="359">
        <f ca="1">IF(ISERROR(OFFSET('HARGA SATUAN'!$I$6,MATCH(RAB!C40,'HARGA SATUAN'!$C$7:$C$1492,0),0)),0,OFFSET('HARGA SATUAN'!$I$6,MATCH(RAB!C40,'HARGA SATUAN'!$C$7:$C$1492,0),0))</f>
        <v>0</v>
      </c>
      <c r="H40" s="360">
        <f t="shared" ca="1" si="32"/>
        <v>0</v>
      </c>
      <c r="I40" s="360">
        <f t="shared" ca="1" si="33"/>
        <v>0</v>
      </c>
      <c r="J40" s="360">
        <f t="shared" ca="1" si="34"/>
        <v>0</v>
      </c>
      <c r="K40" s="361">
        <f t="shared" ca="1" si="35"/>
        <v>0</v>
      </c>
      <c r="L40" s="341"/>
      <c r="M40" s="341"/>
      <c r="N40" s="368"/>
      <c r="O40" s="343"/>
      <c r="P40" s="396"/>
      <c r="Q40" s="343"/>
    </row>
    <row r="41" spans="1:17" s="364" customFormat="1">
      <c r="A41" s="335"/>
      <c r="B41" s="723"/>
      <c r="C41" s="724"/>
      <c r="D41" s="357" t="str">
        <f ca="1">IF(ISERROR(OFFSET('HARGA SATUAN'!$D$6,MATCH(RAB!C41,'HARGA SATUAN'!$C$7:$C$1492,0),0)),"",OFFSET('HARGA SATUAN'!$D$6,MATCH(RAB!C41,'HARGA SATUAN'!$C$7:$C$1492,0),0))</f>
        <v/>
      </c>
      <c r="E41" s="358" t="str">
        <f ca="1">IF(B41="+","Unit",IF(ISERROR(OFFSET('HARGA SATUAN'!$E$6,MATCH(RAB!C41,'HARGA SATUAN'!$C$7:$C$1492,0),0)),"",OFFSET('HARGA SATUAN'!$E$6,MATCH(RAB!C41,'HARGA SATUAN'!$C$7:$C$1492,0),0)))</f>
        <v/>
      </c>
      <c r="F41" s="498"/>
      <c r="G41" s="359">
        <f ca="1">IF(ISERROR(OFFSET('HARGA SATUAN'!$I$6,MATCH(RAB!C41,'HARGA SATUAN'!$C$7:$C$1492,0),0)),0,OFFSET('HARGA SATUAN'!$I$6,MATCH(RAB!C41,'HARGA SATUAN'!$C$7:$C$1492,0),0))</f>
        <v>0</v>
      </c>
      <c r="H41" s="360">
        <f t="shared" ca="1" si="32"/>
        <v>0</v>
      </c>
      <c r="I41" s="360">
        <f t="shared" ca="1" si="33"/>
        <v>0</v>
      </c>
      <c r="J41" s="360">
        <f t="shared" ca="1" si="34"/>
        <v>0</v>
      </c>
      <c r="K41" s="361">
        <f t="shared" ca="1" si="35"/>
        <v>0</v>
      </c>
      <c r="L41" s="341"/>
      <c r="M41" s="341"/>
      <c r="N41" s="368"/>
      <c r="O41" s="343"/>
      <c r="P41" s="396"/>
      <c r="Q41" s="343"/>
    </row>
    <row r="42" spans="1:17" s="364" customFormat="1">
      <c r="A42" s="335"/>
      <c r="B42" s="723" t="s">
        <v>1035</v>
      </c>
      <c r="C42" s="724" t="s">
        <v>1637</v>
      </c>
      <c r="D42" s="357" t="str">
        <f ca="1">IF(ISERROR(OFFSET('HARGA SATUAN'!$D$6,MATCH(RAB!C42,'HARGA SATUAN'!$C$7:$C$1492,0),0)),"",OFFSET('HARGA SATUAN'!$D$6,MATCH(RAB!C42,'HARGA SATUAN'!$C$7:$C$1492,0),0))</f>
        <v/>
      </c>
      <c r="E42" s="358" t="str">
        <f ca="1">IF(B42="+","Unit",IF(ISERROR(OFFSET('HARGA SATUAN'!$E$6,MATCH(RAB!C42,'HARGA SATUAN'!$C$7:$C$1492,0),0)),"",OFFSET('HARGA SATUAN'!$E$6,MATCH(RAB!C42,'HARGA SATUAN'!$C$7:$C$1492,0),0)))</f>
        <v>Unit</v>
      </c>
      <c r="F42" s="498">
        <v>5</v>
      </c>
      <c r="G42" s="359">
        <f ca="1">IF(ISERROR(OFFSET('HARGA SATUAN'!$I$6,MATCH(RAB!C42,'HARGA SATUAN'!$C$7:$C$1492,0),0)),0,OFFSET('HARGA SATUAN'!$I$6,MATCH(RAB!C42,'HARGA SATUAN'!$C$7:$C$1492,0),0))</f>
        <v>0</v>
      </c>
      <c r="H42" s="360">
        <f t="shared" ca="1" si="32"/>
        <v>0</v>
      </c>
      <c r="I42" s="360">
        <f t="shared" ca="1" si="33"/>
        <v>0</v>
      </c>
      <c r="J42" s="360">
        <f t="shared" ca="1" si="34"/>
        <v>0</v>
      </c>
      <c r="K42" s="361">
        <f t="shared" ca="1" si="35"/>
        <v>0</v>
      </c>
      <c r="L42" s="341"/>
      <c r="M42" s="341"/>
      <c r="N42" s="368"/>
      <c r="O42" s="343"/>
      <c r="P42" s="396"/>
      <c r="Q42" s="343"/>
    </row>
    <row r="43" spans="1:17" s="364" customFormat="1">
      <c r="A43" s="335"/>
      <c r="B43" s="723">
        <v>1</v>
      </c>
      <c r="C43" s="724" t="s">
        <v>229</v>
      </c>
      <c r="D43" s="357" t="str">
        <f ca="1">IF(ISERROR(OFFSET('HARGA SATUAN'!$D$6,MATCH(RAB!C43,'HARGA SATUAN'!$C$7:$C$1492,0),0)),"",OFFSET('HARGA SATUAN'!$D$6,MATCH(RAB!C43,'HARGA SATUAN'!$C$7:$C$1492,0),0))</f>
        <v>HDW</v>
      </c>
      <c r="E43" s="358" t="str">
        <f ca="1">IF(B43="+","Unit",IF(ISERROR(OFFSET('HARGA SATUAN'!$E$6,MATCH(RAB!C43,'HARGA SATUAN'!$C$7:$C$1492,0),0)),"",OFFSET('HARGA SATUAN'!$E$6,MATCH(RAB!C43,'HARGA SATUAN'!$C$7:$C$1492,0),0)))</f>
        <v>Bh</v>
      </c>
      <c r="F43" s="498">
        <f>F42*1</f>
        <v>5</v>
      </c>
      <c r="G43" s="359">
        <f ca="1">IF(ISERROR(OFFSET('HARGA SATUAN'!$I$6,MATCH(RAB!C43,'HARGA SATUAN'!$C$7:$C$1492,0),0)),0,OFFSET('HARGA SATUAN'!$I$6,MATCH(RAB!C43,'HARGA SATUAN'!$C$7:$C$1492,0),0))</f>
        <v>4212</v>
      </c>
      <c r="H43" s="360">
        <f t="shared" ca="1" si="32"/>
        <v>0</v>
      </c>
      <c r="I43" s="360">
        <f t="shared" ca="1" si="33"/>
        <v>21060</v>
      </c>
      <c r="J43" s="360">
        <f t="shared" ca="1" si="34"/>
        <v>0</v>
      </c>
      <c r="K43" s="361">
        <f t="shared" ca="1" si="35"/>
        <v>21060</v>
      </c>
      <c r="L43" s="341"/>
      <c r="M43" s="341"/>
      <c r="N43" s="368"/>
      <c r="O43" s="343"/>
      <c r="P43" s="396"/>
      <c r="Q43" s="343"/>
    </row>
    <row r="44" spans="1:17" s="364" customFormat="1">
      <c r="A44" s="335"/>
      <c r="B44" s="723">
        <v>2</v>
      </c>
      <c r="C44" s="724" t="s">
        <v>266</v>
      </c>
      <c r="D44" s="357" t="str">
        <f ca="1">IF(ISERROR(OFFSET('HARGA SATUAN'!$D$6,MATCH(RAB!C44,'HARGA SATUAN'!$C$7:$C$1492,0),0)),"",OFFSET('HARGA SATUAN'!$D$6,MATCH(RAB!C44,'HARGA SATUAN'!$C$7:$C$1492,0),0))</f>
        <v>HDW</v>
      </c>
      <c r="E44" s="358" t="str">
        <f ca="1">IF(B44="+","Unit",IF(ISERROR(OFFSET('HARGA SATUAN'!$E$6,MATCH(RAB!C44,'HARGA SATUAN'!$C$7:$C$1492,0),0)),"",OFFSET('HARGA SATUAN'!$E$6,MATCH(RAB!C44,'HARGA SATUAN'!$C$7:$C$1492,0),0)))</f>
        <v>Mtr</v>
      </c>
      <c r="F44" s="498">
        <f>F42*1</f>
        <v>5</v>
      </c>
      <c r="G44" s="359">
        <f ca="1">IF(ISERROR(OFFSET('HARGA SATUAN'!$I$6,MATCH(RAB!C44,'HARGA SATUAN'!$C$7:$C$1492,0),0)),0,OFFSET('HARGA SATUAN'!$I$6,MATCH(RAB!C44,'HARGA SATUAN'!$C$7:$C$1492,0),0))</f>
        <v>23310</v>
      </c>
      <c r="H44" s="360">
        <f t="shared" ca="1" si="32"/>
        <v>0</v>
      </c>
      <c r="I44" s="360">
        <f t="shared" ca="1" si="33"/>
        <v>116550</v>
      </c>
      <c r="J44" s="360">
        <f t="shared" ca="1" si="34"/>
        <v>0</v>
      </c>
      <c r="K44" s="361">
        <f t="shared" ca="1" si="35"/>
        <v>116550</v>
      </c>
      <c r="L44" s="341"/>
      <c r="M44" s="341"/>
      <c r="N44" s="368"/>
      <c r="O44" s="343"/>
      <c r="P44" s="396"/>
      <c r="Q44" s="343"/>
    </row>
    <row r="45" spans="1:17" s="364" customFormat="1">
      <c r="A45" s="335"/>
      <c r="B45" s="723">
        <v>3</v>
      </c>
      <c r="C45" s="724" t="s">
        <v>35</v>
      </c>
      <c r="D45" s="357" t="str">
        <f ca="1">IF(ISERROR(OFFSET('HARGA SATUAN'!$D$6,MATCH(RAB!C45,'HARGA SATUAN'!$C$7:$C$1492,0),0)),"",OFFSET('HARGA SATUAN'!$D$6,MATCH(RAB!C45,'HARGA SATUAN'!$C$7:$C$1492,0),0))</f>
        <v>HDW</v>
      </c>
      <c r="E45" s="358" t="str">
        <f ca="1">IF(B45="+","Unit",IF(ISERROR(OFFSET('HARGA SATUAN'!$E$6,MATCH(RAB!C45,'HARGA SATUAN'!$C$7:$C$1492,0),0)),"",OFFSET('HARGA SATUAN'!$E$6,MATCH(RAB!C45,'HARGA SATUAN'!$C$7:$C$1492,0),0)))</f>
        <v>Bh</v>
      </c>
      <c r="F45" s="498">
        <f>F42*1</f>
        <v>5</v>
      </c>
      <c r="G45" s="359">
        <f ca="1">IF(ISERROR(OFFSET('HARGA SATUAN'!$I$6,MATCH(RAB!C45,'HARGA SATUAN'!$C$7:$C$1492,0),0)),0,OFFSET('HARGA SATUAN'!$I$6,MATCH(RAB!C45,'HARGA SATUAN'!$C$7:$C$1492,0),0))</f>
        <v>2300</v>
      </c>
      <c r="H45" s="360">
        <f t="shared" ca="1" si="32"/>
        <v>0</v>
      </c>
      <c r="I45" s="360">
        <f t="shared" ca="1" si="33"/>
        <v>11500</v>
      </c>
      <c r="J45" s="360">
        <f t="shared" ca="1" si="34"/>
        <v>0</v>
      </c>
      <c r="K45" s="361">
        <f t="shared" ca="1" si="35"/>
        <v>11500</v>
      </c>
      <c r="L45" s="341"/>
      <c r="M45" s="341"/>
      <c r="N45" s="368"/>
      <c r="O45" s="343"/>
      <c r="P45" s="396"/>
      <c r="Q45" s="343"/>
    </row>
    <row r="46" spans="1:17" s="364" customFormat="1">
      <c r="A46" s="335"/>
      <c r="B46" s="723">
        <v>4</v>
      </c>
      <c r="C46" s="724" t="s">
        <v>609</v>
      </c>
      <c r="D46" s="357" t="str">
        <f ca="1">IF(ISERROR(OFFSET('HARGA SATUAN'!$D$6,MATCH(RAB!C46,'HARGA SATUAN'!$C$7:$C$1492,0),0)),"",OFFSET('HARGA SATUAN'!$D$6,MATCH(RAB!C46,'HARGA SATUAN'!$C$7:$C$1492,0),0))</f>
        <v>HDW</v>
      </c>
      <c r="E46" s="358" t="str">
        <f ca="1">IF(B46="+","Unit",IF(ISERROR(OFFSET('HARGA SATUAN'!$E$6,MATCH(RAB!C46,'HARGA SATUAN'!$C$7:$C$1492,0),0)),"",OFFSET('HARGA SATUAN'!$E$6,MATCH(RAB!C46,'HARGA SATUAN'!$C$7:$C$1492,0),0)))</f>
        <v>Bh</v>
      </c>
      <c r="F46" s="498">
        <f>F42*1</f>
        <v>5</v>
      </c>
      <c r="G46" s="359">
        <f ca="1">IF(ISERROR(OFFSET('HARGA SATUAN'!$I$6,MATCH(RAB!C46,'HARGA SATUAN'!$C$7:$C$1492,0),0)),0,OFFSET('HARGA SATUAN'!$I$6,MATCH(RAB!C46,'HARGA SATUAN'!$C$7:$C$1492,0),0))</f>
        <v>71000</v>
      </c>
      <c r="H46" s="360">
        <f t="shared" ca="1" si="32"/>
        <v>0</v>
      </c>
      <c r="I46" s="360">
        <f t="shared" ca="1" si="33"/>
        <v>355000</v>
      </c>
      <c r="J46" s="360">
        <f t="shared" ca="1" si="34"/>
        <v>0</v>
      </c>
      <c r="K46" s="361">
        <f t="shared" ca="1" si="35"/>
        <v>355000</v>
      </c>
      <c r="L46" s="341"/>
      <c r="M46" s="341"/>
      <c r="N46" s="368"/>
      <c r="O46" s="343"/>
      <c r="P46" s="396"/>
      <c r="Q46" s="343"/>
    </row>
    <row r="47" spans="1:17" s="364" customFormat="1">
      <c r="A47" s="335"/>
      <c r="B47" s="723">
        <v>5</v>
      </c>
      <c r="C47" s="724" t="s">
        <v>629</v>
      </c>
      <c r="D47" s="357" t="str">
        <f ca="1">IF(ISERROR(OFFSET('HARGA SATUAN'!$D$6,MATCH(RAB!C47,'HARGA SATUAN'!$C$7:$C$1492,0),0)),"",OFFSET('HARGA SATUAN'!$D$6,MATCH(RAB!C47,'HARGA SATUAN'!$C$7:$C$1492,0),0))</f>
        <v>JASA</v>
      </c>
      <c r="E47" s="358" t="str">
        <f ca="1">IF(B47="+","Unit",IF(ISERROR(OFFSET('HARGA SATUAN'!$E$6,MATCH(RAB!C47,'HARGA SATUAN'!$C$7:$C$1492,0),0)),"",OFFSET('HARGA SATUAN'!$E$6,MATCH(RAB!C47,'HARGA SATUAN'!$C$7:$C$1492,0),0)))</f>
        <v>Unit</v>
      </c>
      <c r="F47" s="498">
        <f>F42*1</f>
        <v>5</v>
      </c>
      <c r="G47" s="359">
        <f ca="1">IF(ISERROR(OFFSET('HARGA SATUAN'!$I$6,MATCH(RAB!C47,'HARGA SATUAN'!$C$7:$C$1492,0),0)),0,OFFSET('HARGA SATUAN'!$I$6,MATCH(RAB!C47,'HARGA SATUAN'!$C$7:$C$1492,0),0))</f>
        <v>29400</v>
      </c>
      <c r="H47" s="360">
        <f t="shared" ca="1" si="32"/>
        <v>0</v>
      </c>
      <c r="I47" s="360">
        <f t="shared" ca="1" si="33"/>
        <v>0</v>
      </c>
      <c r="J47" s="360">
        <f t="shared" ca="1" si="34"/>
        <v>147000</v>
      </c>
      <c r="K47" s="361">
        <f t="shared" ca="1" si="35"/>
        <v>147000</v>
      </c>
      <c r="L47" s="341"/>
      <c r="M47" s="341"/>
      <c r="N47" s="368"/>
      <c r="O47" s="343"/>
      <c r="P47" s="396"/>
      <c r="Q47" s="343"/>
    </row>
    <row r="48" spans="1:17" s="364" customFormat="1">
      <c r="A48" s="335"/>
      <c r="B48" s="723"/>
      <c r="C48" s="724"/>
      <c r="D48" s="357" t="str">
        <f ca="1">IF(ISERROR(OFFSET('HARGA SATUAN'!$D$6,MATCH(RAB!C48,'HARGA SATUAN'!$C$7:$C$1492,0),0)),"",OFFSET('HARGA SATUAN'!$D$6,MATCH(RAB!C48,'HARGA SATUAN'!$C$7:$C$1492,0),0))</f>
        <v/>
      </c>
      <c r="E48" s="358" t="str">
        <f ca="1">IF(B48="+","Unit",IF(ISERROR(OFFSET('HARGA SATUAN'!$E$6,MATCH(RAB!C48,'HARGA SATUAN'!$C$7:$C$1492,0),0)),"",OFFSET('HARGA SATUAN'!$E$6,MATCH(RAB!C48,'HARGA SATUAN'!$C$7:$C$1492,0),0)))</f>
        <v/>
      </c>
      <c r="F48" s="498"/>
      <c r="G48" s="359">
        <f ca="1">IF(ISERROR(OFFSET('HARGA SATUAN'!$I$6,MATCH(RAB!C48,'HARGA SATUAN'!$C$7:$C$1492,0),0)),0,OFFSET('HARGA SATUAN'!$I$6,MATCH(RAB!C48,'HARGA SATUAN'!$C$7:$C$1492,0),0))</f>
        <v>0</v>
      </c>
      <c r="H48" s="360">
        <f t="shared" ca="1" si="32"/>
        <v>0</v>
      </c>
      <c r="I48" s="360">
        <f t="shared" ca="1" si="33"/>
        <v>0</v>
      </c>
      <c r="J48" s="360">
        <f t="shared" ca="1" si="34"/>
        <v>0</v>
      </c>
      <c r="K48" s="361">
        <f t="shared" ca="1" si="35"/>
        <v>0</v>
      </c>
      <c r="L48" s="341"/>
      <c r="M48" s="341"/>
      <c r="N48" s="368"/>
      <c r="O48" s="343"/>
      <c r="P48" s="396"/>
      <c r="Q48" s="343"/>
    </row>
    <row r="49" spans="1:17" s="364" customFormat="1">
      <c r="A49" s="335"/>
      <c r="B49" s="723" t="s">
        <v>1035</v>
      </c>
      <c r="C49" s="724" t="s">
        <v>1638</v>
      </c>
      <c r="D49" s="357" t="str">
        <f ca="1">IF(ISERROR(OFFSET('HARGA SATUAN'!$D$6,MATCH(RAB!C49,'HARGA SATUAN'!$C$7:$C$1492,0),0)),"",OFFSET('HARGA SATUAN'!$D$6,MATCH(RAB!C49,'HARGA SATUAN'!$C$7:$C$1492,0),0))</f>
        <v/>
      </c>
      <c r="E49" s="358" t="str">
        <f ca="1">IF(B49="+","Unit",IF(ISERROR(OFFSET('HARGA SATUAN'!$E$6,MATCH(RAB!C49,'HARGA SATUAN'!$C$7:$C$1492,0),0)),"",OFFSET('HARGA SATUAN'!$E$6,MATCH(RAB!C49,'HARGA SATUAN'!$C$7:$C$1492,0),0)))</f>
        <v>Unit</v>
      </c>
      <c r="F49" s="498">
        <v>2</v>
      </c>
      <c r="G49" s="359">
        <f ca="1">IF(ISERROR(OFFSET('HARGA SATUAN'!$I$6,MATCH(RAB!C49,'HARGA SATUAN'!$C$7:$C$1492,0),0)),0,OFFSET('HARGA SATUAN'!$I$6,MATCH(RAB!C49,'HARGA SATUAN'!$C$7:$C$1492,0),0))</f>
        <v>0</v>
      </c>
      <c r="H49" s="360">
        <f t="shared" ca="1" si="32"/>
        <v>0</v>
      </c>
      <c r="I49" s="360">
        <f t="shared" ca="1" si="33"/>
        <v>0</v>
      </c>
      <c r="J49" s="360">
        <f t="shared" ca="1" si="34"/>
        <v>0</v>
      </c>
      <c r="K49" s="361">
        <f t="shared" ca="1" si="35"/>
        <v>0</v>
      </c>
      <c r="L49" s="341"/>
      <c r="M49" s="341"/>
      <c r="N49" s="368"/>
      <c r="O49" s="343"/>
      <c r="P49" s="396"/>
      <c r="Q49" s="343"/>
    </row>
    <row r="50" spans="1:17" s="364" customFormat="1">
      <c r="A50" s="335"/>
      <c r="B50" s="723">
        <v>1</v>
      </c>
      <c r="C50" s="724" t="s">
        <v>595</v>
      </c>
      <c r="D50" s="357" t="str">
        <f ca="1">IF(ISERROR(OFFSET('HARGA SATUAN'!$D$6,MATCH(RAB!C50,'HARGA SATUAN'!$C$7:$C$1492,0),0)),"",OFFSET('HARGA SATUAN'!$D$6,MATCH(RAB!C50,'HARGA SATUAN'!$C$7:$C$1492,0),0))</f>
        <v>HDW</v>
      </c>
      <c r="E50" s="358" t="str">
        <f ca="1">IF(B50="+","Unit",IF(ISERROR(OFFSET('HARGA SATUAN'!$E$6,MATCH(RAB!C50,'HARGA SATUAN'!$C$7:$C$1492,0),0)),"",OFFSET('HARGA SATUAN'!$E$6,MATCH(RAB!C50,'HARGA SATUAN'!$C$7:$C$1492,0),0)))</f>
        <v>Bh</v>
      </c>
      <c r="F50" s="498">
        <f>F49*1</f>
        <v>2</v>
      </c>
      <c r="G50" s="359">
        <f ca="1">IF(ISERROR(OFFSET('HARGA SATUAN'!$I$6,MATCH(RAB!C50,'HARGA SATUAN'!$C$7:$C$1492,0),0)),0,OFFSET('HARGA SATUAN'!$I$6,MATCH(RAB!C50,'HARGA SATUAN'!$C$7:$C$1492,0),0))</f>
        <v>78500</v>
      </c>
      <c r="H50" s="360">
        <f t="shared" ca="1" si="32"/>
        <v>0</v>
      </c>
      <c r="I50" s="360">
        <f t="shared" ca="1" si="33"/>
        <v>157000</v>
      </c>
      <c r="J50" s="360">
        <f t="shared" ca="1" si="34"/>
        <v>0</v>
      </c>
      <c r="K50" s="361">
        <f t="shared" ca="1" si="35"/>
        <v>157000</v>
      </c>
      <c r="L50" s="341"/>
      <c r="M50" s="341"/>
      <c r="N50" s="368"/>
      <c r="O50" s="343"/>
      <c r="P50" s="396"/>
      <c r="Q50" s="343"/>
    </row>
    <row r="51" spans="1:17" s="364" customFormat="1">
      <c r="A51" s="335"/>
      <c r="B51" s="723">
        <v>2</v>
      </c>
      <c r="C51" s="724" t="s">
        <v>229</v>
      </c>
      <c r="D51" s="357" t="str">
        <f ca="1">IF(ISERROR(OFFSET('HARGA SATUAN'!$D$6,MATCH(RAB!C51,'HARGA SATUAN'!$C$7:$C$1492,0),0)),"",OFFSET('HARGA SATUAN'!$D$6,MATCH(RAB!C51,'HARGA SATUAN'!$C$7:$C$1492,0),0))</f>
        <v>HDW</v>
      </c>
      <c r="E51" s="358" t="str">
        <f ca="1">IF(B51="+","Unit",IF(ISERROR(OFFSET('HARGA SATUAN'!$E$6,MATCH(RAB!C51,'HARGA SATUAN'!$C$7:$C$1492,0),0)),"",OFFSET('HARGA SATUAN'!$E$6,MATCH(RAB!C51,'HARGA SATUAN'!$C$7:$C$1492,0),0)))</f>
        <v>Bh</v>
      </c>
      <c r="F51" s="498">
        <f>F49*1</f>
        <v>2</v>
      </c>
      <c r="G51" s="359">
        <f ca="1">IF(ISERROR(OFFSET('HARGA SATUAN'!$I$6,MATCH(RAB!C51,'HARGA SATUAN'!$C$7:$C$1492,0),0)),0,OFFSET('HARGA SATUAN'!$I$6,MATCH(RAB!C51,'HARGA SATUAN'!$C$7:$C$1492,0),0))</f>
        <v>4212</v>
      </c>
      <c r="H51" s="360">
        <f t="shared" ca="1" si="32"/>
        <v>0</v>
      </c>
      <c r="I51" s="360">
        <f t="shared" ca="1" si="33"/>
        <v>8424</v>
      </c>
      <c r="J51" s="360">
        <f t="shared" ca="1" si="34"/>
        <v>0</v>
      </c>
      <c r="K51" s="361">
        <f t="shared" ca="1" si="35"/>
        <v>8424</v>
      </c>
      <c r="L51" s="341"/>
      <c r="M51" s="341"/>
      <c r="N51" s="368"/>
      <c r="O51" s="343"/>
      <c r="P51" s="396"/>
      <c r="Q51" s="343"/>
    </row>
    <row r="52" spans="1:17" s="364" customFormat="1">
      <c r="A52" s="335"/>
      <c r="B52" s="723">
        <v>3</v>
      </c>
      <c r="C52" s="724" t="s">
        <v>266</v>
      </c>
      <c r="D52" s="357" t="str">
        <f ca="1">IF(ISERROR(OFFSET('HARGA SATUAN'!$D$6,MATCH(RAB!C52,'HARGA SATUAN'!$C$7:$C$1492,0),0)),"",OFFSET('HARGA SATUAN'!$D$6,MATCH(RAB!C52,'HARGA SATUAN'!$C$7:$C$1492,0),0))</f>
        <v>HDW</v>
      </c>
      <c r="E52" s="358" t="str">
        <f ca="1">IF(B52="+","Unit",IF(ISERROR(OFFSET('HARGA SATUAN'!$E$6,MATCH(RAB!C52,'HARGA SATUAN'!$C$7:$C$1492,0),0)),"",OFFSET('HARGA SATUAN'!$E$6,MATCH(RAB!C52,'HARGA SATUAN'!$C$7:$C$1492,0),0)))</f>
        <v>Mtr</v>
      </c>
      <c r="F52" s="498">
        <f>F49*1</f>
        <v>2</v>
      </c>
      <c r="G52" s="359">
        <f ca="1">IF(ISERROR(OFFSET('HARGA SATUAN'!$I$6,MATCH(RAB!C52,'HARGA SATUAN'!$C$7:$C$1492,0),0)),0,OFFSET('HARGA SATUAN'!$I$6,MATCH(RAB!C52,'HARGA SATUAN'!$C$7:$C$1492,0),0))</f>
        <v>23310</v>
      </c>
      <c r="H52" s="360">
        <f t="shared" ca="1" si="32"/>
        <v>0</v>
      </c>
      <c r="I52" s="360">
        <f t="shared" ca="1" si="33"/>
        <v>46620</v>
      </c>
      <c r="J52" s="360">
        <f t="shared" ca="1" si="34"/>
        <v>0</v>
      </c>
      <c r="K52" s="361">
        <f t="shared" ca="1" si="35"/>
        <v>46620</v>
      </c>
      <c r="L52" s="341"/>
      <c r="M52" s="341"/>
      <c r="N52" s="368"/>
      <c r="O52" s="343"/>
      <c r="P52" s="396"/>
      <c r="Q52" s="343"/>
    </row>
    <row r="53" spans="1:17" s="364" customFormat="1">
      <c r="A53" s="335"/>
      <c r="B53" s="723">
        <v>4</v>
      </c>
      <c r="C53" s="724" t="s">
        <v>35</v>
      </c>
      <c r="D53" s="357" t="str">
        <f ca="1">IF(ISERROR(OFFSET('HARGA SATUAN'!$D$6,MATCH(RAB!C53,'HARGA SATUAN'!$C$7:$C$1492,0),0)),"",OFFSET('HARGA SATUAN'!$D$6,MATCH(RAB!C53,'HARGA SATUAN'!$C$7:$C$1492,0),0))</f>
        <v>HDW</v>
      </c>
      <c r="E53" s="358" t="str">
        <f ca="1">IF(B53="+","Unit",IF(ISERROR(OFFSET('HARGA SATUAN'!$E$6,MATCH(RAB!C53,'HARGA SATUAN'!$C$7:$C$1492,0),0)),"",OFFSET('HARGA SATUAN'!$E$6,MATCH(RAB!C53,'HARGA SATUAN'!$C$7:$C$1492,0),0)))</f>
        <v>Bh</v>
      </c>
      <c r="F53" s="498">
        <f>F49*1</f>
        <v>2</v>
      </c>
      <c r="G53" s="359">
        <f ca="1">IF(ISERROR(OFFSET('HARGA SATUAN'!$I$6,MATCH(RAB!C53,'HARGA SATUAN'!$C$7:$C$1492,0),0)),0,OFFSET('HARGA SATUAN'!$I$6,MATCH(RAB!C53,'HARGA SATUAN'!$C$7:$C$1492,0),0))</f>
        <v>2300</v>
      </c>
      <c r="H53" s="360">
        <f t="shared" ca="1" si="32"/>
        <v>0</v>
      </c>
      <c r="I53" s="360">
        <f t="shared" ca="1" si="33"/>
        <v>4600</v>
      </c>
      <c r="J53" s="360">
        <f t="shared" ca="1" si="34"/>
        <v>0</v>
      </c>
      <c r="K53" s="361">
        <f t="shared" ca="1" si="35"/>
        <v>4600</v>
      </c>
      <c r="L53" s="341"/>
      <c r="M53" s="341"/>
      <c r="N53" s="368"/>
      <c r="O53" s="343"/>
      <c r="P53" s="396"/>
      <c r="Q53" s="343"/>
    </row>
    <row r="54" spans="1:17" s="364" customFormat="1">
      <c r="A54" s="335"/>
      <c r="B54" s="723">
        <v>5</v>
      </c>
      <c r="C54" s="724" t="s">
        <v>630</v>
      </c>
      <c r="D54" s="357" t="str">
        <f ca="1">IF(ISERROR(OFFSET('HARGA SATUAN'!$D$6,MATCH(RAB!C54,'HARGA SATUAN'!$C$7:$C$1492,0),0)),"",OFFSET('HARGA SATUAN'!$D$6,MATCH(RAB!C54,'HARGA SATUAN'!$C$7:$C$1492,0),0))</f>
        <v>JASA</v>
      </c>
      <c r="E54" s="358" t="str">
        <f ca="1">IF(B54="+","Unit",IF(ISERROR(OFFSET('HARGA SATUAN'!$E$6,MATCH(RAB!C54,'HARGA SATUAN'!$C$7:$C$1492,0),0)),"",OFFSET('HARGA SATUAN'!$E$6,MATCH(RAB!C54,'HARGA SATUAN'!$C$7:$C$1492,0),0)))</f>
        <v>Unit</v>
      </c>
      <c r="F54" s="498">
        <f>F49*1</f>
        <v>2</v>
      </c>
      <c r="G54" s="359">
        <f ca="1">IF(ISERROR(OFFSET('HARGA SATUAN'!$I$6,MATCH(RAB!C54,'HARGA SATUAN'!$C$7:$C$1492,0),0)),0,OFFSET('HARGA SATUAN'!$I$6,MATCH(RAB!C54,'HARGA SATUAN'!$C$7:$C$1492,0),0))</f>
        <v>35700</v>
      </c>
      <c r="H54" s="360">
        <f t="shared" ca="1" si="32"/>
        <v>0</v>
      </c>
      <c r="I54" s="360">
        <f t="shared" ca="1" si="33"/>
        <v>0</v>
      </c>
      <c r="J54" s="360">
        <f t="shared" ca="1" si="34"/>
        <v>71400</v>
      </c>
      <c r="K54" s="361">
        <f t="shared" ca="1" si="35"/>
        <v>71400</v>
      </c>
      <c r="L54" s="341"/>
      <c r="M54" s="341"/>
      <c r="N54" s="368"/>
      <c r="O54" s="343"/>
      <c r="P54" s="396"/>
      <c r="Q54" s="343"/>
    </row>
    <row r="55" spans="1:17" s="364" customFormat="1">
      <c r="A55" s="335"/>
      <c r="B55" s="723"/>
      <c r="C55" s="724"/>
      <c r="D55" s="357" t="str">
        <f ca="1">IF(ISERROR(OFFSET('HARGA SATUAN'!$D$6,MATCH(RAB!C55,'HARGA SATUAN'!$C$7:$C$1492,0),0)),"",OFFSET('HARGA SATUAN'!$D$6,MATCH(RAB!C55,'HARGA SATUAN'!$C$7:$C$1492,0),0))</f>
        <v/>
      </c>
      <c r="E55" s="358" t="str">
        <f ca="1">IF(B55="+","Unit",IF(ISERROR(OFFSET('HARGA SATUAN'!$E$6,MATCH(RAB!C55,'HARGA SATUAN'!$C$7:$C$1492,0),0)),"",OFFSET('HARGA SATUAN'!$E$6,MATCH(RAB!C55,'HARGA SATUAN'!$C$7:$C$1492,0),0)))</f>
        <v/>
      </c>
      <c r="F55" s="498"/>
      <c r="G55" s="359">
        <f ca="1">IF(ISERROR(OFFSET('HARGA SATUAN'!$I$6,MATCH(RAB!C55,'HARGA SATUAN'!$C$7:$C$1492,0),0)),0,OFFSET('HARGA SATUAN'!$I$6,MATCH(RAB!C55,'HARGA SATUAN'!$C$7:$C$1492,0),0))</f>
        <v>0</v>
      </c>
      <c r="H55" s="360">
        <f t="shared" ca="1" si="32"/>
        <v>0</v>
      </c>
      <c r="I55" s="360">
        <f t="shared" ca="1" si="33"/>
        <v>0</v>
      </c>
      <c r="J55" s="360">
        <f t="shared" ca="1" si="34"/>
        <v>0</v>
      </c>
      <c r="K55" s="361">
        <f t="shared" ca="1" si="35"/>
        <v>0</v>
      </c>
      <c r="L55" s="341"/>
      <c r="M55" s="341"/>
      <c r="N55" s="368"/>
      <c r="O55" s="343"/>
      <c r="P55" s="396"/>
      <c r="Q55" s="343"/>
    </row>
    <row r="56" spans="1:17" s="364" customFormat="1">
      <c r="A56" s="335"/>
      <c r="B56" s="723" t="s">
        <v>1035</v>
      </c>
      <c r="C56" s="724" t="s">
        <v>1641</v>
      </c>
      <c r="D56" s="357" t="str">
        <f ca="1">IF(ISERROR(OFFSET('HARGA SATUAN'!$D$6,MATCH(RAB!C56,'HARGA SATUAN'!$C$7:$C$1492,0),0)),"",OFFSET('HARGA SATUAN'!$D$6,MATCH(RAB!C56,'HARGA SATUAN'!$C$7:$C$1492,0),0))</f>
        <v/>
      </c>
      <c r="E56" s="358" t="str">
        <f ca="1">IF(B56="+","Unit",IF(ISERROR(OFFSET('HARGA SATUAN'!$E$6,MATCH(RAB!C56,'HARGA SATUAN'!$C$7:$C$1492,0),0)),"",OFFSET('HARGA SATUAN'!$E$6,MATCH(RAB!C56,'HARGA SATUAN'!$C$7:$C$1492,0),0)))</f>
        <v>Unit</v>
      </c>
      <c r="F56" s="498">
        <v>1</v>
      </c>
      <c r="G56" s="359">
        <f ca="1">IF(ISERROR(OFFSET('HARGA SATUAN'!$I$6,MATCH(RAB!C56,'HARGA SATUAN'!$C$7:$C$1492,0),0)),0,OFFSET('HARGA SATUAN'!$I$6,MATCH(RAB!C56,'HARGA SATUAN'!$C$7:$C$1492,0),0))</f>
        <v>0</v>
      </c>
      <c r="H56" s="360">
        <f t="shared" ca="1" si="32"/>
        <v>0</v>
      </c>
      <c r="I56" s="360">
        <f t="shared" ca="1" si="33"/>
        <v>0</v>
      </c>
      <c r="J56" s="360">
        <f t="shared" ca="1" si="34"/>
        <v>0</v>
      </c>
      <c r="K56" s="361">
        <f t="shared" ca="1" si="35"/>
        <v>0</v>
      </c>
      <c r="L56" s="341"/>
      <c r="M56" s="341"/>
      <c r="N56" s="368"/>
      <c r="O56" s="343"/>
      <c r="P56" s="396"/>
      <c r="Q56" s="343"/>
    </row>
    <row r="57" spans="1:17" s="364" customFormat="1">
      <c r="A57" s="335"/>
      <c r="B57" s="723">
        <v>1</v>
      </c>
      <c r="C57" s="724" t="s">
        <v>216</v>
      </c>
      <c r="D57" s="357" t="str">
        <f ca="1">IF(ISERROR(OFFSET('HARGA SATUAN'!$D$6,MATCH(RAB!C57,'HARGA SATUAN'!$C$7:$C$1492,0),0)),"",OFFSET('HARGA SATUAN'!$D$6,MATCH(RAB!C57,'HARGA SATUAN'!$C$7:$C$1492,0),0))</f>
        <v>HDW</v>
      </c>
      <c r="E57" s="358" t="str">
        <f ca="1">IF(B57="+","Unit",IF(ISERROR(OFFSET('HARGA SATUAN'!$E$6,MATCH(RAB!C57,'HARGA SATUAN'!$C$7:$C$1492,0),0)),"",OFFSET('HARGA SATUAN'!$E$6,MATCH(RAB!C57,'HARGA SATUAN'!$C$7:$C$1492,0),0)))</f>
        <v>Bh</v>
      </c>
      <c r="F57" s="498">
        <f>F56*1</f>
        <v>1</v>
      </c>
      <c r="G57" s="359">
        <f ca="1">IF(ISERROR(OFFSET('HARGA SATUAN'!$I$6,MATCH(RAB!C57,'HARGA SATUAN'!$C$7:$C$1492,0),0)),0,OFFSET('HARGA SATUAN'!$I$6,MATCH(RAB!C57,'HARGA SATUAN'!$C$7:$C$1492,0),0))</f>
        <v>116800</v>
      </c>
      <c r="H57" s="360">
        <f t="shared" ca="1" si="32"/>
        <v>0</v>
      </c>
      <c r="I57" s="360">
        <f t="shared" ca="1" si="33"/>
        <v>116800</v>
      </c>
      <c r="J57" s="360">
        <f t="shared" ca="1" si="34"/>
        <v>0</v>
      </c>
      <c r="K57" s="361">
        <f t="shared" ca="1" si="35"/>
        <v>116800</v>
      </c>
      <c r="L57" s="341"/>
      <c r="M57" s="341"/>
      <c r="N57" s="368"/>
      <c r="O57" s="343"/>
      <c r="P57" s="396"/>
      <c r="Q57" s="343"/>
    </row>
    <row r="58" spans="1:17" s="364" customFormat="1">
      <c r="A58" s="335"/>
      <c r="B58" s="723">
        <v>2</v>
      </c>
      <c r="C58" s="724" t="s">
        <v>229</v>
      </c>
      <c r="D58" s="357" t="str">
        <f ca="1">IF(ISERROR(OFFSET('HARGA SATUAN'!$D$6,MATCH(RAB!C58,'HARGA SATUAN'!$C$7:$C$1492,0),0)),"",OFFSET('HARGA SATUAN'!$D$6,MATCH(RAB!C58,'HARGA SATUAN'!$C$7:$C$1492,0),0))</f>
        <v>HDW</v>
      </c>
      <c r="E58" s="358" t="str">
        <f ca="1">IF(B58="+","Unit",IF(ISERROR(OFFSET('HARGA SATUAN'!$E$6,MATCH(RAB!C58,'HARGA SATUAN'!$C$7:$C$1492,0),0)),"",OFFSET('HARGA SATUAN'!$E$6,MATCH(RAB!C58,'HARGA SATUAN'!$C$7:$C$1492,0),0)))</f>
        <v>Bh</v>
      </c>
      <c r="F58" s="498">
        <f>F56*1</f>
        <v>1</v>
      </c>
      <c r="G58" s="359">
        <f ca="1">IF(ISERROR(OFFSET('HARGA SATUAN'!$I$6,MATCH(RAB!C58,'HARGA SATUAN'!$C$7:$C$1492,0),0)),0,OFFSET('HARGA SATUAN'!$I$6,MATCH(RAB!C58,'HARGA SATUAN'!$C$7:$C$1492,0),0))</f>
        <v>4212</v>
      </c>
      <c r="H58" s="360">
        <f t="shared" ca="1" si="32"/>
        <v>0</v>
      </c>
      <c r="I58" s="360">
        <f t="shared" ca="1" si="33"/>
        <v>4212</v>
      </c>
      <c r="J58" s="360">
        <f t="shared" ca="1" si="34"/>
        <v>0</v>
      </c>
      <c r="K58" s="361">
        <f t="shared" ca="1" si="35"/>
        <v>4212</v>
      </c>
      <c r="L58" s="341"/>
      <c r="M58" s="341"/>
      <c r="N58" s="368"/>
      <c r="O58" s="343"/>
      <c r="P58" s="396"/>
      <c r="Q58" s="343"/>
    </row>
    <row r="59" spans="1:17" s="364" customFormat="1">
      <c r="A59" s="335"/>
      <c r="B59" s="723">
        <v>3</v>
      </c>
      <c r="C59" s="724" t="s">
        <v>266</v>
      </c>
      <c r="D59" s="357" t="str">
        <f ca="1">IF(ISERROR(OFFSET('HARGA SATUAN'!$D$6,MATCH(RAB!C59,'HARGA SATUAN'!$C$7:$C$1492,0),0)),"",OFFSET('HARGA SATUAN'!$D$6,MATCH(RAB!C59,'HARGA SATUAN'!$C$7:$C$1492,0),0))</f>
        <v>HDW</v>
      </c>
      <c r="E59" s="358" t="str">
        <f ca="1">IF(B59="+","Unit",IF(ISERROR(OFFSET('HARGA SATUAN'!$E$6,MATCH(RAB!C59,'HARGA SATUAN'!$C$7:$C$1492,0),0)),"",OFFSET('HARGA SATUAN'!$E$6,MATCH(RAB!C59,'HARGA SATUAN'!$C$7:$C$1492,0),0)))</f>
        <v>Mtr</v>
      </c>
      <c r="F59" s="498">
        <f>F56*1</f>
        <v>1</v>
      </c>
      <c r="G59" s="359">
        <f ca="1">IF(ISERROR(OFFSET('HARGA SATUAN'!$I$6,MATCH(RAB!C59,'HARGA SATUAN'!$C$7:$C$1492,0),0)),0,OFFSET('HARGA SATUAN'!$I$6,MATCH(RAB!C59,'HARGA SATUAN'!$C$7:$C$1492,0),0))</f>
        <v>23310</v>
      </c>
      <c r="H59" s="360">
        <f t="shared" ca="1" si="32"/>
        <v>0</v>
      </c>
      <c r="I59" s="360">
        <f t="shared" ca="1" si="33"/>
        <v>23310</v>
      </c>
      <c r="J59" s="360">
        <f t="shared" ca="1" si="34"/>
        <v>0</v>
      </c>
      <c r="K59" s="361">
        <f t="shared" ca="1" si="35"/>
        <v>23310</v>
      </c>
      <c r="L59" s="341"/>
      <c r="M59" s="341"/>
      <c r="N59" s="368"/>
      <c r="O59" s="343"/>
      <c r="P59" s="396"/>
      <c r="Q59" s="343"/>
    </row>
    <row r="60" spans="1:17" s="364" customFormat="1">
      <c r="A60" s="335"/>
      <c r="B60" s="723">
        <v>4</v>
      </c>
      <c r="C60" s="724" t="s">
        <v>35</v>
      </c>
      <c r="D60" s="357" t="str">
        <f ca="1">IF(ISERROR(OFFSET('HARGA SATUAN'!$D$6,MATCH(RAB!C60,'HARGA SATUAN'!$C$7:$C$1492,0),0)),"",OFFSET('HARGA SATUAN'!$D$6,MATCH(RAB!C60,'HARGA SATUAN'!$C$7:$C$1492,0),0))</f>
        <v>HDW</v>
      </c>
      <c r="E60" s="358" t="str">
        <f ca="1">IF(B60="+","Unit",IF(ISERROR(OFFSET('HARGA SATUAN'!$E$6,MATCH(RAB!C60,'HARGA SATUAN'!$C$7:$C$1492,0),0)),"",OFFSET('HARGA SATUAN'!$E$6,MATCH(RAB!C60,'HARGA SATUAN'!$C$7:$C$1492,0),0)))</f>
        <v>Bh</v>
      </c>
      <c r="F60" s="498">
        <f>F56*1</f>
        <v>1</v>
      </c>
      <c r="G60" s="359">
        <f ca="1">IF(ISERROR(OFFSET('HARGA SATUAN'!$I$6,MATCH(RAB!C60,'HARGA SATUAN'!$C$7:$C$1492,0),0)),0,OFFSET('HARGA SATUAN'!$I$6,MATCH(RAB!C60,'HARGA SATUAN'!$C$7:$C$1492,0),0))</f>
        <v>2300</v>
      </c>
      <c r="H60" s="360">
        <f t="shared" ca="1" si="32"/>
        <v>0</v>
      </c>
      <c r="I60" s="360">
        <f t="shared" ca="1" si="33"/>
        <v>2300</v>
      </c>
      <c r="J60" s="360">
        <f t="shared" ca="1" si="34"/>
        <v>0</v>
      </c>
      <c r="K60" s="361">
        <f t="shared" ca="1" si="35"/>
        <v>2300</v>
      </c>
      <c r="L60" s="341"/>
      <c r="M60" s="341"/>
      <c r="N60" s="368"/>
      <c r="O60" s="343"/>
      <c r="P60" s="396"/>
      <c r="Q60" s="343"/>
    </row>
    <row r="61" spans="1:17" s="364" customFormat="1">
      <c r="A61" s="335"/>
      <c r="B61" s="723">
        <v>5</v>
      </c>
      <c r="C61" s="724" t="s">
        <v>631</v>
      </c>
      <c r="D61" s="357" t="str">
        <f ca="1">IF(ISERROR(OFFSET('HARGA SATUAN'!$D$6,MATCH(RAB!C61,'HARGA SATUAN'!$C$7:$C$1492,0),0)),"",OFFSET('HARGA SATUAN'!$D$6,MATCH(RAB!C61,'HARGA SATUAN'!$C$7:$C$1492,0),0))</f>
        <v>JASA</v>
      </c>
      <c r="E61" s="358" t="str">
        <f ca="1">IF(B61="+","Unit",IF(ISERROR(OFFSET('HARGA SATUAN'!$E$6,MATCH(RAB!C61,'HARGA SATUAN'!$C$7:$C$1492,0),0)),"",OFFSET('HARGA SATUAN'!$E$6,MATCH(RAB!C61,'HARGA SATUAN'!$C$7:$C$1492,0),0)))</f>
        <v>Unit</v>
      </c>
      <c r="F61" s="498">
        <f>F56*1</f>
        <v>1</v>
      </c>
      <c r="G61" s="359">
        <f ca="1">IF(ISERROR(OFFSET('HARGA SATUAN'!$I$6,MATCH(RAB!C61,'HARGA SATUAN'!$C$7:$C$1492,0),0)),0,OFFSET('HARGA SATUAN'!$I$6,MATCH(RAB!C61,'HARGA SATUAN'!$C$7:$C$1492,0),0))</f>
        <v>30700</v>
      </c>
      <c r="H61" s="360">
        <f t="shared" ca="1" si="32"/>
        <v>0</v>
      </c>
      <c r="I61" s="360">
        <f t="shared" ca="1" si="33"/>
        <v>0</v>
      </c>
      <c r="J61" s="360">
        <f t="shared" ca="1" si="34"/>
        <v>30700</v>
      </c>
      <c r="K61" s="361">
        <f t="shared" ca="1" si="35"/>
        <v>30700</v>
      </c>
      <c r="L61" s="341"/>
      <c r="M61" s="341"/>
      <c r="N61" s="368"/>
      <c r="O61" s="343"/>
      <c r="P61" s="396"/>
      <c r="Q61" s="343"/>
    </row>
    <row r="62" spans="1:17" s="364" customFormat="1">
      <c r="A62" s="335"/>
      <c r="B62" s="723"/>
      <c r="C62" s="724"/>
      <c r="D62" s="357" t="str">
        <f ca="1">IF(ISERROR(OFFSET('HARGA SATUAN'!$D$6,MATCH(RAB!C62,'HARGA SATUAN'!$C$7:$C$1492,0),0)),"",OFFSET('HARGA SATUAN'!$D$6,MATCH(RAB!C62,'HARGA SATUAN'!$C$7:$C$1492,0),0))</f>
        <v/>
      </c>
      <c r="E62" s="358" t="str">
        <f ca="1">IF(B62="+","Unit",IF(ISERROR(OFFSET('HARGA SATUAN'!$E$6,MATCH(RAB!C62,'HARGA SATUAN'!$C$7:$C$1492,0),0)),"",OFFSET('HARGA SATUAN'!$E$6,MATCH(RAB!C62,'HARGA SATUAN'!$C$7:$C$1492,0),0)))</f>
        <v/>
      </c>
      <c r="F62" s="498"/>
      <c r="G62" s="359">
        <f ca="1">IF(ISERROR(OFFSET('HARGA SATUAN'!$I$6,MATCH(RAB!C62,'HARGA SATUAN'!$C$7:$C$1492,0),0)),0,OFFSET('HARGA SATUAN'!$I$6,MATCH(RAB!C62,'HARGA SATUAN'!$C$7:$C$1492,0),0))</f>
        <v>0</v>
      </c>
      <c r="H62" s="360">
        <f t="shared" ca="1" si="32"/>
        <v>0</v>
      </c>
      <c r="I62" s="360">
        <f t="shared" ca="1" si="33"/>
        <v>0</v>
      </c>
      <c r="J62" s="360">
        <f t="shared" ca="1" si="34"/>
        <v>0</v>
      </c>
      <c r="K62" s="361">
        <f t="shared" ca="1" si="35"/>
        <v>0</v>
      </c>
      <c r="L62" s="341"/>
      <c r="M62" s="341"/>
      <c r="N62" s="368"/>
      <c r="O62" s="343"/>
      <c r="P62" s="396"/>
      <c r="Q62" s="343"/>
    </row>
    <row r="63" spans="1:17" s="364" customFormat="1">
      <c r="A63" s="335"/>
      <c r="B63" s="723" t="s">
        <v>1035</v>
      </c>
      <c r="C63" s="724" t="s">
        <v>1639</v>
      </c>
      <c r="D63" s="357" t="str">
        <f ca="1">IF(ISERROR(OFFSET('HARGA SATUAN'!$D$6,MATCH(RAB!C63,'HARGA SATUAN'!$C$7:$C$1492,0),0)),"",OFFSET('HARGA SATUAN'!$D$6,MATCH(RAB!C63,'HARGA SATUAN'!$C$7:$C$1492,0),0))</f>
        <v/>
      </c>
      <c r="E63" s="358" t="str">
        <f ca="1">IF(B63="+","Unit",IF(ISERROR(OFFSET('HARGA SATUAN'!$E$6,MATCH(RAB!C63,'HARGA SATUAN'!$C$7:$C$1492,0),0)),"",OFFSET('HARGA SATUAN'!$E$6,MATCH(RAB!C63,'HARGA SATUAN'!$C$7:$C$1492,0),0)))</f>
        <v>Unit</v>
      </c>
      <c r="F63" s="498">
        <v>1</v>
      </c>
      <c r="G63" s="359">
        <f ca="1">IF(ISERROR(OFFSET('HARGA SATUAN'!$I$6,MATCH(RAB!C63,'HARGA SATUAN'!$C$7:$C$1492,0),0)),0,OFFSET('HARGA SATUAN'!$I$6,MATCH(RAB!C63,'HARGA SATUAN'!$C$7:$C$1492,0),0))</f>
        <v>0</v>
      </c>
      <c r="H63" s="360">
        <f t="shared" ca="1" si="32"/>
        <v>0</v>
      </c>
      <c r="I63" s="360">
        <f t="shared" ca="1" si="33"/>
        <v>0</v>
      </c>
      <c r="J63" s="360">
        <f t="shared" ca="1" si="34"/>
        <v>0</v>
      </c>
      <c r="K63" s="361">
        <f t="shared" ca="1" si="35"/>
        <v>0</v>
      </c>
      <c r="L63" s="341"/>
      <c r="M63" s="341"/>
      <c r="N63" s="368"/>
      <c r="O63" s="343"/>
      <c r="P63" s="396"/>
      <c r="Q63" s="343"/>
    </row>
    <row r="64" spans="1:17" s="364" customFormat="1">
      <c r="A64" s="335"/>
      <c r="B64" s="723">
        <v>1</v>
      </c>
      <c r="C64" s="724" t="s">
        <v>598</v>
      </c>
      <c r="D64" s="357" t="str">
        <f ca="1">IF(ISERROR(OFFSET('HARGA SATUAN'!$D$6,MATCH(RAB!C64,'HARGA SATUAN'!$C$7:$C$1492,0),0)),"",OFFSET('HARGA SATUAN'!$D$6,MATCH(RAB!C64,'HARGA SATUAN'!$C$7:$C$1492,0),0))</f>
        <v>HDW</v>
      </c>
      <c r="E64" s="358" t="str">
        <f ca="1">IF(B64="+","Unit",IF(ISERROR(OFFSET('HARGA SATUAN'!$E$6,MATCH(RAB!C64,'HARGA SATUAN'!$C$7:$C$1492,0),0)),"",OFFSET('HARGA SATUAN'!$E$6,MATCH(RAB!C64,'HARGA SATUAN'!$C$7:$C$1492,0),0)))</f>
        <v>Bh</v>
      </c>
      <c r="F64" s="498">
        <f>F63*1</f>
        <v>1</v>
      </c>
      <c r="G64" s="359">
        <f ca="1">IF(ISERROR(OFFSET('HARGA SATUAN'!$I$6,MATCH(RAB!C64,'HARGA SATUAN'!$C$7:$C$1492,0),0)),0,OFFSET('HARGA SATUAN'!$I$6,MATCH(RAB!C64,'HARGA SATUAN'!$C$7:$C$1492,0),0))</f>
        <v>3965</v>
      </c>
      <c r="H64" s="360">
        <f t="shared" ca="1" si="32"/>
        <v>0</v>
      </c>
      <c r="I64" s="360">
        <f t="shared" ca="1" si="33"/>
        <v>3965</v>
      </c>
      <c r="J64" s="360">
        <f t="shared" ca="1" si="34"/>
        <v>0</v>
      </c>
      <c r="K64" s="361">
        <f t="shared" ca="1" si="35"/>
        <v>3965</v>
      </c>
      <c r="L64" s="341"/>
      <c r="M64" s="341"/>
      <c r="N64" s="368"/>
      <c r="O64" s="343"/>
      <c r="P64" s="396"/>
      <c r="Q64" s="343"/>
    </row>
    <row r="65" spans="1:17" s="364" customFormat="1">
      <c r="A65" s="335"/>
      <c r="B65" s="723">
        <v>2</v>
      </c>
      <c r="C65" s="724" t="s">
        <v>474</v>
      </c>
      <c r="D65" s="357" t="str">
        <f ca="1">IF(ISERROR(OFFSET('HARGA SATUAN'!$D$6,MATCH(RAB!C65,'HARGA SATUAN'!$C$7:$C$1492,0),0)),"",OFFSET('HARGA SATUAN'!$D$6,MATCH(RAB!C65,'HARGA SATUAN'!$C$7:$C$1492,0),0))</f>
        <v>HDW</v>
      </c>
      <c r="E65" s="358" t="str">
        <f ca="1">IF(B65="+","Unit",IF(ISERROR(OFFSET('HARGA SATUAN'!$E$6,MATCH(RAB!C65,'HARGA SATUAN'!$C$7:$C$1492,0),0)),"",OFFSET('HARGA SATUAN'!$E$6,MATCH(RAB!C65,'HARGA SATUAN'!$C$7:$C$1492,0),0)))</f>
        <v>Bh</v>
      </c>
      <c r="F65" s="498">
        <f>F63*1</f>
        <v>1</v>
      </c>
      <c r="G65" s="359">
        <f ca="1">IF(ISERROR(OFFSET('HARGA SATUAN'!$I$6,MATCH(RAB!C65,'HARGA SATUAN'!$C$7:$C$1492,0),0)),0,OFFSET('HARGA SATUAN'!$I$6,MATCH(RAB!C65,'HARGA SATUAN'!$C$7:$C$1492,0),0))</f>
        <v>3711.24</v>
      </c>
      <c r="H65" s="360">
        <f t="shared" ca="1" si="32"/>
        <v>0</v>
      </c>
      <c r="I65" s="360">
        <f t="shared" ca="1" si="33"/>
        <v>3711.24</v>
      </c>
      <c r="J65" s="360">
        <f t="shared" ca="1" si="34"/>
        <v>0</v>
      </c>
      <c r="K65" s="361">
        <f t="shared" ca="1" si="35"/>
        <v>3711.24</v>
      </c>
      <c r="L65" s="341"/>
      <c r="M65" s="341"/>
      <c r="N65" s="368"/>
      <c r="O65" s="343"/>
      <c r="P65" s="396"/>
      <c r="Q65" s="343"/>
    </row>
    <row r="66" spans="1:17" s="364" customFormat="1">
      <c r="A66" s="335"/>
      <c r="B66" s="723">
        <v>3</v>
      </c>
      <c r="C66" s="724" t="s">
        <v>266</v>
      </c>
      <c r="D66" s="357" t="str">
        <f ca="1">IF(ISERROR(OFFSET('HARGA SATUAN'!$D$6,MATCH(RAB!C66,'HARGA SATUAN'!$C$7:$C$1492,0),0)),"",OFFSET('HARGA SATUAN'!$D$6,MATCH(RAB!C66,'HARGA SATUAN'!$C$7:$C$1492,0),0))</f>
        <v>HDW</v>
      </c>
      <c r="E66" s="358" t="str">
        <f ca="1">IF(B66="+","Unit",IF(ISERROR(OFFSET('HARGA SATUAN'!$E$6,MATCH(RAB!C66,'HARGA SATUAN'!$C$7:$C$1492,0),0)),"",OFFSET('HARGA SATUAN'!$E$6,MATCH(RAB!C66,'HARGA SATUAN'!$C$7:$C$1492,0),0)))</f>
        <v>Mtr</v>
      </c>
      <c r="F66" s="498">
        <f>F63*1</f>
        <v>1</v>
      </c>
      <c r="G66" s="359">
        <f ca="1">IF(ISERROR(OFFSET('HARGA SATUAN'!$I$6,MATCH(RAB!C66,'HARGA SATUAN'!$C$7:$C$1492,0),0)),0,OFFSET('HARGA SATUAN'!$I$6,MATCH(RAB!C66,'HARGA SATUAN'!$C$7:$C$1492,0),0))</f>
        <v>23310</v>
      </c>
      <c r="H66" s="360">
        <f t="shared" ca="1" si="32"/>
        <v>0</v>
      </c>
      <c r="I66" s="360">
        <f t="shared" ca="1" si="33"/>
        <v>23310</v>
      </c>
      <c r="J66" s="360">
        <f t="shared" ca="1" si="34"/>
        <v>0</v>
      </c>
      <c r="K66" s="361">
        <f t="shared" ca="1" si="35"/>
        <v>23310</v>
      </c>
      <c r="L66" s="341"/>
      <c r="M66" s="341"/>
      <c r="N66" s="368"/>
      <c r="O66" s="343"/>
      <c r="P66" s="396"/>
      <c r="Q66" s="343"/>
    </row>
    <row r="67" spans="1:17" s="364" customFormat="1">
      <c r="A67" s="335"/>
      <c r="B67" s="723">
        <v>4</v>
      </c>
      <c r="C67" s="724" t="s">
        <v>35</v>
      </c>
      <c r="D67" s="357" t="str">
        <f ca="1">IF(ISERROR(OFFSET('HARGA SATUAN'!$D$6,MATCH(RAB!C67,'HARGA SATUAN'!$C$7:$C$1492,0),0)),"",OFFSET('HARGA SATUAN'!$D$6,MATCH(RAB!C67,'HARGA SATUAN'!$C$7:$C$1492,0),0))</f>
        <v>HDW</v>
      </c>
      <c r="E67" s="358" t="str">
        <f ca="1">IF(B67="+","Unit",IF(ISERROR(OFFSET('HARGA SATUAN'!$E$6,MATCH(RAB!C67,'HARGA SATUAN'!$C$7:$C$1492,0),0)),"",OFFSET('HARGA SATUAN'!$E$6,MATCH(RAB!C67,'HARGA SATUAN'!$C$7:$C$1492,0),0)))</f>
        <v>Bh</v>
      </c>
      <c r="F67" s="498">
        <f>F63*1</f>
        <v>1</v>
      </c>
      <c r="G67" s="359">
        <f ca="1">IF(ISERROR(OFFSET('HARGA SATUAN'!$I$6,MATCH(RAB!C67,'HARGA SATUAN'!$C$7:$C$1492,0),0)),0,OFFSET('HARGA SATUAN'!$I$6,MATCH(RAB!C67,'HARGA SATUAN'!$C$7:$C$1492,0),0))</f>
        <v>2300</v>
      </c>
      <c r="H67" s="360">
        <f t="shared" ca="1" si="32"/>
        <v>0</v>
      </c>
      <c r="I67" s="360">
        <f t="shared" ca="1" si="33"/>
        <v>2300</v>
      </c>
      <c r="J67" s="360">
        <f t="shared" ca="1" si="34"/>
        <v>0</v>
      </c>
      <c r="K67" s="361">
        <f t="shared" ca="1" si="35"/>
        <v>2300</v>
      </c>
      <c r="L67" s="341"/>
      <c r="M67" s="341"/>
      <c r="N67" s="368"/>
      <c r="O67" s="343"/>
      <c r="P67" s="396"/>
      <c r="Q67" s="343"/>
    </row>
    <row r="68" spans="1:17" s="364" customFormat="1">
      <c r="A68" s="335"/>
      <c r="B68" s="723">
        <v>5</v>
      </c>
      <c r="C68" s="724" t="s">
        <v>632</v>
      </c>
      <c r="D68" s="357" t="str">
        <f ca="1">IF(ISERROR(OFFSET('HARGA SATUAN'!$D$6,MATCH(RAB!C68,'HARGA SATUAN'!$C$7:$C$1492,0),0)),"",OFFSET('HARGA SATUAN'!$D$6,MATCH(RAB!C68,'HARGA SATUAN'!$C$7:$C$1492,0),0))</f>
        <v>JASA</v>
      </c>
      <c r="E68" s="358" t="str">
        <f ca="1">IF(B68="+","Unit",IF(ISERROR(OFFSET('HARGA SATUAN'!$E$6,MATCH(RAB!C68,'HARGA SATUAN'!$C$7:$C$1492,0),0)),"",OFFSET('HARGA SATUAN'!$E$6,MATCH(RAB!C68,'HARGA SATUAN'!$C$7:$C$1492,0),0)))</f>
        <v>Unit</v>
      </c>
      <c r="F68" s="498">
        <f>F63*1</f>
        <v>1</v>
      </c>
      <c r="G68" s="359">
        <f ca="1">IF(ISERROR(OFFSET('HARGA SATUAN'!$I$6,MATCH(RAB!C68,'HARGA SATUAN'!$C$7:$C$1492,0),0)),0,OFFSET('HARGA SATUAN'!$I$6,MATCH(RAB!C68,'HARGA SATUAN'!$C$7:$C$1492,0),0))</f>
        <v>22700</v>
      </c>
      <c r="H68" s="360">
        <f t="shared" ca="1" si="32"/>
        <v>0</v>
      </c>
      <c r="I68" s="360">
        <f t="shared" ca="1" si="33"/>
        <v>0</v>
      </c>
      <c r="J68" s="360">
        <f t="shared" ca="1" si="34"/>
        <v>22700</v>
      </c>
      <c r="K68" s="361">
        <f t="shared" ca="1" si="35"/>
        <v>22700</v>
      </c>
      <c r="L68" s="341"/>
      <c r="M68" s="341"/>
      <c r="N68" s="368"/>
      <c r="O68" s="343"/>
      <c r="P68" s="396"/>
      <c r="Q68" s="343"/>
    </row>
    <row r="69" spans="1:17" s="364" customFormat="1">
      <c r="A69" s="335"/>
      <c r="B69" s="509"/>
      <c r="C69" s="510"/>
      <c r="D69" s="357" t="str">
        <f ca="1">IF(ISERROR(OFFSET('HARGA SATUAN'!$D$6,MATCH(RAB!C69,'HARGA SATUAN'!$C$7:$C$1492,0),0)),"",OFFSET('HARGA SATUAN'!$D$6,MATCH(RAB!C69,'HARGA SATUAN'!$C$7:$C$1492,0),0))</f>
        <v/>
      </c>
      <c r="E69" s="358" t="str">
        <f ca="1">IF(B69="+","Unit",IF(ISERROR(OFFSET('HARGA SATUAN'!$E$6,MATCH(RAB!C69,'HARGA SATUAN'!$C$7:$C$1492,0),0)),"",OFFSET('HARGA SATUAN'!$E$6,MATCH(RAB!C69,'HARGA SATUAN'!$C$7:$C$1492,0),0)))</f>
        <v/>
      </c>
      <c r="F69" s="498"/>
      <c r="G69" s="359">
        <f ca="1">IF(ISERROR(OFFSET('HARGA SATUAN'!$I$6,MATCH(RAB!C69,'HARGA SATUAN'!$C$7:$C$1492,0),0)),0,OFFSET('HARGA SATUAN'!$I$6,MATCH(RAB!C69,'HARGA SATUAN'!$C$7:$C$1492,0),0))</f>
        <v>0</v>
      </c>
      <c r="H69" s="360">
        <f t="shared" ca="1" si="32"/>
        <v>0</v>
      </c>
      <c r="I69" s="360">
        <f t="shared" ca="1" si="33"/>
        <v>0</v>
      </c>
      <c r="J69" s="360">
        <f t="shared" ca="1" si="34"/>
        <v>0</v>
      </c>
      <c r="K69" s="361">
        <f t="shared" ca="1" si="35"/>
        <v>0</v>
      </c>
      <c r="L69" s="341"/>
      <c r="M69" s="341"/>
      <c r="N69" s="368"/>
      <c r="O69" s="343"/>
      <c r="P69" s="396"/>
      <c r="Q69" s="343"/>
    </row>
    <row r="70" spans="1:17" s="364" customFormat="1">
      <c r="A70" s="335"/>
      <c r="B70" s="725"/>
      <c r="C70" s="507" t="s">
        <v>1623</v>
      </c>
      <c r="D70" s="357" t="str">
        <f ca="1">IF(ISERROR(OFFSET('HARGA SATUAN'!$D$6,MATCH(RAB!C70,'HARGA SATUAN'!$C$7:$C$1492,0),0)),"",OFFSET('HARGA SATUAN'!$D$6,MATCH(RAB!C70,'HARGA SATUAN'!$C$7:$C$1492,0),0))</f>
        <v/>
      </c>
      <c r="E70" s="358" t="str">
        <f ca="1">IF(B70="+","Unit",IF(ISERROR(OFFSET('HARGA SATUAN'!$E$6,MATCH(RAB!C70,'HARGA SATUAN'!$C$7:$C$1492,0),0)),"",OFFSET('HARGA SATUAN'!$E$6,MATCH(RAB!C70,'HARGA SATUAN'!$C$7:$C$1492,0),0)))</f>
        <v/>
      </c>
      <c r="F70" s="498"/>
      <c r="G70" s="359">
        <f ca="1">IF(ISERROR(OFFSET('HARGA SATUAN'!$I$6,MATCH(RAB!C70,'HARGA SATUAN'!$C$7:$C$1492,0),0)),0,OFFSET('HARGA SATUAN'!$I$6,MATCH(RAB!C70,'HARGA SATUAN'!$C$7:$C$1492,0),0))</f>
        <v>0</v>
      </c>
      <c r="H70" s="360">
        <f t="shared" ref="H70:H74" ca="1" si="36">IF(OR(D70="MDU",D70="MDU-KD"),(IF($O$3="RAB NON MDU","PLN KD",G70*F70)),0)</f>
        <v>0</v>
      </c>
      <c r="I70" s="360">
        <f t="shared" ref="I70:I74" ca="1" si="37">IF(D70="HDW",G70*F70,0)</f>
        <v>0</v>
      </c>
      <c r="J70" s="360">
        <f t="shared" ref="J70:J74" ca="1" si="38">IF(D70="JASA",G70*F70,0)</f>
        <v>0</v>
      </c>
      <c r="K70" s="361">
        <f t="shared" ref="K70:K74" ca="1" si="39">SUM(H70:J70)</f>
        <v>0</v>
      </c>
      <c r="L70" s="341"/>
      <c r="M70" s="341"/>
      <c r="N70" s="368"/>
      <c r="O70" s="343"/>
      <c r="P70" s="396"/>
      <c r="Q70" s="343"/>
    </row>
    <row r="71" spans="1:17" s="364" customFormat="1">
      <c r="A71" s="335"/>
      <c r="B71" s="509">
        <v>1</v>
      </c>
      <c r="C71" s="109" t="s">
        <v>1459</v>
      </c>
      <c r="D71" s="357" t="str">
        <f ca="1">IF(ISERROR(OFFSET('HARGA SATUAN'!$D$6,MATCH(RAB!C71,'HARGA SATUAN'!$C$7:$C$1492,0),0)),"",OFFSET('HARGA SATUAN'!$D$6,MATCH(RAB!C71,'HARGA SATUAN'!$C$7:$C$1492,0),0))</f>
        <v>MDU-KD</v>
      </c>
      <c r="E71" s="358" t="str">
        <f ca="1">IF(B71="+","Unit",IF(ISERROR(OFFSET('HARGA SATUAN'!$E$6,MATCH(RAB!C71,'HARGA SATUAN'!$C$7:$C$1492,0),0)),"",OFFSET('HARGA SATUAN'!$E$6,MATCH(RAB!C71,'HARGA SATUAN'!$C$7:$C$1492,0),0)))</f>
        <v>Mtr</v>
      </c>
      <c r="F71" s="498">
        <v>380</v>
      </c>
      <c r="G71" s="359">
        <f ca="1">IF(ISERROR(OFFSET('HARGA SATUAN'!$I$6,MATCH(RAB!C71,'HARGA SATUAN'!$C$7:$C$1492,0),0)),0,OFFSET('HARGA SATUAN'!$I$6,MATCH(RAB!C71,'HARGA SATUAN'!$C$7:$C$1492,0),0))</f>
        <v>54500</v>
      </c>
      <c r="H71" s="360">
        <f t="shared" ca="1" si="36"/>
        <v>20710000</v>
      </c>
      <c r="I71" s="360">
        <f t="shared" ca="1" si="37"/>
        <v>0</v>
      </c>
      <c r="J71" s="360">
        <f t="shared" ca="1" si="38"/>
        <v>0</v>
      </c>
      <c r="K71" s="361">
        <f t="shared" ca="1" si="39"/>
        <v>20710000</v>
      </c>
      <c r="L71" s="341"/>
      <c r="M71" s="341"/>
      <c r="N71" s="368"/>
      <c r="O71" s="343"/>
      <c r="P71" s="396"/>
      <c r="Q71" s="343"/>
    </row>
    <row r="72" spans="1:17" s="364" customFormat="1">
      <c r="A72" s="335"/>
      <c r="B72" s="509">
        <v>2</v>
      </c>
      <c r="C72" s="109" t="s">
        <v>346</v>
      </c>
      <c r="D72" s="357" t="str">
        <f ca="1">IF(ISERROR(OFFSET('HARGA SATUAN'!$D$6,MATCH(RAB!C72,'HARGA SATUAN'!$C$7:$C$1492,0),0)),"",OFFSET('HARGA SATUAN'!$D$6,MATCH(RAB!C72,'HARGA SATUAN'!$C$7:$C$1492,0),0))</f>
        <v>JASA</v>
      </c>
      <c r="E72" s="358" t="str">
        <f ca="1">IF(B72="+","Unit",IF(ISERROR(OFFSET('HARGA SATUAN'!$E$6,MATCH(RAB!C72,'HARGA SATUAN'!$C$7:$C$1492,0),0)),"",OFFSET('HARGA SATUAN'!$E$6,MATCH(RAB!C72,'HARGA SATUAN'!$C$7:$C$1492,0),0)))</f>
        <v>Per 50 m</v>
      </c>
      <c r="F72" s="498">
        <f>F71/50</f>
        <v>7.6</v>
      </c>
      <c r="G72" s="359">
        <f ca="1">IF(ISERROR(OFFSET('HARGA SATUAN'!$I$6,MATCH(RAB!C72,'HARGA SATUAN'!$C$7:$C$1492,0),0)),0,OFFSET('HARGA SATUAN'!$I$6,MATCH(RAB!C72,'HARGA SATUAN'!$C$7:$C$1492,0),0))</f>
        <v>223500</v>
      </c>
      <c r="H72" s="360">
        <f t="shared" ca="1" si="36"/>
        <v>0</v>
      </c>
      <c r="I72" s="360">
        <f t="shared" ca="1" si="37"/>
        <v>0</v>
      </c>
      <c r="J72" s="360">
        <f t="shared" ca="1" si="38"/>
        <v>1698600</v>
      </c>
      <c r="K72" s="361">
        <f t="shared" ca="1" si="39"/>
        <v>1698600</v>
      </c>
      <c r="L72" s="341"/>
      <c r="M72" s="341"/>
      <c r="N72" s="368"/>
      <c r="O72" s="343"/>
      <c r="P72" s="396"/>
      <c r="Q72" s="343"/>
    </row>
    <row r="73" spans="1:17" s="364" customFormat="1">
      <c r="A73" s="335"/>
      <c r="B73" s="509"/>
      <c r="C73" s="510"/>
      <c r="D73" s="357" t="str">
        <f ca="1">IF(ISERROR(OFFSET('HARGA SATUAN'!$D$6,MATCH(RAB!C73,'HARGA SATUAN'!$C$7:$C$1492,0),0)),"",OFFSET('HARGA SATUAN'!$D$6,MATCH(RAB!C73,'HARGA SATUAN'!$C$7:$C$1492,0),0))</f>
        <v/>
      </c>
      <c r="E73" s="358" t="str">
        <f ca="1">IF(B73="+","Unit",IF(ISERROR(OFFSET('HARGA SATUAN'!$E$6,MATCH(RAB!C73,'HARGA SATUAN'!$C$7:$C$1492,0),0)),"",OFFSET('HARGA SATUAN'!$E$6,MATCH(RAB!C73,'HARGA SATUAN'!$C$7:$C$1492,0),0)))</f>
        <v/>
      </c>
      <c r="F73" s="498"/>
      <c r="G73" s="359">
        <f ca="1">IF(ISERROR(OFFSET('HARGA SATUAN'!$I$6,MATCH(RAB!C73,'HARGA SATUAN'!$C$7:$C$1492,0),0)),0,OFFSET('HARGA SATUAN'!$I$6,MATCH(RAB!C73,'HARGA SATUAN'!$C$7:$C$1492,0),0))</f>
        <v>0</v>
      </c>
      <c r="H73" s="360">
        <f t="shared" ca="1" si="36"/>
        <v>0</v>
      </c>
      <c r="I73" s="360">
        <f t="shared" ca="1" si="37"/>
        <v>0</v>
      </c>
      <c r="J73" s="360">
        <f t="shared" ca="1" si="38"/>
        <v>0</v>
      </c>
      <c r="K73" s="361">
        <f t="shared" ca="1" si="39"/>
        <v>0</v>
      </c>
      <c r="L73" s="341"/>
      <c r="M73" s="341"/>
      <c r="N73" s="368"/>
      <c r="O73" s="343"/>
      <c r="P73" s="396"/>
      <c r="Q73" s="343"/>
    </row>
    <row r="74" spans="1:17" s="364" customFormat="1">
      <c r="A74" s="335"/>
      <c r="B74" s="726"/>
      <c r="C74" s="507" t="s">
        <v>1643</v>
      </c>
      <c r="D74" s="357" t="str">
        <f ca="1">IF(ISERROR(OFFSET('HARGA SATUAN'!$D$6,MATCH(RAB!C74,'HARGA SATUAN'!$C$7:$C$1492,0),0)),"",OFFSET('HARGA SATUAN'!$D$6,MATCH(RAB!C74,'HARGA SATUAN'!$C$7:$C$1492,0),0))</f>
        <v/>
      </c>
      <c r="E74" s="358" t="str">
        <f ca="1">IF(B74="+","Unit",IF(ISERROR(OFFSET('HARGA SATUAN'!$E$6,MATCH(RAB!C74,'HARGA SATUAN'!$C$7:$C$1492,0),0)),"",OFFSET('HARGA SATUAN'!$E$6,MATCH(RAB!C74,'HARGA SATUAN'!$C$7:$C$1492,0),0)))</f>
        <v/>
      </c>
      <c r="F74" s="498"/>
      <c r="G74" s="359">
        <f ca="1">IF(ISERROR(OFFSET('HARGA SATUAN'!$I$6,MATCH(RAB!C74,'HARGA SATUAN'!$C$7:$C$1492,0),0)),0,OFFSET('HARGA SATUAN'!$I$6,MATCH(RAB!C74,'HARGA SATUAN'!$C$7:$C$1492,0),0))</f>
        <v>0</v>
      </c>
      <c r="H74" s="360">
        <f t="shared" ca="1" si="36"/>
        <v>0</v>
      </c>
      <c r="I74" s="360">
        <f t="shared" ca="1" si="37"/>
        <v>0</v>
      </c>
      <c r="J74" s="360">
        <f t="shared" ca="1" si="38"/>
        <v>0</v>
      </c>
      <c r="K74" s="361">
        <f t="shared" ca="1" si="39"/>
        <v>0</v>
      </c>
      <c r="L74" s="341"/>
      <c r="M74" s="341"/>
      <c r="N74" s="368"/>
      <c r="O74" s="343"/>
      <c r="P74" s="396"/>
      <c r="Q74" s="343"/>
    </row>
    <row r="75" spans="1:17" s="364" customFormat="1">
      <c r="A75" s="335"/>
      <c r="B75" s="509" t="s">
        <v>1035</v>
      </c>
      <c r="C75" s="510" t="s">
        <v>1627</v>
      </c>
      <c r="D75" s="357" t="str">
        <f ca="1">IF(ISERROR(OFFSET('HARGA SATUAN'!$D$6,MATCH(RAB!C75,'HARGA SATUAN'!$C$7:$C$1492,0),0)),"",OFFSET('HARGA SATUAN'!$D$6,MATCH(RAB!C75,'HARGA SATUAN'!$C$7:$C$1492,0),0))</f>
        <v/>
      </c>
      <c r="E75" s="358" t="str">
        <f ca="1">IF(B75="+","Unit",IF(ISERROR(OFFSET('HARGA SATUAN'!$E$6,MATCH(RAB!C75,'HARGA SATUAN'!$C$7:$C$1492,0),0)),"",OFFSET('HARGA SATUAN'!$E$6,MATCH(RAB!C75,'HARGA SATUAN'!$C$7:$C$1492,0),0)))</f>
        <v>Unit</v>
      </c>
      <c r="F75" s="498">
        <v>2</v>
      </c>
      <c r="G75" s="359">
        <f ca="1">IF(ISERROR(OFFSET('HARGA SATUAN'!$I$6,MATCH(RAB!C75,'HARGA SATUAN'!$C$7:$C$1492,0),0)),0,OFFSET('HARGA SATUAN'!$I$6,MATCH(RAB!C75,'HARGA SATUAN'!$C$7:$C$1492,0),0))</f>
        <v>0</v>
      </c>
      <c r="H75" s="360">
        <f t="shared" ca="1" si="32"/>
        <v>0</v>
      </c>
      <c r="I75" s="360">
        <f t="shared" ca="1" si="33"/>
        <v>0</v>
      </c>
      <c r="J75" s="360">
        <f t="shared" ca="1" si="34"/>
        <v>0</v>
      </c>
      <c r="K75" s="361">
        <f t="shared" ca="1" si="35"/>
        <v>0</v>
      </c>
      <c r="L75" s="341"/>
      <c r="M75" s="341"/>
      <c r="N75" s="368"/>
      <c r="O75" s="343"/>
      <c r="P75" s="396"/>
      <c r="Q75" s="343"/>
    </row>
    <row r="76" spans="1:17" s="364" customFormat="1">
      <c r="A76" s="335"/>
      <c r="B76" s="509">
        <v>1</v>
      </c>
      <c r="C76" s="510" t="s">
        <v>28</v>
      </c>
      <c r="D76" s="357" t="str">
        <f ca="1">IF(ISERROR(OFFSET('HARGA SATUAN'!$D$6,MATCH(RAB!C76,'HARGA SATUAN'!$C$7:$C$1492,0),0)),"",OFFSET('HARGA SATUAN'!$D$6,MATCH(RAB!C76,'HARGA SATUAN'!$C$7:$C$1492,0),0))</f>
        <v>HDW</v>
      </c>
      <c r="E76" s="358" t="str">
        <f ca="1">IF(B76="+","Unit",IF(ISERROR(OFFSET('HARGA SATUAN'!$E$6,MATCH(RAB!C76,'HARGA SATUAN'!$C$7:$C$1492,0),0)),"",OFFSET('HARGA SATUAN'!$E$6,MATCH(RAB!C76,'HARGA SATUAN'!$C$7:$C$1492,0),0)))</f>
        <v>Bh</v>
      </c>
      <c r="F76" s="498">
        <f>F75*1</f>
        <v>2</v>
      </c>
      <c r="G76" s="359">
        <f ca="1">IF(ISERROR(OFFSET('HARGA SATUAN'!$I$6,MATCH(RAB!C76,'HARGA SATUAN'!$C$7:$C$1492,0),0)),0,OFFSET('HARGA SATUAN'!$I$6,MATCH(RAB!C76,'HARGA SATUAN'!$C$7:$C$1492,0),0))</f>
        <v>26500</v>
      </c>
      <c r="H76" s="360">
        <f t="shared" ca="1" si="24"/>
        <v>0</v>
      </c>
      <c r="I76" s="360">
        <f t="shared" ca="1" si="25"/>
        <v>53000</v>
      </c>
      <c r="J76" s="360">
        <f t="shared" ca="1" si="26"/>
        <v>0</v>
      </c>
      <c r="K76" s="361">
        <f t="shared" ca="1" si="27"/>
        <v>53000</v>
      </c>
      <c r="L76" s="341"/>
      <c r="M76" s="341"/>
      <c r="N76" s="368"/>
      <c r="O76" s="343"/>
      <c r="P76" s="396"/>
      <c r="Q76" s="343"/>
    </row>
    <row r="77" spans="1:17" s="364" customFormat="1">
      <c r="A77" s="335"/>
      <c r="B77" s="509">
        <v>2</v>
      </c>
      <c r="C77" s="510" t="s">
        <v>203</v>
      </c>
      <c r="D77" s="357" t="str">
        <f ca="1">IF(ISERROR(OFFSET('HARGA SATUAN'!$D$6,MATCH(RAB!C77,'HARGA SATUAN'!$C$7:$C$1492,0),0)),"",OFFSET('HARGA SATUAN'!$D$6,MATCH(RAB!C77,'HARGA SATUAN'!$C$7:$C$1492,0),0))</f>
        <v>HDW</v>
      </c>
      <c r="E77" s="358" t="str">
        <f ca="1">IF(B77="+","Unit",IF(ISERROR(OFFSET('HARGA SATUAN'!$E$6,MATCH(RAB!C77,'HARGA SATUAN'!$C$7:$C$1492,0),0)),"",OFFSET('HARGA SATUAN'!$E$6,MATCH(RAB!C77,'HARGA SATUAN'!$C$7:$C$1492,0),0)))</f>
        <v>Bh</v>
      </c>
      <c r="F77" s="498">
        <f>F75*1</f>
        <v>2</v>
      </c>
      <c r="G77" s="359">
        <f ca="1">IF(ISERROR(OFFSET('HARGA SATUAN'!$I$6,MATCH(RAB!C77,'HARGA SATUAN'!$C$7:$C$1492,0),0)),0,OFFSET('HARGA SATUAN'!$I$6,MATCH(RAB!C77,'HARGA SATUAN'!$C$7:$C$1492,0),0))</f>
        <v>12500</v>
      </c>
      <c r="H77" s="360">
        <f t="shared" ca="1" si="24"/>
        <v>0</v>
      </c>
      <c r="I77" s="360">
        <f t="shared" ca="1" si="25"/>
        <v>25000</v>
      </c>
      <c r="J77" s="360">
        <f t="shared" ca="1" si="26"/>
        <v>0</v>
      </c>
      <c r="K77" s="361">
        <f t="shared" ca="1" si="27"/>
        <v>25000</v>
      </c>
      <c r="L77" s="341"/>
      <c r="M77" s="341"/>
      <c r="N77" s="368"/>
      <c r="O77" s="343"/>
      <c r="P77" s="396"/>
      <c r="Q77" s="343"/>
    </row>
    <row r="78" spans="1:17" s="364" customFormat="1">
      <c r="A78" s="335"/>
      <c r="B78" s="509">
        <v>3</v>
      </c>
      <c r="C78" s="510" t="s">
        <v>206</v>
      </c>
      <c r="D78" s="357" t="str">
        <f ca="1">IF(ISERROR(OFFSET('HARGA SATUAN'!$D$6,MATCH(RAB!C78,'HARGA SATUAN'!$C$7:$C$1492,0),0)),"",OFFSET('HARGA SATUAN'!$D$6,MATCH(RAB!C78,'HARGA SATUAN'!$C$7:$C$1492,0),0))</f>
        <v>HDW</v>
      </c>
      <c r="E78" s="358" t="str">
        <f ca="1">IF(B78="+","Unit",IF(ISERROR(OFFSET('HARGA SATUAN'!$E$6,MATCH(RAB!C78,'HARGA SATUAN'!$C$7:$C$1492,0),0)),"",OFFSET('HARGA SATUAN'!$E$6,MATCH(RAB!C78,'HARGA SATUAN'!$C$7:$C$1492,0),0)))</f>
        <v>Mtr</v>
      </c>
      <c r="F78" s="498">
        <f>F75*12</f>
        <v>24</v>
      </c>
      <c r="G78" s="359">
        <f ca="1">IF(ISERROR(OFFSET('HARGA SATUAN'!$I$6,MATCH(RAB!C78,'HARGA SATUAN'!$C$7:$C$1492,0),0)),0,OFFSET('HARGA SATUAN'!$I$6,MATCH(RAB!C78,'HARGA SATUAN'!$C$7:$C$1492,0),0))</f>
        <v>39204</v>
      </c>
      <c r="H78" s="360">
        <f t="shared" ca="1" si="24"/>
        <v>0</v>
      </c>
      <c r="I78" s="360">
        <f t="shared" ca="1" si="25"/>
        <v>940896</v>
      </c>
      <c r="J78" s="360">
        <f t="shared" ca="1" si="26"/>
        <v>0</v>
      </c>
      <c r="K78" s="361">
        <f t="shared" ca="1" si="27"/>
        <v>940896</v>
      </c>
      <c r="L78" s="341"/>
      <c r="M78" s="341"/>
      <c r="N78" s="368"/>
      <c r="O78" s="343"/>
      <c r="P78" s="396"/>
      <c r="Q78" s="343"/>
    </row>
    <row r="79" spans="1:17" s="364" customFormat="1">
      <c r="A79" s="335"/>
      <c r="B79" s="509">
        <v>4</v>
      </c>
      <c r="C79" s="510" t="s">
        <v>287</v>
      </c>
      <c r="D79" s="357" t="str">
        <f ca="1">IF(ISERROR(OFFSET('HARGA SATUAN'!$D$6,MATCH(RAB!C79,'HARGA SATUAN'!$C$7:$C$1492,0),0)),"",OFFSET('HARGA SATUAN'!$D$6,MATCH(RAB!C79,'HARGA SATUAN'!$C$7:$C$1492,0),0))</f>
        <v>HDW</v>
      </c>
      <c r="E79" s="358" t="str">
        <f ca="1">IF(B79="+","Unit",IF(ISERROR(OFFSET('HARGA SATUAN'!$E$6,MATCH(RAB!C79,'HARGA SATUAN'!$C$7:$C$1492,0),0)),"",OFFSET('HARGA SATUAN'!$E$6,MATCH(RAB!C79,'HARGA SATUAN'!$C$7:$C$1492,0),0)))</f>
        <v>Bh</v>
      </c>
      <c r="F79" s="498">
        <f>F75*2</f>
        <v>4</v>
      </c>
      <c r="G79" s="359">
        <f ca="1">IF(ISERROR(OFFSET('HARGA SATUAN'!$I$6,MATCH(RAB!C79,'HARGA SATUAN'!$C$7:$C$1492,0),0)),0,OFFSET('HARGA SATUAN'!$I$6,MATCH(RAB!C79,'HARGA SATUAN'!$C$7:$C$1492,0),0))</f>
        <v>40000</v>
      </c>
      <c r="H79" s="360">
        <f t="shared" ca="1" si="24"/>
        <v>0</v>
      </c>
      <c r="I79" s="360">
        <f t="shared" ca="1" si="25"/>
        <v>160000</v>
      </c>
      <c r="J79" s="360">
        <f t="shared" ca="1" si="26"/>
        <v>0</v>
      </c>
      <c r="K79" s="361">
        <f t="shared" ca="1" si="27"/>
        <v>160000</v>
      </c>
      <c r="L79" s="341"/>
      <c r="M79" s="341"/>
      <c r="N79" s="368"/>
      <c r="O79" s="343"/>
      <c r="P79" s="396"/>
      <c r="Q79" s="343"/>
    </row>
    <row r="80" spans="1:17" s="364" customFormat="1">
      <c r="A80" s="335"/>
      <c r="B80" s="509">
        <v>5</v>
      </c>
      <c r="C80" s="510" t="s">
        <v>26</v>
      </c>
      <c r="D80" s="357" t="str">
        <f ca="1">IF(ISERROR(OFFSET('HARGA SATUAN'!$D$6,MATCH(RAB!C80,'HARGA SATUAN'!$C$7:$C$1492,0),0)),"",OFFSET('HARGA SATUAN'!$D$6,MATCH(RAB!C80,'HARGA SATUAN'!$C$7:$C$1492,0),0))</f>
        <v>HDW</v>
      </c>
      <c r="E80" s="358" t="str">
        <f ca="1">IF(B80="+","Unit",IF(ISERROR(OFFSET('HARGA SATUAN'!$E$6,MATCH(RAB!C80,'HARGA SATUAN'!$C$7:$C$1492,0),0)),"",OFFSET('HARGA SATUAN'!$E$6,MATCH(RAB!C80,'HARGA SATUAN'!$C$7:$C$1492,0),0)))</f>
        <v>Bh</v>
      </c>
      <c r="F80" s="498">
        <f>F75*1</f>
        <v>2</v>
      </c>
      <c r="G80" s="359">
        <f ca="1">IF(ISERROR(OFFSET('HARGA SATUAN'!$I$6,MATCH(RAB!C80,'HARGA SATUAN'!$C$7:$C$1492,0),0)),0,OFFSET('HARGA SATUAN'!$I$6,MATCH(RAB!C80,'HARGA SATUAN'!$C$7:$C$1492,0),0))</f>
        <v>2500</v>
      </c>
      <c r="H80" s="360">
        <f t="shared" ca="1" si="24"/>
        <v>0</v>
      </c>
      <c r="I80" s="360">
        <f t="shared" ca="1" si="25"/>
        <v>5000</v>
      </c>
      <c r="J80" s="360">
        <f t="shared" ca="1" si="26"/>
        <v>0</v>
      </c>
      <c r="K80" s="361">
        <f t="shared" ca="1" si="27"/>
        <v>5000</v>
      </c>
      <c r="L80" s="341"/>
      <c r="M80" s="341"/>
      <c r="N80" s="368"/>
      <c r="O80" s="343"/>
      <c r="P80" s="396"/>
      <c r="Q80" s="343"/>
    </row>
    <row r="81" spans="1:17" s="364" customFormat="1">
      <c r="A81" s="335"/>
      <c r="B81" s="509">
        <v>6</v>
      </c>
      <c r="C81" s="510" t="s">
        <v>760</v>
      </c>
      <c r="D81" s="357" t="str">
        <f ca="1">IF(ISERROR(OFFSET('HARGA SATUAN'!$D$6,MATCH(RAB!C81,'HARGA SATUAN'!$C$7:$C$1492,0),0)),"",OFFSET('HARGA SATUAN'!$D$6,MATCH(RAB!C81,'HARGA SATUAN'!$C$7:$C$1492,0),0))</f>
        <v>JASA</v>
      </c>
      <c r="E81" s="358" t="str">
        <f ca="1">IF(B81="+","Unit",IF(ISERROR(OFFSET('HARGA SATUAN'!$E$6,MATCH(RAB!C81,'HARGA SATUAN'!$C$7:$C$1492,0),0)),"",OFFSET('HARGA SATUAN'!$E$6,MATCH(RAB!C81,'HARGA SATUAN'!$C$7:$C$1492,0),0)))</f>
        <v>Unit</v>
      </c>
      <c r="F81" s="498">
        <f>F75*1</f>
        <v>2</v>
      </c>
      <c r="G81" s="359">
        <f ca="1">IF(ISERROR(OFFSET('HARGA SATUAN'!$I$6,MATCH(RAB!C81,'HARGA SATUAN'!$C$7:$C$1492,0),0)),0,OFFSET('HARGA SATUAN'!$I$6,MATCH(RAB!C81,'HARGA SATUAN'!$C$7:$C$1492,0),0))</f>
        <v>36600</v>
      </c>
      <c r="H81" s="360">
        <f t="shared" ref="H81:H90" ca="1" si="40">IF(OR(D81="MDU",D81="MDU-KD"),(IF($O$3="RAB NON MDU","PLN KD",G81*F81)),0)</f>
        <v>0</v>
      </c>
      <c r="I81" s="360">
        <f t="shared" ref="I81:I90" ca="1" si="41">IF(D81="HDW",G81*F81,0)</f>
        <v>0</v>
      </c>
      <c r="J81" s="360">
        <f t="shared" ref="J81:J90" ca="1" si="42">IF(D81="JASA",G81*F81,0)</f>
        <v>73200</v>
      </c>
      <c r="K81" s="361">
        <f t="shared" ref="K81:K90" ca="1" si="43">SUM(H81:J81)</f>
        <v>73200</v>
      </c>
      <c r="L81" s="341"/>
      <c r="M81" s="341"/>
      <c r="N81" s="368"/>
      <c r="O81" s="343"/>
      <c r="P81" s="396"/>
      <c r="Q81" s="343"/>
    </row>
    <row r="82" spans="1:17" s="364" customFormat="1">
      <c r="A82" s="335"/>
      <c r="B82" s="509"/>
      <c r="C82" s="510"/>
      <c r="D82" s="357" t="str">
        <f ca="1">IF(ISERROR(OFFSET('HARGA SATUAN'!$D$6,MATCH(RAB!C82,'HARGA SATUAN'!$C$7:$C$1492,0),0)),"",OFFSET('HARGA SATUAN'!$D$6,MATCH(RAB!C82,'HARGA SATUAN'!$C$7:$C$1492,0),0))</f>
        <v/>
      </c>
      <c r="E82" s="358" t="str">
        <f ca="1">IF(B82="+","Unit",IF(ISERROR(OFFSET('HARGA SATUAN'!$E$6,MATCH(RAB!C82,'HARGA SATUAN'!$C$7:$C$1492,0),0)),"",OFFSET('HARGA SATUAN'!$E$6,MATCH(RAB!C82,'HARGA SATUAN'!$C$7:$C$1492,0),0)))</f>
        <v/>
      </c>
      <c r="F82" s="518"/>
      <c r="G82" s="359">
        <f ca="1">IF(ISERROR(OFFSET('HARGA SATUAN'!$I$6,MATCH(RAB!C82,'HARGA SATUAN'!$C$7:$C$1492,0),0)),0,OFFSET('HARGA SATUAN'!$I$6,MATCH(RAB!C82,'HARGA SATUAN'!$C$7:$C$1492,0),0))</f>
        <v>0</v>
      </c>
      <c r="H82" s="360">
        <f t="shared" ca="1" si="40"/>
        <v>0</v>
      </c>
      <c r="I82" s="360">
        <f t="shared" ca="1" si="41"/>
        <v>0</v>
      </c>
      <c r="J82" s="360">
        <f t="shared" ca="1" si="42"/>
        <v>0</v>
      </c>
      <c r="K82" s="361">
        <f t="shared" ca="1" si="43"/>
        <v>0</v>
      </c>
      <c r="L82" s="341"/>
      <c r="M82" s="341"/>
      <c r="N82" s="368"/>
      <c r="O82" s="343"/>
      <c r="P82" s="396"/>
      <c r="Q82" s="343"/>
    </row>
    <row r="83" spans="1:17" s="364" customFormat="1">
      <c r="A83" s="335"/>
      <c r="B83" s="509" t="s">
        <v>1035</v>
      </c>
      <c r="C83" s="510" t="s">
        <v>1628</v>
      </c>
      <c r="D83" s="357" t="str">
        <f ca="1">IF(ISERROR(OFFSET('HARGA SATUAN'!$D$6,MATCH(RAB!C83,'HARGA SATUAN'!$C$7:$C$1492,0),0)),"",OFFSET('HARGA SATUAN'!$D$6,MATCH(RAB!C83,'HARGA SATUAN'!$C$7:$C$1492,0),0))</f>
        <v/>
      </c>
      <c r="E83" s="358" t="str">
        <f ca="1">IF(B83="+","Unit",IF(ISERROR(OFFSET('HARGA SATUAN'!$E$6,MATCH(RAB!C83,'HARGA SATUAN'!$C$7:$C$1492,0),0)),"",OFFSET('HARGA SATUAN'!$E$6,MATCH(RAB!C83,'HARGA SATUAN'!$C$7:$C$1492,0),0)))</f>
        <v>Unit</v>
      </c>
      <c r="F83" s="498">
        <f>F75</f>
        <v>2</v>
      </c>
      <c r="G83" s="359">
        <f ca="1">IF(ISERROR(OFFSET('HARGA SATUAN'!$I$6,MATCH(RAB!C83,'HARGA SATUAN'!$C$7:$C$1492,0),0)),0,OFFSET('HARGA SATUAN'!$I$6,MATCH(RAB!C83,'HARGA SATUAN'!$C$7:$C$1492,0),0))</f>
        <v>0</v>
      </c>
      <c r="H83" s="360">
        <f t="shared" ca="1" si="40"/>
        <v>0</v>
      </c>
      <c r="I83" s="360">
        <f t="shared" ca="1" si="41"/>
        <v>0</v>
      </c>
      <c r="J83" s="360">
        <f t="shared" ca="1" si="42"/>
        <v>0</v>
      </c>
      <c r="K83" s="361">
        <f t="shared" ca="1" si="43"/>
        <v>0</v>
      </c>
      <c r="L83" s="341"/>
      <c r="M83" s="341"/>
      <c r="N83" s="368"/>
      <c r="O83" s="343"/>
      <c r="P83" s="396"/>
      <c r="Q83" s="343"/>
    </row>
    <row r="84" spans="1:17" s="364" customFormat="1">
      <c r="A84" s="335"/>
      <c r="B84" s="509">
        <v>1</v>
      </c>
      <c r="C84" s="510" t="s">
        <v>597</v>
      </c>
      <c r="D84" s="357" t="str">
        <f ca="1">IF(ISERROR(OFFSET('HARGA SATUAN'!$D$6,MATCH(RAB!C84,'HARGA SATUAN'!$C$7:$C$1492,0),0)),"",OFFSET('HARGA SATUAN'!$D$6,MATCH(RAB!C84,'HARGA SATUAN'!$C$7:$C$1492,0),0))</f>
        <v>HDW</v>
      </c>
      <c r="E84" s="358" t="str">
        <f ca="1">IF(B84="+","Unit",IF(ISERROR(OFFSET('HARGA SATUAN'!$E$6,MATCH(RAB!C84,'HARGA SATUAN'!$C$7:$C$1492,0),0)),"",OFFSET('HARGA SATUAN'!$E$6,MATCH(RAB!C84,'HARGA SATUAN'!$C$7:$C$1492,0),0)))</f>
        <v>Bh</v>
      </c>
      <c r="F84" s="498">
        <f>F83*1</f>
        <v>2</v>
      </c>
      <c r="G84" s="359">
        <f ca="1">IF(ISERROR(OFFSET('HARGA SATUAN'!$I$6,MATCH(RAB!C84,'HARGA SATUAN'!$C$7:$C$1492,0),0)),0,OFFSET('HARGA SATUAN'!$I$6,MATCH(RAB!C84,'HARGA SATUAN'!$C$7:$C$1492,0),0))</f>
        <v>120900</v>
      </c>
      <c r="H84" s="360">
        <f t="shared" ca="1" si="40"/>
        <v>0</v>
      </c>
      <c r="I84" s="360">
        <f t="shared" ca="1" si="41"/>
        <v>241800</v>
      </c>
      <c r="J84" s="360">
        <f t="shared" ca="1" si="42"/>
        <v>0</v>
      </c>
      <c r="K84" s="361">
        <f t="shared" ca="1" si="43"/>
        <v>241800</v>
      </c>
      <c r="L84" s="341"/>
      <c r="M84" s="341"/>
      <c r="N84" s="368"/>
      <c r="O84" s="343"/>
      <c r="P84" s="396"/>
      <c r="Q84" s="343"/>
    </row>
    <row r="85" spans="1:17" s="364" customFormat="1">
      <c r="A85" s="335"/>
      <c r="B85" s="509">
        <v>2</v>
      </c>
      <c r="C85" s="510" t="s">
        <v>261</v>
      </c>
      <c r="D85" s="357" t="str">
        <f ca="1">IF(ISERROR(OFFSET('HARGA SATUAN'!$D$6,MATCH(RAB!C85,'HARGA SATUAN'!$C$7:$C$1492,0),0)),"",OFFSET('HARGA SATUAN'!$D$6,MATCH(RAB!C85,'HARGA SATUAN'!$C$7:$C$1492,0),0))</f>
        <v>HDW</v>
      </c>
      <c r="E85" s="358" t="str">
        <f ca="1">IF(B85="+","Unit",IF(ISERROR(OFFSET('HARGA SATUAN'!$E$6,MATCH(RAB!C85,'HARGA SATUAN'!$C$7:$C$1492,0),0)),"",OFFSET('HARGA SATUAN'!$E$6,MATCH(RAB!C85,'HARGA SATUAN'!$C$7:$C$1492,0),0)))</f>
        <v>Bh</v>
      </c>
      <c r="F85" s="498">
        <f>F83*1</f>
        <v>2</v>
      </c>
      <c r="G85" s="359">
        <f ca="1">IF(ISERROR(OFFSET('HARGA SATUAN'!$I$6,MATCH(RAB!C85,'HARGA SATUAN'!$C$7:$C$1492,0),0)),0,OFFSET('HARGA SATUAN'!$I$6,MATCH(RAB!C85,'HARGA SATUAN'!$C$7:$C$1492,0),0))</f>
        <v>135800</v>
      </c>
      <c r="H85" s="360">
        <f t="shared" ca="1" si="40"/>
        <v>0</v>
      </c>
      <c r="I85" s="360">
        <f t="shared" ca="1" si="41"/>
        <v>271600</v>
      </c>
      <c r="J85" s="360">
        <f t="shared" ca="1" si="42"/>
        <v>0</v>
      </c>
      <c r="K85" s="361">
        <f t="shared" ca="1" si="43"/>
        <v>271600</v>
      </c>
      <c r="L85" s="341"/>
      <c r="M85" s="341"/>
      <c r="N85" s="368"/>
      <c r="O85" s="343"/>
      <c r="P85" s="396"/>
      <c r="Q85" s="343"/>
    </row>
    <row r="86" spans="1:17" s="364" customFormat="1">
      <c r="A86" s="335"/>
      <c r="B86" s="509">
        <v>3</v>
      </c>
      <c r="C86" s="510" t="s">
        <v>214</v>
      </c>
      <c r="D86" s="357" t="str">
        <f ca="1">IF(ISERROR(OFFSET('HARGA SATUAN'!$D$6,MATCH(RAB!C86,'HARGA SATUAN'!$C$7:$C$1492,0),0)),"",OFFSET('HARGA SATUAN'!$D$6,MATCH(RAB!C86,'HARGA SATUAN'!$C$7:$C$1492,0),0))</f>
        <v>HDW</v>
      </c>
      <c r="E86" s="358" t="str">
        <f ca="1">IF(B86="+","Unit",IF(ISERROR(OFFSET('HARGA SATUAN'!$E$6,MATCH(RAB!C86,'HARGA SATUAN'!$C$7:$C$1492,0),0)),"",OFFSET('HARGA SATUAN'!$E$6,MATCH(RAB!C86,'HARGA SATUAN'!$C$7:$C$1492,0),0)))</f>
        <v>Bh</v>
      </c>
      <c r="F86" s="518">
        <f>F83*1</f>
        <v>2</v>
      </c>
      <c r="G86" s="359">
        <f ca="1">IF(ISERROR(OFFSET('HARGA SATUAN'!$I$6,MATCH(RAB!C86,'HARGA SATUAN'!$C$7:$C$1492,0),0)),0,OFFSET('HARGA SATUAN'!$I$6,MATCH(RAB!C86,'HARGA SATUAN'!$C$7:$C$1492,0),0))</f>
        <v>4500</v>
      </c>
      <c r="H86" s="360">
        <f t="shared" ca="1" si="40"/>
        <v>0</v>
      </c>
      <c r="I86" s="360">
        <f t="shared" ca="1" si="41"/>
        <v>9000</v>
      </c>
      <c r="J86" s="360">
        <f t="shared" ca="1" si="42"/>
        <v>0</v>
      </c>
      <c r="K86" s="361">
        <f t="shared" ca="1" si="43"/>
        <v>9000</v>
      </c>
      <c r="L86" s="341"/>
      <c r="M86" s="341"/>
      <c r="N86" s="368"/>
      <c r="O86" s="343"/>
      <c r="P86" s="396"/>
      <c r="Q86" s="343"/>
    </row>
    <row r="87" spans="1:17" s="364" customFormat="1">
      <c r="A87" s="335"/>
      <c r="B87" s="509">
        <v>4</v>
      </c>
      <c r="C87" s="510" t="s">
        <v>768</v>
      </c>
      <c r="D87" s="357" t="str">
        <f ca="1">IF(ISERROR(OFFSET('HARGA SATUAN'!$D$6,MATCH(RAB!C87,'HARGA SATUAN'!$C$7:$C$1492,0),0)),"",OFFSET('HARGA SATUAN'!$D$6,MATCH(RAB!C87,'HARGA SATUAN'!$C$7:$C$1492,0),0))</f>
        <v>JASA</v>
      </c>
      <c r="E87" s="358" t="str">
        <f ca="1">IF(B87="+","Unit",IF(ISERROR(OFFSET('HARGA SATUAN'!$E$6,MATCH(RAB!C87,'HARGA SATUAN'!$C$7:$C$1492,0),0)),"",OFFSET('HARGA SATUAN'!$E$6,MATCH(RAB!C87,'HARGA SATUAN'!$C$7:$C$1492,0),0)))</f>
        <v>Unit</v>
      </c>
      <c r="F87" s="498">
        <f>F83*1</f>
        <v>2</v>
      </c>
      <c r="G87" s="359">
        <f ca="1">IF(ISERROR(OFFSET('HARGA SATUAN'!$I$6,MATCH(RAB!C87,'HARGA SATUAN'!$C$7:$C$1492,0),0)),0,OFFSET('HARGA SATUAN'!$I$6,MATCH(RAB!C87,'HARGA SATUAN'!$C$7:$C$1492,0),0))</f>
        <v>55500</v>
      </c>
      <c r="H87" s="360">
        <f t="shared" ca="1" si="40"/>
        <v>0</v>
      </c>
      <c r="I87" s="360">
        <f t="shared" ca="1" si="41"/>
        <v>0</v>
      </c>
      <c r="J87" s="360">
        <f t="shared" ca="1" si="42"/>
        <v>111000</v>
      </c>
      <c r="K87" s="361">
        <f t="shared" ca="1" si="43"/>
        <v>111000</v>
      </c>
      <c r="L87" s="341"/>
      <c r="M87" s="341"/>
      <c r="N87" s="368"/>
      <c r="O87" s="343"/>
      <c r="P87" s="396"/>
      <c r="Q87" s="343"/>
    </row>
    <row r="88" spans="1:17" s="364" customFormat="1">
      <c r="A88" s="335"/>
      <c r="B88" s="509"/>
      <c r="C88" s="510"/>
      <c r="D88" s="357" t="str">
        <f ca="1">IF(ISERROR(OFFSET('HARGA SATUAN'!$D$6,MATCH(RAB!C88,'HARGA SATUAN'!$C$7:$C$1492,0),0)),"",OFFSET('HARGA SATUAN'!$D$6,MATCH(RAB!C88,'HARGA SATUAN'!$C$7:$C$1492,0),0))</f>
        <v/>
      </c>
      <c r="E88" s="358" t="str">
        <f ca="1">IF(B88="+","Unit",IF(ISERROR(OFFSET('HARGA SATUAN'!$E$6,MATCH(RAB!C88,'HARGA SATUAN'!$C$7:$C$1492,0),0)),"",OFFSET('HARGA SATUAN'!$E$6,MATCH(RAB!C88,'HARGA SATUAN'!$C$7:$C$1492,0),0)))</f>
        <v/>
      </c>
      <c r="F88" s="518"/>
      <c r="G88" s="359">
        <f ca="1">IF(ISERROR(OFFSET('HARGA SATUAN'!$I$6,MATCH(RAB!C88,'HARGA SATUAN'!$C$7:$C$1492,0),0)),0,OFFSET('HARGA SATUAN'!$I$6,MATCH(RAB!C88,'HARGA SATUAN'!$C$7:$C$1492,0),0))</f>
        <v>0</v>
      </c>
      <c r="H88" s="360">
        <f t="shared" ca="1" si="40"/>
        <v>0</v>
      </c>
      <c r="I88" s="360">
        <f t="shared" ca="1" si="41"/>
        <v>0</v>
      </c>
      <c r="J88" s="360">
        <f t="shared" ca="1" si="42"/>
        <v>0</v>
      </c>
      <c r="K88" s="361">
        <f t="shared" ca="1" si="43"/>
        <v>0</v>
      </c>
      <c r="L88" s="341"/>
      <c r="M88" s="341"/>
      <c r="N88" s="368"/>
      <c r="O88" s="343"/>
      <c r="P88" s="396"/>
      <c r="Q88" s="343"/>
    </row>
    <row r="89" spans="1:17" s="364" customFormat="1">
      <c r="A89" s="335"/>
      <c r="B89" s="512" t="s">
        <v>1035</v>
      </c>
      <c r="C89" s="513" t="s">
        <v>1629</v>
      </c>
      <c r="D89" s="357" t="str">
        <f ca="1">IF(ISERROR(OFFSET('HARGA SATUAN'!$D$6,MATCH(RAB!C89,'HARGA SATUAN'!$C$7:$C$1492,0),0)),"",OFFSET('HARGA SATUAN'!$D$6,MATCH(RAB!C89,'HARGA SATUAN'!$C$7:$C$1492,0),0))</f>
        <v/>
      </c>
      <c r="E89" s="358" t="str">
        <f ca="1">IF(B89="+","Unit",IF(ISERROR(OFFSET('HARGA SATUAN'!$E$6,MATCH(RAB!C89,'HARGA SATUAN'!$C$7:$C$1492,0),0)),"",OFFSET('HARGA SATUAN'!$E$6,MATCH(RAB!C89,'HARGA SATUAN'!$C$7:$C$1492,0),0)))</f>
        <v>Unit</v>
      </c>
      <c r="F89" s="498">
        <v>2</v>
      </c>
      <c r="G89" s="359">
        <f ca="1">IF(ISERROR(OFFSET('HARGA SATUAN'!$I$6,MATCH(RAB!C89,'HARGA SATUAN'!$C$7:$C$1492,0),0)),0,OFFSET('HARGA SATUAN'!$I$6,MATCH(RAB!C89,'HARGA SATUAN'!$C$7:$C$1492,0),0))</f>
        <v>0</v>
      </c>
      <c r="H89" s="360">
        <f t="shared" ca="1" si="40"/>
        <v>0</v>
      </c>
      <c r="I89" s="360">
        <f t="shared" ca="1" si="41"/>
        <v>0</v>
      </c>
      <c r="J89" s="360">
        <f t="shared" ca="1" si="42"/>
        <v>0</v>
      </c>
      <c r="K89" s="361">
        <f t="shared" ca="1" si="43"/>
        <v>0</v>
      </c>
      <c r="L89" s="341"/>
      <c r="M89" s="341"/>
      <c r="N89" s="368"/>
      <c r="O89" s="343"/>
      <c r="P89" s="396"/>
      <c r="Q89" s="343"/>
    </row>
    <row r="90" spans="1:17" s="364" customFormat="1">
      <c r="A90" s="335"/>
      <c r="B90" s="512">
        <v>1</v>
      </c>
      <c r="C90" s="513" t="s">
        <v>30</v>
      </c>
      <c r="D90" s="357" t="str">
        <f ca="1">IF(ISERROR(OFFSET('HARGA SATUAN'!$D$6,MATCH(RAB!C90,'HARGA SATUAN'!$C$7:$C$1492,0),0)),"",OFFSET('HARGA SATUAN'!$D$6,MATCH(RAB!C90,'HARGA SATUAN'!$C$7:$C$1492,0),0))</f>
        <v>HDW</v>
      </c>
      <c r="E90" s="358" t="str">
        <f ca="1">IF(B90="+","Unit",IF(ISERROR(OFFSET('HARGA SATUAN'!$E$6,MATCH(RAB!C90,'HARGA SATUAN'!$C$7:$C$1492,0),0)),"",OFFSET('HARGA SATUAN'!$E$6,MATCH(RAB!C90,'HARGA SATUAN'!$C$7:$C$1492,0),0)))</f>
        <v>Bh</v>
      </c>
      <c r="F90" s="498">
        <f>F89*1</f>
        <v>2</v>
      </c>
      <c r="G90" s="359">
        <f ca="1">IF(ISERROR(OFFSET('HARGA SATUAN'!$I$6,MATCH(RAB!C90,'HARGA SATUAN'!$C$7:$C$1492,0),0)),0,OFFSET('HARGA SATUAN'!$I$6,MATCH(RAB!C90,'HARGA SATUAN'!$C$7:$C$1492,0),0))</f>
        <v>47459</v>
      </c>
      <c r="H90" s="360">
        <f t="shared" ca="1" si="40"/>
        <v>0</v>
      </c>
      <c r="I90" s="360">
        <f t="shared" ca="1" si="41"/>
        <v>94918</v>
      </c>
      <c r="J90" s="360">
        <f t="shared" ca="1" si="42"/>
        <v>0</v>
      </c>
      <c r="K90" s="361">
        <f t="shared" ca="1" si="43"/>
        <v>94918</v>
      </c>
      <c r="L90" s="341"/>
      <c r="M90" s="341"/>
      <c r="N90" s="368"/>
      <c r="O90" s="343"/>
      <c r="P90" s="396"/>
      <c r="Q90" s="343"/>
    </row>
    <row r="91" spans="1:17" s="364" customFormat="1">
      <c r="A91" s="335"/>
      <c r="B91" s="512">
        <v>2</v>
      </c>
      <c r="C91" s="513" t="s">
        <v>32</v>
      </c>
      <c r="D91" s="357" t="str">
        <f ca="1">IF(ISERROR(OFFSET('HARGA SATUAN'!$D$6,MATCH(RAB!C91,'HARGA SATUAN'!$C$7:$C$1492,0),0)),"",OFFSET('HARGA SATUAN'!$D$6,MATCH(RAB!C91,'HARGA SATUAN'!$C$7:$C$1492,0),0))</f>
        <v>HDW</v>
      </c>
      <c r="E91" s="358" t="str">
        <f ca="1">IF(B91="+","Unit",IF(ISERROR(OFFSET('HARGA SATUAN'!$E$6,MATCH(RAB!C91,'HARGA SATUAN'!$C$7:$C$1492,0),0)),"",OFFSET('HARGA SATUAN'!$E$6,MATCH(RAB!C91,'HARGA SATUAN'!$C$7:$C$1492,0),0)))</f>
        <v>Mtr</v>
      </c>
      <c r="F91" s="498">
        <f>F89*0.8</f>
        <v>1.6</v>
      </c>
      <c r="G91" s="359">
        <f ca="1">IF(ISERROR(OFFSET('HARGA SATUAN'!$I$6,MATCH(RAB!C91,'HARGA SATUAN'!$C$7:$C$1492,0),0)),0,OFFSET('HARGA SATUAN'!$I$6,MATCH(RAB!C91,'HARGA SATUAN'!$C$7:$C$1492,0),0))</f>
        <v>30000</v>
      </c>
      <c r="H91" s="360">
        <f t="shared" ref="H91:H100" ca="1" si="44">IF(OR(D91="MDU",D91="MDU-KD"),(IF($O$3="RAB NON MDU","PLN KD",G91*F91)),0)</f>
        <v>0</v>
      </c>
      <c r="I91" s="360">
        <f t="shared" ref="I91:I100" ca="1" si="45">IF(D91="HDW",G91*F91,0)</f>
        <v>48000</v>
      </c>
      <c r="J91" s="360">
        <f t="shared" ref="J91:J100" ca="1" si="46">IF(D91="JASA",G91*F91,0)</f>
        <v>0</v>
      </c>
      <c r="K91" s="361">
        <f t="shared" ref="K91:K100" ca="1" si="47">SUM(H91:J91)</f>
        <v>48000</v>
      </c>
      <c r="L91" s="341"/>
      <c r="M91" s="341"/>
      <c r="N91" s="368"/>
      <c r="O91" s="343"/>
      <c r="P91" s="396"/>
      <c r="Q91" s="343"/>
    </row>
    <row r="92" spans="1:17" s="364" customFormat="1">
      <c r="A92" s="335"/>
      <c r="B92" s="512">
        <v>3</v>
      </c>
      <c r="C92" s="513" t="s">
        <v>33</v>
      </c>
      <c r="D92" s="357" t="str">
        <f ca="1">IF(ISERROR(OFFSET('HARGA SATUAN'!$D$6,MATCH(RAB!C92,'HARGA SATUAN'!$C$7:$C$1492,0),0)),"",OFFSET('HARGA SATUAN'!$D$6,MATCH(RAB!C92,'HARGA SATUAN'!$C$7:$C$1492,0),0))</f>
        <v>HDW</v>
      </c>
      <c r="E92" s="358" t="str">
        <f ca="1">IF(B92="+","Unit",IF(ISERROR(OFFSET('HARGA SATUAN'!$E$6,MATCH(RAB!C92,'HARGA SATUAN'!$C$7:$C$1492,0),0)),"",OFFSET('HARGA SATUAN'!$E$6,MATCH(RAB!C92,'HARGA SATUAN'!$C$7:$C$1492,0),0)))</f>
        <v>Bh</v>
      </c>
      <c r="F92" s="498">
        <f>F89*1</f>
        <v>2</v>
      </c>
      <c r="G92" s="359">
        <f ca="1">IF(ISERROR(OFFSET('HARGA SATUAN'!$I$6,MATCH(RAB!C92,'HARGA SATUAN'!$C$7:$C$1492,0),0)),0,OFFSET('HARGA SATUAN'!$I$6,MATCH(RAB!C92,'HARGA SATUAN'!$C$7:$C$1492,0),0))</f>
        <v>9500</v>
      </c>
      <c r="H92" s="360">
        <f t="shared" ca="1" si="44"/>
        <v>0</v>
      </c>
      <c r="I92" s="360">
        <f t="shared" ca="1" si="45"/>
        <v>19000</v>
      </c>
      <c r="J92" s="360">
        <f t="shared" ca="1" si="46"/>
        <v>0</v>
      </c>
      <c r="K92" s="361">
        <f t="shared" ca="1" si="47"/>
        <v>19000</v>
      </c>
      <c r="L92" s="341"/>
      <c r="M92" s="341"/>
      <c r="N92" s="368"/>
      <c r="O92" s="343"/>
      <c r="P92" s="396"/>
      <c r="Q92" s="343"/>
    </row>
    <row r="93" spans="1:17" s="364" customFormat="1">
      <c r="A93" s="335"/>
      <c r="B93" s="512">
        <v>4</v>
      </c>
      <c r="C93" s="513" t="s">
        <v>737</v>
      </c>
      <c r="D93" s="357" t="str">
        <f ca="1">IF(ISERROR(OFFSET('HARGA SATUAN'!$D$6,MATCH(RAB!C93,'HARGA SATUAN'!$C$7:$C$1492,0),0)),"",OFFSET('HARGA SATUAN'!$D$6,MATCH(RAB!C93,'HARGA SATUAN'!$C$7:$C$1492,0),0))</f>
        <v>JASA</v>
      </c>
      <c r="E93" s="358" t="str">
        <f ca="1">IF(B93="+","Unit",IF(ISERROR(OFFSET('HARGA SATUAN'!$E$6,MATCH(RAB!C93,'HARGA SATUAN'!$C$7:$C$1492,0),0)),"",OFFSET('HARGA SATUAN'!$E$6,MATCH(RAB!C93,'HARGA SATUAN'!$C$7:$C$1492,0),0)))</f>
        <v>Unit</v>
      </c>
      <c r="F93" s="498">
        <f>F89*1</f>
        <v>2</v>
      </c>
      <c r="G93" s="359">
        <f ca="1">IF(ISERROR(OFFSET('HARGA SATUAN'!$I$6,MATCH(RAB!C93,'HARGA SATUAN'!$C$7:$C$1492,0),0)),0,OFFSET('HARGA SATUAN'!$I$6,MATCH(RAB!C93,'HARGA SATUAN'!$C$7:$C$1492,0),0))</f>
        <v>16200</v>
      </c>
      <c r="H93" s="360">
        <f t="shared" ca="1" si="44"/>
        <v>0</v>
      </c>
      <c r="I93" s="360">
        <f t="shared" ca="1" si="45"/>
        <v>0</v>
      </c>
      <c r="J93" s="360">
        <f t="shared" ca="1" si="46"/>
        <v>32400</v>
      </c>
      <c r="K93" s="361">
        <f t="shared" ca="1" si="47"/>
        <v>32400</v>
      </c>
      <c r="L93" s="341"/>
      <c r="M93" s="341"/>
      <c r="N93" s="368"/>
      <c r="O93" s="343"/>
      <c r="P93" s="396"/>
      <c r="Q93" s="343"/>
    </row>
    <row r="94" spans="1:17" s="364" customFormat="1">
      <c r="A94" s="335"/>
      <c r="B94" s="509"/>
      <c r="C94" s="510"/>
      <c r="D94" s="357" t="str">
        <f ca="1">IF(ISERROR(OFFSET('HARGA SATUAN'!$D$6,MATCH(RAB!C94,'HARGA SATUAN'!$C$7:$C$1492,0),0)),"",OFFSET('HARGA SATUAN'!$D$6,MATCH(RAB!C94,'HARGA SATUAN'!$C$7:$C$1492,0),0))</f>
        <v/>
      </c>
      <c r="E94" s="358" t="str">
        <f ca="1">IF(B94="+","Unit",IF(ISERROR(OFFSET('HARGA SATUAN'!$E$6,MATCH(RAB!C94,'HARGA SATUAN'!$C$7:$C$1492,0),0)),"",OFFSET('HARGA SATUAN'!$E$6,MATCH(RAB!C94,'HARGA SATUAN'!$C$7:$C$1492,0),0)))</f>
        <v/>
      </c>
      <c r="F94" s="498"/>
      <c r="G94" s="359">
        <f ca="1">IF(ISERROR(OFFSET('HARGA SATUAN'!$I$6,MATCH(RAB!C94,'HARGA SATUAN'!$C$7:$C$1492,0),0)),0,OFFSET('HARGA SATUAN'!$I$6,MATCH(RAB!C94,'HARGA SATUAN'!$C$7:$C$1492,0),0))</f>
        <v>0</v>
      </c>
      <c r="H94" s="360">
        <f t="shared" ca="1" si="44"/>
        <v>0</v>
      </c>
      <c r="I94" s="360">
        <f t="shared" ca="1" si="45"/>
        <v>0</v>
      </c>
      <c r="J94" s="360">
        <f t="shared" ca="1" si="46"/>
        <v>0</v>
      </c>
      <c r="K94" s="361">
        <f t="shared" ca="1" si="47"/>
        <v>0</v>
      </c>
      <c r="L94" s="341"/>
      <c r="M94" s="341"/>
      <c r="N94" s="368"/>
      <c r="O94" s="343"/>
      <c r="P94" s="396"/>
      <c r="Q94" s="343"/>
    </row>
    <row r="95" spans="1:17" s="364" customFormat="1">
      <c r="A95" s="335"/>
      <c r="B95" s="523" t="s">
        <v>1035</v>
      </c>
      <c r="C95" s="524" t="s">
        <v>1632</v>
      </c>
      <c r="D95" s="357" t="str">
        <f ca="1">IF(ISERROR(OFFSET('HARGA SATUAN'!$D$6,MATCH(RAB!C95,'HARGA SATUAN'!$C$7:$C$1492,0),0)),"",OFFSET('HARGA SATUAN'!$D$6,MATCH(RAB!C95,'HARGA SATUAN'!$C$7:$C$1492,0),0))</f>
        <v/>
      </c>
      <c r="E95" s="358" t="str">
        <f ca="1">IF(B95="+","Unit",IF(ISERROR(OFFSET('HARGA SATUAN'!$E$6,MATCH(RAB!C95,'HARGA SATUAN'!$C$7:$C$1492,0),0)),"",OFFSET('HARGA SATUAN'!$E$6,MATCH(RAB!C95,'HARGA SATUAN'!$C$7:$C$1492,0),0)))</f>
        <v>Unit</v>
      </c>
      <c r="F95" s="498">
        <v>2</v>
      </c>
      <c r="G95" s="359">
        <f ca="1">IF(ISERROR(OFFSET('HARGA SATUAN'!$I$6,MATCH(RAB!C95,'HARGA SATUAN'!$C$7:$C$1492,0),0)),0,OFFSET('HARGA SATUAN'!$I$6,MATCH(RAB!C95,'HARGA SATUAN'!$C$7:$C$1492,0),0))</f>
        <v>0</v>
      </c>
      <c r="H95" s="360">
        <f t="shared" ca="1" si="44"/>
        <v>0</v>
      </c>
      <c r="I95" s="360">
        <f t="shared" ca="1" si="45"/>
        <v>0</v>
      </c>
      <c r="J95" s="360">
        <f t="shared" ca="1" si="46"/>
        <v>0</v>
      </c>
      <c r="K95" s="361">
        <f t="shared" ca="1" si="47"/>
        <v>0</v>
      </c>
      <c r="L95" s="341"/>
      <c r="M95" s="341"/>
      <c r="N95" s="368"/>
      <c r="O95" s="343"/>
      <c r="P95" s="396"/>
      <c r="Q95" s="343"/>
    </row>
    <row r="96" spans="1:17" s="364" customFormat="1">
      <c r="A96" s="335"/>
      <c r="B96" s="523">
        <v>1</v>
      </c>
      <c r="C96" s="524" t="s">
        <v>30</v>
      </c>
      <c r="D96" s="357" t="str">
        <f ca="1">IF(ISERROR(OFFSET('HARGA SATUAN'!$D$6,MATCH(RAB!C96,'HARGA SATUAN'!$C$7:$C$1492,0),0)),"",OFFSET('HARGA SATUAN'!$D$6,MATCH(RAB!C96,'HARGA SATUAN'!$C$7:$C$1492,0),0))</f>
        <v>HDW</v>
      </c>
      <c r="E96" s="358" t="str">
        <f ca="1">IF(B96="+","Unit",IF(ISERROR(OFFSET('HARGA SATUAN'!$E$6,MATCH(RAB!C96,'HARGA SATUAN'!$C$7:$C$1492,0),0)),"",OFFSET('HARGA SATUAN'!$E$6,MATCH(RAB!C96,'HARGA SATUAN'!$C$7:$C$1492,0),0)))</f>
        <v>Bh</v>
      </c>
      <c r="F96" s="498">
        <f>F95*1</f>
        <v>2</v>
      </c>
      <c r="G96" s="359">
        <f ca="1">IF(ISERROR(OFFSET('HARGA SATUAN'!$I$6,MATCH(RAB!C96,'HARGA SATUAN'!$C$7:$C$1492,0),0)),0,OFFSET('HARGA SATUAN'!$I$6,MATCH(RAB!C96,'HARGA SATUAN'!$C$7:$C$1492,0),0))</f>
        <v>47459</v>
      </c>
      <c r="H96" s="360">
        <f t="shared" ca="1" si="44"/>
        <v>0</v>
      </c>
      <c r="I96" s="360">
        <f t="shared" ca="1" si="45"/>
        <v>94918</v>
      </c>
      <c r="J96" s="360">
        <f t="shared" ca="1" si="46"/>
        <v>0</v>
      </c>
      <c r="K96" s="361">
        <f t="shared" ca="1" si="47"/>
        <v>94918</v>
      </c>
      <c r="L96" s="341"/>
      <c r="M96" s="341"/>
      <c r="N96" s="368"/>
      <c r="O96" s="343"/>
      <c r="P96" s="396"/>
      <c r="Q96" s="343"/>
    </row>
    <row r="97" spans="1:17" s="364" customFormat="1">
      <c r="A97" s="335"/>
      <c r="B97" s="523">
        <v>2</v>
      </c>
      <c r="C97" s="524" t="s">
        <v>32</v>
      </c>
      <c r="D97" s="357" t="str">
        <f ca="1">IF(ISERROR(OFFSET('HARGA SATUAN'!$D$6,MATCH(RAB!C97,'HARGA SATUAN'!$C$7:$C$1492,0),0)),"",OFFSET('HARGA SATUAN'!$D$6,MATCH(RAB!C97,'HARGA SATUAN'!$C$7:$C$1492,0),0))</f>
        <v>HDW</v>
      </c>
      <c r="E97" s="358" t="str">
        <f ca="1">IF(B97="+","Unit",IF(ISERROR(OFFSET('HARGA SATUAN'!$E$6,MATCH(RAB!C97,'HARGA SATUAN'!$C$7:$C$1492,0),0)),"",OFFSET('HARGA SATUAN'!$E$6,MATCH(RAB!C97,'HARGA SATUAN'!$C$7:$C$1492,0),0)))</f>
        <v>Mtr</v>
      </c>
      <c r="F97" s="498">
        <f>F95*0.8</f>
        <v>1.6</v>
      </c>
      <c r="G97" s="359">
        <f ca="1">IF(ISERROR(OFFSET('HARGA SATUAN'!$I$6,MATCH(RAB!C97,'HARGA SATUAN'!$C$7:$C$1492,0),0)),0,OFFSET('HARGA SATUAN'!$I$6,MATCH(RAB!C97,'HARGA SATUAN'!$C$7:$C$1492,0),0))</f>
        <v>30000</v>
      </c>
      <c r="H97" s="360">
        <f t="shared" ca="1" si="44"/>
        <v>0</v>
      </c>
      <c r="I97" s="360">
        <f t="shared" ca="1" si="45"/>
        <v>48000</v>
      </c>
      <c r="J97" s="360">
        <f t="shared" ca="1" si="46"/>
        <v>0</v>
      </c>
      <c r="K97" s="361">
        <f t="shared" ca="1" si="47"/>
        <v>48000</v>
      </c>
      <c r="L97" s="341"/>
      <c r="M97" s="341"/>
      <c r="N97" s="368"/>
      <c r="O97" s="343"/>
      <c r="P97" s="396"/>
      <c r="Q97" s="343"/>
    </row>
    <row r="98" spans="1:17" s="364" customFormat="1">
      <c r="A98" s="335"/>
      <c r="B98" s="523">
        <v>3</v>
      </c>
      <c r="C98" s="524" t="s">
        <v>33</v>
      </c>
      <c r="D98" s="357" t="str">
        <f ca="1">IF(ISERROR(OFFSET('HARGA SATUAN'!$D$6,MATCH(RAB!C98,'HARGA SATUAN'!$C$7:$C$1492,0),0)),"",OFFSET('HARGA SATUAN'!$D$6,MATCH(RAB!C98,'HARGA SATUAN'!$C$7:$C$1492,0),0))</f>
        <v>HDW</v>
      </c>
      <c r="E98" s="358" t="str">
        <f ca="1">IF(B98="+","Unit",IF(ISERROR(OFFSET('HARGA SATUAN'!$E$6,MATCH(RAB!C98,'HARGA SATUAN'!$C$7:$C$1492,0),0)),"",OFFSET('HARGA SATUAN'!$E$6,MATCH(RAB!C98,'HARGA SATUAN'!$C$7:$C$1492,0),0)))</f>
        <v>Bh</v>
      </c>
      <c r="F98" s="498">
        <f>F95*1</f>
        <v>2</v>
      </c>
      <c r="G98" s="359">
        <f ca="1">IF(ISERROR(OFFSET('HARGA SATUAN'!$I$6,MATCH(RAB!C98,'HARGA SATUAN'!$C$7:$C$1492,0),0)),0,OFFSET('HARGA SATUAN'!$I$6,MATCH(RAB!C98,'HARGA SATUAN'!$C$7:$C$1492,0),0))</f>
        <v>9500</v>
      </c>
      <c r="H98" s="360">
        <f t="shared" ca="1" si="44"/>
        <v>0</v>
      </c>
      <c r="I98" s="360">
        <f t="shared" ca="1" si="45"/>
        <v>19000</v>
      </c>
      <c r="J98" s="360">
        <f t="shared" ca="1" si="46"/>
        <v>0</v>
      </c>
      <c r="K98" s="361">
        <f t="shared" ca="1" si="47"/>
        <v>19000</v>
      </c>
      <c r="L98" s="341"/>
      <c r="M98" s="341"/>
      <c r="N98" s="368"/>
      <c r="O98" s="343"/>
      <c r="P98" s="396"/>
      <c r="Q98" s="343"/>
    </row>
    <row r="99" spans="1:17" s="364" customFormat="1">
      <c r="A99" s="335"/>
      <c r="B99" s="523">
        <v>4</v>
      </c>
      <c r="C99" s="524" t="s">
        <v>738</v>
      </c>
      <c r="D99" s="357" t="str">
        <f ca="1">IF(ISERROR(OFFSET('HARGA SATUAN'!$D$6,MATCH(RAB!C99,'HARGA SATUAN'!$C$7:$C$1492,0),0)),"",OFFSET('HARGA SATUAN'!$D$6,MATCH(RAB!C99,'HARGA SATUAN'!$C$7:$C$1492,0),0))</f>
        <v>JASA</v>
      </c>
      <c r="E99" s="358" t="str">
        <f ca="1">IF(B99="+","Unit",IF(ISERROR(OFFSET('HARGA SATUAN'!$E$6,MATCH(RAB!C99,'HARGA SATUAN'!$C$7:$C$1492,0),0)),"",OFFSET('HARGA SATUAN'!$E$6,MATCH(RAB!C99,'HARGA SATUAN'!$C$7:$C$1492,0),0)))</f>
        <v>Unit</v>
      </c>
      <c r="F99" s="498">
        <f>F95*1</f>
        <v>2</v>
      </c>
      <c r="G99" s="359">
        <f ca="1">IF(ISERROR(OFFSET('HARGA SATUAN'!$I$6,MATCH(RAB!C99,'HARGA SATUAN'!$C$7:$C$1492,0),0)),0,OFFSET('HARGA SATUAN'!$I$6,MATCH(RAB!C99,'HARGA SATUAN'!$C$7:$C$1492,0),0))</f>
        <v>21200</v>
      </c>
      <c r="H99" s="360">
        <f t="shared" ca="1" si="44"/>
        <v>0</v>
      </c>
      <c r="I99" s="360">
        <f t="shared" ca="1" si="45"/>
        <v>0</v>
      </c>
      <c r="J99" s="360">
        <f t="shared" ca="1" si="46"/>
        <v>42400</v>
      </c>
      <c r="K99" s="361">
        <f t="shared" ca="1" si="47"/>
        <v>42400</v>
      </c>
      <c r="L99" s="341"/>
      <c r="M99" s="341"/>
      <c r="N99" s="368"/>
      <c r="O99" s="343"/>
      <c r="P99" s="396"/>
      <c r="Q99" s="343"/>
    </row>
    <row r="100" spans="1:17" s="364" customFormat="1">
      <c r="A100" s="335"/>
      <c r="B100" s="523"/>
      <c r="C100" s="524"/>
      <c r="D100" s="357" t="str">
        <f ca="1">IF(ISERROR(OFFSET('HARGA SATUAN'!$D$6,MATCH(RAB!C100,'HARGA SATUAN'!$C$7:$C$1492,0),0)),"",OFFSET('HARGA SATUAN'!$D$6,MATCH(RAB!C100,'HARGA SATUAN'!$C$7:$C$1492,0),0))</f>
        <v/>
      </c>
      <c r="E100" s="358" t="str">
        <f ca="1">IF(B100="+","Unit",IF(ISERROR(OFFSET('HARGA SATUAN'!$E$6,MATCH(RAB!C100,'HARGA SATUAN'!$C$7:$C$1492,0),0)),"",OFFSET('HARGA SATUAN'!$E$6,MATCH(RAB!C100,'HARGA SATUAN'!$C$7:$C$1492,0),0)))</f>
        <v/>
      </c>
      <c r="F100" s="498"/>
      <c r="G100" s="359">
        <f ca="1">IF(ISERROR(OFFSET('HARGA SATUAN'!$I$6,MATCH(RAB!C100,'HARGA SATUAN'!$C$7:$C$1492,0),0)),0,OFFSET('HARGA SATUAN'!$I$6,MATCH(RAB!C100,'HARGA SATUAN'!$C$7:$C$1492,0),0))</f>
        <v>0</v>
      </c>
      <c r="H100" s="360">
        <f t="shared" ca="1" si="44"/>
        <v>0</v>
      </c>
      <c r="I100" s="360">
        <f t="shared" ca="1" si="45"/>
        <v>0</v>
      </c>
      <c r="J100" s="360">
        <f t="shared" ca="1" si="46"/>
        <v>0</v>
      </c>
      <c r="K100" s="361">
        <f t="shared" ca="1" si="47"/>
        <v>0</v>
      </c>
      <c r="L100" s="341"/>
      <c r="M100" s="341"/>
      <c r="N100" s="368"/>
      <c r="O100" s="343"/>
      <c r="P100" s="396"/>
      <c r="Q100" s="343"/>
    </row>
    <row r="101" spans="1:17">
      <c r="B101" s="365" t="s">
        <v>1614</v>
      </c>
      <c r="C101" s="366" t="s">
        <v>1616</v>
      </c>
      <c r="D101" s="357" t="str">
        <f ca="1">IF(ISERROR(OFFSET('HARGA SATUAN'!$D$6,MATCH(RAB!C101,'HARGA SATUAN'!$C$7:$C$1492,0),0)),"",OFFSET('HARGA SATUAN'!$D$6,MATCH(RAB!C101,'HARGA SATUAN'!$C$7:$C$1492,0),0))</f>
        <v/>
      </c>
      <c r="E101" s="358" t="str">
        <f ca="1">IF(B101="+","Unit",IF(ISERROR(OFFSET('HARGA SATUAN'!$E$6,MATCH(RAB!C101,'HARGA SATUAN'!$C$7:$C$1492,0),0)),"",OFFSET('HARGA SATUAN'!$E$6,MATCH(RAB!C101,'HARGA SATUAN'!$C$7:$C$1492,0),0)))</f>
        <v/>
      </c>
      <c r="F101" s="498"/>
      <c r="G101" s="359">
        <f ca="1">IF(ISERROR(OFFSET('HARGA SATUAN'!$I$6,MATCH(RAB!C101,'HARGA SATUAN'!$C$7:$C$1492,0),0)),0,OFFSET('HARGA SATUAN'!$I$6,MATCH(RAB!C101,'HARGA SATUAN'!$C$7:$C$1492,0),0))</f>
        <v>0</v>
      </c>
      <c r="H101" s="360">
        <f t="shared" ca="1" si="24"/>
        <v>0</v>
      </c>
      <c r="I101" s="360">
        <f t="shared" ca="1" si="25"/>
        <v>0</v>
      </c>
      <c r="J101" s="360">
        <f t="shared" ca="1" si="26"/>
        <v>0</v>
      </c>
      <c r="K101" s="361">
        <f t="shared" ca="1" si="27"/>
        <v>0</v>
      </c>
    </row>
    <row r="102" spans="1:17">
      <c r="B102" s="491"/>
      <c r="C102" s="494"/>
      <c r="D102" s="357" t="str">
        <f ca="1">IF(ISERROR(OFFSET('HARGA SATUAN'!$D$6,MATCH(RAB!C102,'HARGA SATUAN'!$C$7:$C$1492,0),0)),"",OFFSET('HARGA SATUAN'!$D$6,MATCH(RAB!C102,'HARGA SATUAN'!$C$7:$C$1492,0),0))</f>
        <v/>
      </c>
      <c r="E102" s="358" t="str">
        <f ca="1">IF(B102="+","Unit",IF(ISERROR(OFFSET('HARGA SATUAN'!$E$6,MATCH(RAB!C102,'HARGA SATUAN'!$C$7:$C$1492,0),0)),"",OFFSET('HARGA SATUAN'!$E$6,MATCH(RAB!C102,'HARGA SATUAN'!$C$7:$C$1492,0),0)))</f>
        <v/>
      </c>
      <c r="F102" s="498"/>
      <c r="G102" s="359">
        <f ca="1">IF(ISERROR(OFFSET('HARGA SATUAN'!$I$6,MATCH(RAB!C102,'HARGA SATUAN'!$C$7:$C$1492,0),0)),0,OFFSET('HARGA SATUAN'!$I$6,MATCH(RAB!C102,'HARGA SATUAN'!$C$7:$C$1492,0),0))</f>
        <v>0</v>
      </c>
      <c r="H102" s="360">
        <f t="shared" ref="H102" ca="1" si="48">IF(OR(D102="MDU",D102="MDU-KD"),(IF($O$3="RAB NON MDU","PLN KD",G102*F102)),0)</f>
        <v>0</v>
      </c>
      <c r="I102" s="360">
        <f t="shared" ref="I102" ca="1" si="49">IF(D102="HDW",G102*F102,0)</f>
        <v>0</v>
      </c>
      <c r="J102" s="360">
        <f t="shared" ref="J102" ca="1" si="50">IF(D102="JASA",G102*F102,0)</f>
        <v>0</v>
      </c>
      <c r="K102" s="361">
        <f t="shared" ref="K102" ca="1" si="51">SUM(H102:J102)</f>
        <v>0</v>
      </c>
    </row>
    <row r="103" spans="1:17">
      <c r="B103" s="514" t="s">
        <v>1035</v>
      </c>
      <c r="C103" s="515" t="s">
        <v>1625</v>
      </c>
      <c r="D103" s="357" t="str">
        <f ca="1">IF(ISERROR(OFFSET('HARGA SATUAN'!$D$6,MATCH(RAB!C103,'HARGA SATUAN'!$C$7:$C$1492,0),0)),"",OFFSET('HARGA SATUAN'!$D$6,MATCH(RAB!C103,'HARGA SATUAN'!$C$7:$C$1492,0),0))</f>
        <v/>
      </c>
      <c r="E103" s="358" t="str">
        <f ca="1">IF(B103="+","Unit",IF(ISERROR(OFFSET('HARGA SATUAN'!$E$6,MATCH(RAB!C103,'HARGA SATUAN'!$C$7:$C$1492,0),0)),"",OFFSET('HARGA SATUAN'!$E$6,MATCH(RAB!C103,'HARGA SATUAN'!$C$7:$C$1492,0),0)))</f>
        <v>Unit</v>
      </c>
      <c r="F103" s="498">
        <v>1</v>
      </c>
      <c r="G103" s="359">
        <f ca="1">IF(ISERROR(OFFSET('HARGA SATUAN'!$I$6,MATCH(RAB!C103,'HARGA SATUAN'!$C$7:$C$1492,0),0)),0,OFFSET('HARGA SATUAN'!$I$6,MATCH(RAB!C103,'HARGA SATUAN'!$C$7:$C$1492,0),0))</f>
        <v>0</v>
      </c>
      <c r="H103" s="360">
        <f t="shared" ref="H103:H109" ca="1" si="52">IF(OR(D103="MDU",D103="MDU-KD"),(IF($O$3="RAB NON MDU","PLN KD",G103*F103)),0)</f>
        <v>0</v>
      </c>
      <c r="I103" s="360">
        <f t="shared" ref="I103:I109" ca="1" si="53">IF(D103="HDW",G103*F103,0)</f>
        <v>0</v>
      </c>
      <c r="J103" s="360">
        <f t="shared" ref="J103:J109" ca="1" si="54">IF(D103="JASA",G103*F103,0)</f>
        <v>0</v>
      </c>
      <c r="K103" s="361">
        <f t="shared" ref="K103:K109" ca="1" si="55">SUM(H103:J103)</f>
        <v>0</v>
      </c>
    </row>
    <row r="104" spans="1:17">
      <c r="B104" s="514">
        <v>1</v>
      </c>
      <c r="C104" s="515" t="s">
        <v>1146</v>
      </c>
      <c r="D104" s="357" t="s">
        <v>44</v>
      </c>
      <c r="E104" s="358" t="str">
        <f ca="1">IF(B104="+","Unit",IF(ISERROR(OFFSET('HARGA SATUAN'!$E$6,MATCH(RAB!C104,'HARGA SATUAN'!$C$7:$C$1492,0),0)),"",OFFSET('HARGA SATUAN'!$E$6,MATCH(RAB!C104,'HARGA SATUAN'!$C$7:$C$1492,0),0)))</f>
        <v>Bh</v>
      </c>
      <c r="F104" s="498">
        <f>F103*1</f>
        <v>1</v>
      </c>
      <c r="G104" s="359">
        <f ca="1">IF(ISERROR(OFFSET('HARGA SATUAN'!$I$6,MATCH(RAB!C104,'HARGA SATUAN'!$C$7:$C$1492,0),0)),0,OFFSET('HARGA SATUAN'!$I$6,MATCH(RAB!C104,'HARGA SATUAN'!$C$7:$C$1492,0),0))</f>
        <v>42757200</v>
      </c>
      <c r="H104" s="360">
        <f t="shared" ca="1" si="52"/>
        <v>42757200</v>
      </c>
      <c r="I104" s="360">
        <f t="shared" si="53"/>
        <v>0</v>
      </c>
      <c r="J104" s="360">
        <f t="shared" si="54"/>
        <v>0</v>
      </c>
      <c r="K104" s="361">
        <f t="shared" ca="1" si="55"/>
        <v>42757200</v>
      </c>
    </row>
    <row r="105" spans="1:17">
      <c r="B105" s="500">
        <v>2</v>
      </c>
      <c r="C105" s="503" t="s">
        <v>1618</v>
      </c>
      <c r="D105" s="357" t="str">
        <f ca="1">IF(ISERROR(OFFSET('HARGA SATUAN'!$D$6,MATCH(RAB!C105,'HARGA SATUAN'!$C$7:$C$1492,0),0)),"",OFFSET('HARGA SATUAN'!$D$6,MATCH(RAB!C105,'HARGA SATUAN'!$C$7:$C$1492,0),0))</f>
        <v/>
      </c>
      <c r="E105" s="358" t="str">
        <f ca="1">IF(B105="+","Unit",IF(ISERROR(OFFSET('HARGA SATUAN'!$E$6,MATCH(RAB!C105,'HARGA SATUAN'!$C$7:$C$1492,0),0)),"",OFFSET('HARGA SATUAN'!$E$6,MATCH(RAB!C105,'HARGA SATUAN'!$C$7:$C$1492,0),0)))</f>
        <v/>
      </c>
      <c r="F105" s="504"/>
      <c r="G105" s="359">
        <f ca="1">IF(ISERROR(OFFSET('HARGA SATUAN'!$I$6,MATCH(RAB!C105,'HARGA SATUAN'!$C$7:$C$1492,0),0)),0,OFFSET('HARGA SATUAN'!$I$6,MATCH(RAB!C105,'HARGA SATUAN'!$C$7:$C$1492,0),0))</f>
        <v>0</v>
      </c>
      <c r="H105" s="360">
        <f t="shared" ca="1" si="52"/>
        <v>0</v>
      </c>
      <c r="I105" s="360">
        <f t="shared" ca="1" si="53"/>
        <v>0</v>
      </c>
      <c r="J105" s="360">
        <f t="shared" ca="1" si="54"/>
        <v>0</v>
      </c>
      <c r="K105" s="361">
        <f t="shared" ca="1" si="55"/>
        <v>0</v>
      </c>
    </row>
    <row r="106" spans="1:17">
      <c r="B106" s="514"/>
      <c r="C106" s="503" t="s">
        <v>65</v>
      </c>
      <c r="D106" s="357" t="str">
        <f ca="1">IF(ISERROR(OFFSET('HARGA SATUAN'!$D$6,MATCH(RAB!C106,'HARGA SATUAN'!$C$7:$C$1492,0),0)),"",OFFSET('HARGA SATUAN'!$D$6,MATCH(RAB!C106,'HARGA SATUAN'!$C$7:$C$1492,0),0))</f>
        <v>MDU-KD</v>
      </c>
      <c r="E106" s="358" t="str">
        <f ca="1">IF(B106="+","Unit",IF(ISERROR(OFFSET('HARGA SATUAN'!$E$6,MATCH(RAB!C106,'HARGA SATUAN'!$C$7:$C$1492,0),0)),"",OFFSET('HARGA SATUAN'!$E$6,MATCH(RAB!C106,'HARGA SATUAN'!$C$7:$C$1492,0),0)))</f>
        <v>Mtr</v>
      </c>
      <c r="F106" s="498">
        <f>F103*(3*3)</f>
        <v>9</v>
      </c>
      <c r="G106" s="359">
        <f ca="1">IF(ISERROR(OFFSET('HARGA SATUAN'!$I$6,MATCH(RAB!C106,'HARGA SATUAN'!$C$7:$C$1492,0),0)),0,OFFSET('HARGA SATUAN'!$I$6,MATCH(RAB!C106,'HARGA SATUAN'!$C$7:$C$1492,0),0))</f>
        <v>14200</v>
      </c>
      <c r="H106" s="360">
        <f t="shared" ca="1" si="52"/>
        <v>127800</v>
      </c>
      <c r="I106" s="360">
        <f t="shared" ca="1" si="53"/>
        <v>0</v>
      </c>
      <c r="J106" s="360">
        <f t="shared" ca="1" si="54"/>
        <v>0</v>
      </c>
      <c r="K106" s="361">
        <f t="shared" ca="1" si="55"/>
        <v>127800</v>
      </c>
    </row>
    <row r="107" spans="1:17">
      <c r="B107" s="514"/>
      <c r="C107" s="109" t="s">
        <v>1459</v>
      </c>
      <c r="D107" s="357" t="str">
        <f ca="1">IF(ISERROR(OFFSET('HARGA SATUAN'!$D$6,MATCH(RAB!C107,'HARGA SATUAN'!$C$7:$C$1492,0),0)),"",OFFSET('HARGA SATUAN'!$D$6,MATCH(RAB!C107,'HARGA SATUAN'!$C$7:$C$1492,0),0))</f>
        <v>MDU-KD</v>
      </c>
      <c r="E107" s="358" t="str">
        <f ca="1">IF(B107="+","Unit",IF(ISERROR(OFFSET('HARGA SATUAN'!$E$6,MATCH(RAB!C107,'HARGA SATUAN'!$C$7:$C$1492,0),0)),"",OFFSET('HARGA SATUAN'!$E$6,MATCH(RAB!C107,'HARGA SATUAN'!$C$7:$C$1492,0),0)))</f>
        <v>Mtr</v>
      </c>
      <c r="F107" s="498">
        <f>F103*3</f>
        <v>3</v>
      </c>
      <c r="G107" s="359">
        <f ca="1">IF(ISERROR(OFFSET('HARGA SATUAN'!$I$6,MATCH(RAB!C107,'HARGA SATUAN'!$C$7:$C$1492,0),0)),0,OFFSET('HARGA SATUAN'!$I$6,MATCH(RAB!C107,'HARGA SATUAN'!$C$7:$C$1492,0),0))</f>
        <v>54500</v>
      </c>
      <c r="H107" s="360">
        <f t="shared" ca="1" si="52"/>
        <v>163500</v>
      </c>
      <c r="I107" s="360">
        <f t="shared" ca="1" si="53"/>
        <v>0</v>
      </c>
      <c r="J107" s="360">
        <f t="shared" ca="1" si="54"/>
        <v>0</v>
      </c>
      <c r="K107" s="361">
        <f t="shared" ca="1" si="55"/>
        <v>163500</v>
      </c>
    </row>
    <row r="108" spans="1:17">
      <c r="B108" s="514">
        <v>3</v>
      </c>
      <c r="C108" s="109" t="s">
        <v>559</v>
      </c>
      <c r="D108" s="357" t="str">
        <f ca="1">IF(ISERROR(OFFSET('HARGA SATUAN'!$D$6,MATCH(RAB!C108,'HARGA SATUAN'!$C$7:$C$1492,0),0)),"",OFFSET('HARGA SATUAN'!$D$6,MATCH(RAB!C108,'HARGA SATUAN'!$C$7:$C$1492,0),0))</f>
        <v>MDU-KD</v>
      </c>
      <c r="E108" s="358" t="str">
        <f ca="1">IF(B108="+","Unit",IF(ISERROR(OFFSET('HARGA SATUAN'!$E$6,MATCH(RAB!C108,'HARGA SATUAN'!$C$7:$C$1492,0),0)),"",OFFSET('HARGA SATUAN'!$E$6,MATCH(RAB!C108,'HARGA SATUAN'!$C$7:$C$1492,0),0)))</f>
        <v>Bh</v>
      </c>
      <c r="F108" s="498">
        <f>F103*3</f>
        <v>3</v>
      </c>
      <c r="G108" s="359">
        <f ca="1">IF(ISERROR(OFFSET('HARGA SATUAN'!$I$6,MATCH(RAB!C108,'HARGA SATUAN'!$C$7:$C$1492,0),0)),0,OFFSET('HARGA SATUAN'!$I$6,MATCH(RAB!C108,'HARGA SATUAN'!$C$7:$C$1492,0),0))</f>
        <v>725900</v>
      </c>
      <c r="H108" s="360">
        <f t="shared" ca="1" si="52"/>
        <v>2177700</v>
      </c>
      <c r="I108" s="360">
        <f t="shared" ca="1" si="53"/>
        <v>0</v>
      </c>
      <c r="J108" s="360">
        <f t="shared" ca="1" si="54"/>
        <v>0</v>
      </c>
      <c r="K108" s="361">
        <f t="shared" ca="1" si="55"/>
        <v>2177700</v>
      </c>
    </row>
    <row r="109" spans="1:17">
      <c r="B109" s="514">
        <v>4</v>
      </c>
      <c r="C109" s="515" t="s">
        <v>535</v>
      </c>
      <c r="D109" s="357" t="str">
        <f ca="1">IF(ISERROR(OFFSET('HARGA SATUAN'!$D$6,MATCH(RAB!C109,'HARGA SATUAN'!$C$7:$C$1492,0),0)),"",OFFSET('HARGA SATUAN'!$D$6,MATCH(RAB!C109,'HARGA SATUAN'!$C$7:$C$1492,0),0))</f>
        <v>MDU-KD</v>
      </c>
      <c r="E109" s="358" t="str">
        <f ca="1">IF(B109="+","Unit",IF(ISERROR(OFFSET('HARGA SATUAN'!$E$6,MATCH(RAB!C109,'HARGA SATUAN'!$C$7:$C$1492,0),0)),"",OFFSET('HARGA SATUAN'!$E$6,MATCH(RAB!C109,'HARGA SATUAN'!$C$7:$C$1492,0),0)))</f>
        <v>Bh</v>
      </c>
      <c r="F109" s="498">
        <f>F103*3</f>
        <v>3</v>
      </c>
      <c r="G109" s="359">
        <f ca="1">IF(ISERROR(OFFSET('HARGA SATUAN'!$I$6,MATCH(RAB!C109,'HARGA SATUAN'!$C$7:$C$1492,0),0)),0,OFFSET('HARGA SATUAN'!$I$6,MATCH(RAB!C109,'HARGA SATUAN'!$C$7:$C$1492,0),0))</f>
        <v>848250</v>
      </c>
      <c r="H109" s="360">
        <f t="shared" ca="1" si="52"/>
        <v>2544750</v>
      </c>
      <c r="I109" s="360">
        <f t="shared" ca="1" si="53"/>
        <v>0</v>
      </c>
      <c r="J109" s="360">
        <f t="shared" ca="1" si="54"/>
        <v>0</v>
      </c>
      <c r="K109" s="361">
        <f t="shared" ca="1" si="55"/>
        <v>2544750</v>
      </c>
    </row>
    <row r="110" spans="1:17">
      <c r="B110" s="514">
        <v>5</v>
      </c>
      <c r="C110" s="515" t="s">
        <v>537</v>
      </c>
      <c r="D110" s="357" t="str">
        <f ca="1">IF(ISERROR(OFFSET('HARGA SATUAN'!$D$6,MATCH(RAB!C110,'HARGA SATUAN'!$C$7:$C$1492,0),0)),"",OFFSET('HARGA SATUAN'!$D$6,MATCH(RAB!C110,'HARGA SATUAN'!$C$7:$C$1492,0),0))</f>
        <v>HDW</v>
      </c>
      <c r="E110" s="358" t="str">
        <f ca="1">IF(B110="+","Unit",IF(ISERROR(OFFSET('HARGA SATUAN'!$E$6,MATCH(RAB!C110,'HARGA SATUAN'!$C$7:$C$1492,0),0)),"",OFFSET('HARGA SATUAN'!$E$6,MATCH(RAB!C110,'HARGA SATUAN'!$C$7:$C$1492,0),0)))</f>
        <v>Bh</v>
      </c>
      <c r="F110" s="498">
        <f>F103*3</f>
        <v>3</v>
      </c>
      <c r="G110" s="359">
        <f ca="1">IF(ISERROR(OFFSET('HARGA SATUAN'!$I$6,MATCH(RAB!C110,'HARGA SATUAN'!$C$7:$C$1492,0),0)),0,OFFSET('HARGA SATUAN'!$I$6,MATCH(RAB!C110,'HARGA SATUAN'!$C$7:$C$1492,0),0))</f>
        <v>17500</v>
      </c>
      <c r="H110" s="360">
        <f t="shared" ref="H110:H122" ca="1" si="56">IF(OR(D110="MDU",D110="MDU-KD"),(IF($O$3="RAB NON MDU","PLN KD",G110*F110)),0)</f>
        <v>0</v>
      </c>
      <c r="I110" s="360">
        <f t="shared" ref="I110:I122" ca="1" si="57">IF(D110="HDW",G110*F110,0)</f>
        <v>52500</v>
      </c>
      <c r="J110" s="360">
        <f t="shared" ref="J110:J122" ca="1" si="58">IF(D110="JASA",G110*F110,0)</f>
        <v>0</v>
      </c>
      <c r="K110" s="361">
        <f t="shared" ref="K110:K122" ca="1" si="59">SUM(H110:J110)</f>
        <v>52500</v>
      </c>
    </row>
    <row r="111" spans="1:17">
      <c r="B111" s="514">
        <v>6</v>
      </c>
      <c r="C111" s="109" t="s">
        <v>1569</v>
      </c>
      <c r="D111" s="357" t="str">
        <f ca="1">IF(ISERROR(OFFSET('HARGA SATUAN'!$D$6,MATCH(RAB!C111,'HARGA SATUAN'!$C$7:$C$1492,0),0)),"",OFFSET('HARGA SATUAN'!$D$6,MATCH(RAB!C111,'HARGA SATUAN'!$C$7:$C$1492,0),0))</f>
        <v>HDW</v>
      </c>
      <c r="E111" s="358" t="str">
        <f ca="1">IF(B111="+","Unit",IF(ISERROR(OFFSET('HARGA SATUAN'!$E$6,MATCH(RAB!C111,'HARGA SATUAN'!$C$7:$C$1492,0),0)),"",OFFSET('HARGA SATUAN'!$E$6,MATCH(RAB!C111,'HARGA SATUAN'!$C$7:$C$1492,0),0)))</f>
        <v>Bh</v>
      </c>
      <c r="F111" s="498">
        <f>F103*13</f>
        <v>13</v>
      </c>
      <c r="G111" s="359">
        <f ca="1">IF(ISERROR(OFFSET('HARGA SATUAN'!$I$6,MATCH(RAB!C111,'HARGA SATUAN'!$C$7:$C$1492,0),0)),0,OFFSET('HARGA SATUAN'!$I$6,MATCH(RAB!C111,'HARGA SATUAN'!$C$7:$C$1492,0),0))</f>
        <v>49000</v>
      </c>
      <c r="H111" s="360">
        <f t="shared" ca="1" si="56"/>
        <v>0</v>
      </c>
      <c r="I111" s="360">
        <f t="shared" ca="1" si="57"/>
        <v>637000</v>
      </c>
      <c r="J111" s="360">
        <f t="shared" ca="1" si="58"/>
        <v>0</v>
      </c>
      <c r="K111" s="361">
        <f t="shared" ca="1" si="59"/>
        <v>637000</v>
      </c>
    </row>
    <row r="112" spans="1:17">
      <c r="B112" s="514">
        <v>7</v>
      </c>
      <c r="C112" s="515" t="s">
        <v>163</v>
      </c>
      <c r="D112" s="357" t="str">
        <f ca="1">IF(ISERROR(OFFSET('HARGA SATUAN'!$D$6,MATCH(RAB!C112,'HARGA SATUAN'!$C$7:$C$1492,0),0)),"",OFFSET('HARGA SATUAN'!$D$6,MATCH(RAB!C112,'HARGA SATUAN'!$C$7:$C$1492,0),0))</f>
        <v>HDW</v>
      </c>
      <c r="E112" s="358" t="str">
        <f ca="1">IF(B112="+","Unit",IF(ISERROR(OFFSET('HARGA SATUAN'!$E$6,MATCH(RAB!C112,'HARGA SATUAN'!$C$7:$C$1492,0),0)),"",OFFSET('HARGA SATUAN'!$E$6,MATCH(RAB!C112,'HARGA SATUAN'!$C$7:$C$1492,0),0)))</f>
        <v>Bh</v>
      </c>
      <c r="F112" s="498">
        <f>F103*22</f>
        <v>22</v>
      </c>
      <c r="G112" s="359">
        <f ca="1">IF(ISERROR(OFFSET('HARGA SATUAN'!$I$6,MATCH(RAB!C112,'HARGA SATUAN'!$C$7:$C$1492,0),0)),0,OFFSET('HARGA SATUAN'!$I$6,MATCH(RAB!C112,'HARGA SATUAN'!$C$7:$C$1492,0),0))</f>
        <v>7938</v>
      </c>
      <c r="H112" s="360">
        <f t="shared" ca="1" si="56"/>
        <v>0</v>
      </c>
      <c r="I112" s="360">
        <f t="shared" ca="1" si="57"/>
        <v>174636</v>
      </c>
      <c r="J112" s="360">
        <f t="shared" ca="1" si="58"/>
        <v>0</v>
      </c>
      <c r="K112" s="361">
        <f t="shared" ca="1" si="59"/>
        <v>174636</v>
      </c>
    </row>
    <row r="113" spans="2:11">
      <c r="B113" s="514">
        <v>8</v>
      </c>
      <c r="C113" s="515" t="s">
        <v>176</v>
      </c>
      <c r="D113" s="357" t="str">
        <f ca="1">IF(ISERROR(OFFSET('HARGA SATUAN'!$D$6,MATCH(RAB!C113,'HARGA SATUAN'!$C$7:$C$1492,0),0)),"",OFFSET('HARGA SATUAN'!$D$6,MATCH(RAB!C113,'HARGA SATUAN'!$C$7:$C$1492,0),0))</f>
        <v>HDW</v>
      </c>
      <c r="E113" s="358" t="str">
        <f ca="1">IF(B113="+","Unit",IF(ISERROR(OFFSET('HARGA SATUAN'!$E$6,MATCH(RAB!C113,'HARGA SATUAN'!$C$7:$C$1492,0),0)),"",OFFSET('HARGA SATUAN'!$E$6,MATCH(RAB!C113,'HARGA SATUAN'!$C$7:$C$1492,0),0)))</f>
        <v>Bh</v>
      </c>
      <c r="F113" s="498">
        <f>F103*1</f>
        <v>1</v>
      </c>
      <c r="G113" s="359">
        <f ca="1">IF(ISERROR(OFFSET('HARGA SATUAN'!$I$6,MATCH(RAB!C113,'HARGA SATUAN'!$C$7:$C$1492,0),0)),0,OFFSET('HARGA SATUAN'!$I$6,MATCH(RAB!C113,'HARGA SATUAN'!$C$7:$C$1492,0),0))</f>
        <v>404600</v>
      </c>
      <c r="H113" s="360">
        <f t="shared" ca="1" si="56"/>
        <v>0</v>
      </c>
      <c r="I113" s="360">
        <f t="shared" ca="1" si="57"/>
        <v>404600</v>
      </c>
      <c r="J113" s="360">
        <f t="shared" ca="1" si="58"/>
        <v>0</v>
      </c>
      <c r="K113" s="361">
        <f t="shared" ca="1" si="59"/>
        <v>404600</v>
      </c>
    </row>
    <row r="114" spans="2:11">
      <c r="B114" s="514">
        <v>9</v>
      </c>
      <c r="C114" s="515" t="s">
        <v>184</v>
      </c>
      <c r="D114" s="357" t="str">
        <f ca="1">IF(ISERROR(OFFSET('HARGA SATUAN'!$D$6,MATCH(RAB!C114,'HARGA SATUAN'!$C$7:$C$1492,0),0)),"",OFFSET('HARGA SATUAN'!$D$6,MATCH(RAB!C114,'HARGA SATUAN'!$C$7:$C$1492,0),0))</f>
        <v>HDW</v>
      </c>
      <c r="E114" s="358" t="str">
        <f ca="1">IF(B114="+","Unit",IF(ISERROR(OFFSET('HARGA SATUAN'!$E$6,MATCH(RAB!C114,'HARGA SATUAN'!$C$7:$C$1492,0),0)),"",OFFSET('HARGA SATUAN'!$E$6,MATCH(RAB!C114,'HARGA SATUAN'!$C$7:$C$1492,0),0)))</f>
        <v>Bh</v>
      </c>
      <c r="F114" s="498">
        <f>F103*3</f>
        <v>3</v>
      </c>
      <c r="G114" s="359">
        <f ca="1">IF(ISERROR(OFFSET('HARGA SATUAN'!$I$6,MATCH(RAB!C114,'HARGA SATUAN'!$C$7:$C$1492,0),0)),0,OFFSET('HARGA SATUAN'!$I$6,MATCH(RAB!C114,'HARGA SATUAN'!$C$7:$C$1492,0),0))</f>
        <v>15900</v>
      </c>
      <c r="H114" s="360">
        <f t="shared" ca="1" si="56"/>
        <v>0</v>
      </c>
      <c r="I114" s="360">
        <f t="shared" ca="1" si="57"/>
        <v>47700</v>
      </c>
      <c r="J114" s="360">
        <f t="shared" ca="1" si="58"/>
        <v>0</v>
      </c>
      <c r="K114" s="361">
        <f t="shared" ca="1" si="59"/>
        <v>47700</v>
      </c>
    </row>
    <row r="115" spans="2:11">
      <c r="B115" s="514">
        <v>10</v>
      </c>
      <c r="C115" s="515" t="s">
        <v>592</v>
      </c>
      <c r="D115" s="357" t="str">
        <f ca="1">IF(ISERROR(OFFSET('HARGA SATUAN'!$D$6,MATCH(RAB!C115,'HARGA SATUAN'!$C$7:$C$1492,0),0)),"",OFFSET('HARGA SATUAN'!$D$6,MATCH(RAB!C115,'HARGA SATUAN'!$C$7:$C$1492,0),0))</f>
        <v>HDW</v>
      </c>
      <c r="E115" s="358" t="str">
        <f ca="1">IF(B115="+","Unit",IF(ISERROR(OFFSET('HARGA SATUAN'!$E$6,MATCH(RAB!C115,'HARGA SATUAN'!$C$7:$C$1492,0),0)),"",OFFSET('HARGA SATUAN'!$E$6,MATCH(RAB!C115,'HARGA SATUAN'!$C$7:$C$1492,0),0)))</f>
        <v>Bh</v>
      </c>
      <c r="F115" s="498">
        <f>F103*5</f>
        <v>5</v>
      </c>
      <c r="G115" s="359">
        <f ca="1">IF(ISERROR(OFFSET('HARGA SATUAN'!$I$6,MATCH(RAB!C115,'HARGA SATUAN'!$C$7:$C$1492,0),0)),0,OFFSET('HARGA SATUAN'!$I$6,MATCH(RAB!C115,'HARGA SATUAN'!$C$7:$C$1492,0),0))</f>
        <v>283100</v>
      </c>
      <c r="H115" s="360">
        <f t="shared" ca="1" si="56"/>
        <v>0</v>
      </c>
      <c r="I115" s="360">
        <f t="shared" ca="1" si="57"/>
        <v>1415500</v>
      </c>
      <c r="J115" s="360">
        <f t="shared" ca="1" si="58"/>
        <v>0</v>
      </c>
      <c r="K115" s="361">
        <f t="shared" ca="1" si="59"/>
        <v>1415500</v>
      </c>
    </row>
    <row r="116" spans="2:11">
      <c r="B116" s="514">
        <v>11</v>
      </c>
      <c r="C116" s="515" t="s">
        <v>593</v>
      </c>
      <c r="D116" s="357" t="str">
        <f ca="1">IF(ISERROR(OFFSET('HARGA SATUAN'!$D$6,MATCH(RAB!C116,'HARGA SATUAN'!$C$7:$C$1492,0),0)),"",OFFSET('HARGA SATUAN'!$D$6,MATCH(RAB!C116,'HARGA SATUAN'!$C$7:$C$1492,0),0))</f>
        <v>HDW</v>
      </c>
      <c r="E116" s="358" t="str">
        <f ca="1">IF(B116="+","Unit",IF(ISERROR(OFFSET('HARGA SATUAN'!$E$6,MATCH(RAB!C116,'HARGA SATUAN'!$C$7:$C$1492,0),0)),"",OFFSET('HARGA SATUAN'!$E$6,MATCH(RAB!C116,'HARGA SATUAN'!$C$7:$C$1492,0),0)))</f>
        <v>Bh</v>
      </c>
      <c r="F116" s="498">
        <f>F103*4</f>
        <v>4</v>
      </c>
      <c r="G116" s="359">
        <f ca="1">IF(ISERROR(OFFSET('HARGA SATUAN'!$I$6,MATCH(RAB!C116,'HARGA SATUAN'!$C$7:$C$1492,0),0)),0,OFFSET('HARGA SATUAN'!$I$6,MATCH(RAB!C116,'HARGA SATUAN'!$C$7:$C$1492,0),0))</f>
        <v>380500</v>
      </c>
      <c r="H116" s="360">
        <f t="shared" ca="1" si="56"/>
        <v>0</v>
      </c>
      <c r="I116" s="360">
        <f t="shared" ca="1" si="57"/>
        <v>1522000</v>
      </c>
      <c r="J116" s="360">
        <f t="shared" ca="1" si="58"/>
        <v>0</v>
      </c>
      <c r="K116" s="361">
        <f t="shared" ca="1" si="59"/>
        <v>1522000</v>
      </c>
    </row>
    <row r="117" spans="2:11">
      <c r="B117" s="514">
        <v>12</v>
      </c>
      <c r="C117" s="515" t="s">
        <v>208</v>
      </c>
      <c r="D117" s="357" t="str">
        <f ca="1">IF(ISERROR(OFFSET('HARGA SATUAN'!$D$6,MATCH(RAB!C117,'HARGA SATUAN'!$C$7:$C$1492,0),0)),"",OFFSET('HARGA SATUAN'!$D$6,MATCH(RAB!C117,'HARGA SATUAN'!$C$7:$C$1492,0),0))</f>
        <v>HDW</v>
      </c>
      <c r="E117" s="358" t="str">
        <f ca="1">IF(B117="+","Unit",IF(ISERROR(OFFSET('HARGA SATUAN'!$E$6,MATCH(RAB!C117,'HARGA SATUAN'!$C$7:$C$1492,0),0)),"",OFFSET('HARGA SATUAN'!$E$6,MATCH(RAB!C117,'HARGA SATUAN'!$C$7:$C$1492,0),0)))</f>
        <v>Bh</v>
      </c>
      <c r="F117" s="498">
        <f>F103*3</f>
        <v>3</v>
      </c>
      <c r="G117" s="359">
        <f ca="1">IF(ISERROR(OFFSET('HARGA SATUAN'!$I$6,MATCH(RAB!C117,'HARGA SATUAN'!$C$7:$C$1492,0),0)),0,OFFSET('HARGA SATUAN'!$I$6,MATCH(RAB!C117,'HARGA SATUAN'!$C$7:$C$1492,0),0))</f>
        <v>173400</v>
      </c>
      <c r="H117" s="360">
        <f t="shared" ca="1" si="56"/>
        <v>0</v>
      </c>
      <c r="I117" s="360">
        <f t="shared" ca="1" si="57"/>
        <v>520200</v>
      </c>
      <c r="J117" s="360">
        <f t="shared" ca="1" si="58"/>
        <v>0</v>
      </c>
      <c r="K117" s="361">
        <f t="shared" ca="1" si="59"/>
        <v>520200</v>
      </c>
    </row>
    <row r="118" spans="2:11">
      <c r="B118" s="514">
        <v>13</v>
      </c>
      <c r="C118" s="515" t="s">
        <v>247</v>
      </c>
      <c r="D118" s="357" t="str">
        <f ca="1">IF(ISERROR(OFFSET('HARGA SATUAN'!$D$6,MATCH(RAB!C118,'HARGA SATUAN'!$C$7:$C$1492,0),0)),"",OFFSET('HARGA SATUAN'!$D$6,MATCH(RAB!C118,'HARGA SATUAN'!$C$7:$C$1492,0),0))</f>
        <v>HDW</v>
      </c>
      <c r="E118" s="358" t="str">
        <f ca="1">IF(B118="+","Unit",IF(ISERROR(OFFSET('HARGA SATUAN'!$E$6,MATCH(RAB!C118,'HARGA SATUAN'!$C$7:$C$1492,0),0)),"",OFFSET('HARGA SATUAN'!$E$6,MATCH(RAB!C118,'HARGA SATUAN'!$C$7:$C$1492,0),0)))</f>
        <v>Bh</v>
      </c>
      <c r="F118" s="498">
        <f>F103*1</f>
        <v>1</v>
      </c>
      <c r="G118" s="359">
        <f ca="1">IF(ISERROR(OFFSET('HARGA SATUAN'!$I$6,MATCH(RAB!C118,'HARGA SATUAN'!$C$7:$C$1492,0),0)),0,OFFSET('HARGA SATUAN'!$I$6,MATCH(RAB!C118,'HARGA SATUAN'!$C$7:$C$1492,0),0))</f>
        <v>57690</v>
      </c>
      <c r="H118" s="360">
        <f t="shared" ca="1" si="56"/>
        <v>0</v>
      </c>
      <c r="I118" s="360">
        <f t="shared" ca="1" si="57"/>
        <v>57690</v>
      </c>
      <c r="J118" s="360">
        <f t="shared" ca="1" si="58"/>
        <v>0</v>
      </c>
      <c r="K118" s="361">
        <f t="shared" ca="1" si="59"/>
        <v>57690</v>
      </c>
    </row>
    <row r="119" spans="2:11">
      <c r="B119" s="514">
        <v>14</v>
      </c>
      <c r="C119" s="515" t="s">
        <v>234</v>
      </c>
      <c r="D119" s="357" t="str">
        <f ca="1">IF(ISERROR(OFFSET('HARGA SATUAN'!$D$6,MATCH(RAB!C119,'HARGA SATUAN'!$C$7:$C$1492,0),0)),"",OFFSET('HARGA SATUAN'!$D$6,MATCH(RAB!C119,'HARGA SATUAN'!$C$7:$C$1492,0),0))</f>
        <v>HDW</v>
      </c>
      <c r="E119" s="358" t="str">
        <f ca="1">IF(B119="+","Unit",IF(ISERROR(OFFSET('HARGA SATUAN'!$E$6,MATCH(RAB!C119,'HARGA SATUAN'!$C$7:$C$1492,0),0)),"",OFFSET('HARGA SATUAN'!$E$6,MATCH(RAB!C119,'HARGA SATUAN'!$C$7:$C$1492,0),0)))</f>
        <v>Bh</v>
      </c>
      <c r="F119" s="498">
        <f>F103*2</f>
        <v>2</v>
      </c>
      <c r="G119" s="359">
        <f ca="1">IF(ISERROR(OFFSET('HARGA SATUAN'!$I$6,MATCH(RAB!C119,'HARGA SATUAN'!$C$7:$C$1492,0),0)),0,OFFSET('HARGA SATUAN'!$I$6,MATCH(RAB!C119,'HARGA SATUAN'!$C$7:$C$1492,0),0))</f>
        <v>67500</v>
      </c>
      <c r="H119" s="360">
        <f t="shared" ca="1" si="56"/>
        <v>0</v>
      </c>
      <c r="I119" s="360">
        <f t="shared" ca="1" si="57"/>
        <v>135000</v>
      </c>
      <c r="J119" s="360">
        <f t="shared" ca="1" si="58"/>
        <v>0</v>
      </c>
      <c r="K119" s="361">
        <f t="shared" ca="1" si="59"/>
        <v>135000</v>
      </c>
    </row>
    <row r="120" spans="2:11">
      <c r="B120" s="514">
        <v>15</v>
      </c>
      <c r="C120" s="515" t="s">
        <v>267</v>
      </c>
      <c r="D120" s="357" t="str">
        <f ca="1">IF(ISERROR(OFFSET('HARGA SATUAN'!$D$6,MATCH(RAB!C120,'HARGA SATUAN'!$C$7:$C$1492,0),0)),"",OFFSET('HARGA SATUAN'!$D$6,MATCH(RAB!C120,'HARGA SATUAN'!$C$7:$C$1492,0),0))</f>
        <v>HDW</v>
      </c>
      <c r="E120" s="358" t="str">
        <f ca="1">IF(B120="+","Unit",IF(ISERROR(OFFSET('HARGA SATUAN'!$E$6,MATCH(RAB!C120,'HARGA SATUAN'!$C$7:$C$1492,0),0)),"",OFFSET('HARGA SATUAN'!$E$6,MATCH(RAB!C120,'HARGA SATUAN'!$C$7:$C$1492,0),0)))</f>
        <v>Bh</v>
      </c>
      <c r="F120" s="498">
        <f>F103*2</f>
        <v>2</v>
      </c>
      <c r="G120" s="359">
        <f ca="1">IF(ISERROR(OFFSET('HARGA SATUAN'!$I$6,MATCH(RAB!C120,'HARGA SATUAN'!$C$7:$C$1492,0),0)),0,OFFSET('HARGA SATUAN'!$I$6,MATCH(RAB!C120,'HARGA SATUAN'!$C$7:$C$1492,0),0))</f>
        <v>129000</v>
      </c>
      <c r="H120" s="360">
        <f t="shared" ca="1" si="56"/>
        <v>0</v>
      </c>
      <c r="I120" s="360">
        <f t="shared" ca="1" si="57"/>
        <v>258000</v>
      </c>
      <c r="J120" s="360">
        <f t="shared" ca="1" si="58"/>
        <v>0</v>
      </c>
      <c r="K120" s="361">
        <f t="shared" ca="1" si="59"/>
        <v>258000</v>
      </c>
    </row>
    <row r="121" spans="2:11">
      <c r="B121" s="514">
        <v>16</v>
      </c>
      <c r="C121" s="515" t="s">
        <v>607</v>
      </c>
      <c r="D121" s="357" t="str">
        <f ca="1">IF(ISERROR(OFFSET('HARGA SATUAN'!$D$6,MATCH(RAB!C121,'HARGA SATUAN'!$C$7:$C$1492,0),0)),"",OFFSET('HARGA SATUAN'!$D$6,MATCH(RAB!C121,'HARGA SATUAN'!$C$7:$C$1492,0),0))</f>
        <v>HDW</v>
      </c>
      <c r="E121" s="358" t="str">
        <f ca="1">IF(B121="+","Unit",IF(ISERROR(OFFSET('HARGA SATUAN'!$E$6,MATCH(RAB!C121,'HARGA SATUAN'!$C$7:$C$1492,0),0)),"",OFFSET('HARGA SATUAN'!$E$6,MATCH(RAB!C121,'HARGA SATUAN'!$C$7:$C$1492,0),0)))</f>
        <v>Bh</v>
      </c>
      <c r="F121" s="498">
        <f>F103*4</f>
        <v>4</v>
      </c>
      <c r="G121" s="359">
        <f ca="1">IF(ISERROR(OFFSET('HARGA SATUAN'!$I$6,MATCH(RAB!C121,'HARGA SATUAN'!$C$7:$C$1492,0),0)),0,OFFSET('HARGA SATUAN'!$I$6,MATCH(RAB!C121,'HARGA SATUAN'!$C$7:$C$1492,0),0))</f>
        <v>250000</v>
      </c>
      <c r="H121" s="360">
        <f t="shared" ca="1" si="56"/>
        <v>0</v>
      </c>
      <c r="I121" s="360">
        <f t="shared" ca="1" si="57"/>
        <v>1000000</v>
      </c>
      <c r="J121" s="360">
        <f t="shared" ca="1" si="58"/>
        <v>0</v>
      </c>
      <c r="K121" s="361">
        <f t="shared" ca="1" si="59"/>
        <v>1000000</v>
      </c>
    </row>
    <row r="122" spans="2:11">
      <c r="B122" s="514">
        <v>17</v>
      </c>
      <c r="C122" s="515" t="s">
        <v>783</v>
      </c>
      <c r="D122" s="357" t="str">
        <f ca="1">IF(ISERROR(OFFSET('HARGA SATUAN'!$D$6,MATCH(RAB!C122,'HARGA SATUAN'!$C$7:$C$1492,0),0)),"",OFFSET('HARGA SATUAN'!$D$6,MATCH(RAB!C122,'HARGA SATUAN'!$C$7:$C$1492,0),0))</f>
        <v>JASA</v>
      </c>
      <c r="E122" s="358" t="str">
        <f ca="1">IF(B122="+","Unit",IF(ISERROR(OFFSET('HARGA SATUAN'!$E$6,MATCH(RAB!C122,'HARGA SATUAN'!$C$7:$C$1492,0),0)),"",OFFSET('HARGA SATUAN'!$E$6,MATCH(RAB!C122,'HARGA SATUAN'!$C$7:$C$1492,0),0)))</f>
        <v>Unit</v>
      </c>
      <c r="F122" s="498">
        <f>F103*1</f>
        <v>1</v>
      </c>
      <c r="G122" s="359">
        <f ca="1">IF(ISERROR(OFFSET('HARGA SATUAN'!$I$6,MATCH(RAB!C122,'HARGA SATUAN'!$C$7:$C$1492,0),0)),0,OFFSET('HARGA SATUAN'!$I$6,MATCH(RAB!C122,'HARGA SATUAN'!$C$7:$C$1492,0),0))</f>
        <v>1182800</v>
      </c>
      <c r="H122" s="360">
        <f t="shared" ca="1" si="56"/>
        <v>0</v>
      </c>
      <c r="I122" s="360">
        <f t="shared" ca="1" si="57"/>
        <v>0</v>
      </c>
      <c r="J122" s="360">
        <f t="shared" ca="1" si="58"/>
        <v>1182800</v>
      </c>
      <c r="K122" s="361">
        <f t="shared" ca="1" si="59"/>
        <v>1182800</v>
      </c>
    </row>
    <row r="123" spans="2:11">
      <c r="B123" s="505"/>
      <c r="C123" s="109"/>
      <c r="D123" s="357" t="str">
        <f ca="1">IF(ISERROR(OFFSET('HARGA SATUAN'!$D$6,MATCH(RAB!C123,'HARGA SATUAN'!$C$7:$C$1492,0),0)),"",OFFSET('HARGA SATUAN'!$D$6,MATCH(RAB!C123,'HARGA SATUAN'!$C$7:$C$1492,0),0))</f>
        <v/>
      </c>
      <c r="E123" s="358" t="str">
        <f ca="1">IF(B123="+","Unit",IF(ISERROR(OFFSET('HARGA SATUAN'!$E$6,MATCH(RAB!C123,'HARGA SATUAN'!$C$7:$C$1492,0),0)),"",OFFSET('HARGA SATUAN'!$E$6,MATCH(RAB!C123,'HARGA SATUAN'!$C$7:$C$1492,0),0)))</f>
        <v/>
      </c>
      <c r="F123" s="498"/>
      <c r="G123" s="359">
        <f ca="1">IF(ISERROR(OFFSET('HARGA SATUAN'!$I$6,MATCH(RAB!C123,'HARGA SATUAN'!$C$7:$C$1492,0),0)),0,OFFSET('HARGA SATUAN'!$I$6,MATCH(RAB!C123,'HARGA SATUAN'!$C$7:$C$1492,0),0))</f>
        <v>0</v>
      </c>
      <c r="H123" s="360">
        <f t="shared" ref="H123" ca="1" si="60">IF(OR(D123="MDU",D123="MDU-KD"),(IF($O$3="RAB NON MDU","PLN KD",G123*F123)),0)</f>
        <v>0</v>
      </c>
      <c r="I123" s="360">
        <f t="shared" ref="I123" ca="1" si="61">IF(D123="HDW",G123*F123,0)</f>
        <v>0</v>
      </c>
      <c r="J123" s="360">
        <f t="shared" ref="J123" ca="1" si="62">IF(D123="JASA",G123*F123,0)</f>
        <v>0</v>
      </c>
      <c r="K123" s="361">
        <f t="shared" ref="K123" ca="1" si="63">SUM(H123:J123)</f>
        <v>0</v>
      </c>
    </row>
    <row r="124" spans="2:11">
      <c r="B124" s="500" t="s">
        <v>1035</v>
      </c>
      <c r="C124" s="501" t="s">
        <v>1619</v>
      </c>
      <c r="D124" s="357" t="str">
        <f ca="1">IF(ISERROR(OFFSET('HARGA SATUAN'!$D$6,MATCH(RAB!C124,'HARGA SATUAN'!$C$7:$C$1492,0),0)),"",OFFSET('HARGA SATUAN'!$D$6,MATCH(RAB!C124,'HARGA SATUAN'!$C$7:$C$1492,0),0))</f>
        <v/>
      </c>
      <c r="E124" s="358" t="str">
        <f ca="1">IF(B124="+","Unit",IF(ISERROR(OFFSET('HARGA SATUAN'!$E$6,MATCH(RAB!C124,'HARGA SATUAN'!$C$7:$C$1492,0),0)),"",OFFSET('HARGA SATUAN'!$E$6,MATCH(RAB!C124,'HARGA SATUAN'!$C$7:$C$1492,0),0)))</f>
        <v>Unit</v>
      </c>
      <c r="F124" s="498">
        <v>2</v>
      </c>
      <c r="G124" s="359">
        <f ca="1">IF(ISERROR(OFFSET('HARGA SATUAN'!$I$6,MATCH(RAB!C124,'HARGA SATUAN'!$C$7:$C$1492,0),0)),0,OFFSET('HARGA SATUAN'!$I$6,MATCH(RAB!C124,'HARGA SATUAN'!$C$7:$C$1492,0),0))</f>
        <v>0</v>
      </c>
      <c r="H124" s="360">
        <f t="shared" ref="H124:H134" ca="1" si="64">IF(OR(D124="MDU",D124="MDU-KD"),(IF($O$3="RAB NON MDU","PLN KD",G124*F124)),0)</f>
        <v>0</v>
      </c>
      <c r="I124" s="360">
        <f t="shared" ref="I124:I134" ca="1" si="65">IF(D124="HDW",G124*F124,0)</f>
        <v>0</v>
      </c>
      <c r="J124" s="360">
        <f t="shared" ref="J124:J134" ca="1" si="66">IF(D124="JASA",G124*F124,0)</f>
        <v>0</v>
      </c>
      <c r="K124" s="361">
        <f t="shared" ref="K124:K134" ca="1" si="67">SUM(H124:J124)</f>
        <v>0</v>
      </c>
    </row>
    <row r="125" spans="2:11">
      <c r="B125" s="500">
        <v>1</v>
      </c>
      <c r="C125" s="502" t="s">
        <v>29</v>
      </c>
      <c r="D125" s="357" t="str">
        <f ca="1">IF(ISERROR(OFFSET('HARGA SATUAN'!$D$6,MATCH(RAB!C125,'HARGA SATUAN'!$C$7:$C$1492,0),0)),"",OFFSET('HARGA SATUAN'!$D$6,MATCH(RAB!C125,'HARGA SATUAN'!$C$7:$C$1492,0),0))</f>
        <v>HDW</v>
      </c>
      <c r="E125" s="358" t="str">
        <f ca="1">IF(B125="+","Unit",IF(ISERROR(OFFSET('HARGA SATUAN'!$E$6,MATCH(RAB!C125,'HARGA SATUAN'!$C$7:$C$1492,0),0)),"",OFFSET('HARGA SATUAN'!$E$6,MATCH(RAB!C125,'HARGA SATUAN'!$C$7:$C$1492,0),0)))</f>
        <v>Bh</v>
      </c>
      <c r="F125" s="498">
        <f>F124*1</f>
        <v>2</v>
      </c>
      <c r="G125" s="359">
        <f ca="1">IF(ISERROR(OFFSET('HARGA SATUAN'!$I$6,MATCH(RAB!C125,'HARGA SATUAN'!$C$7:$C$1492,0),0)),0,OFFSET('HARGA SATUAN'!$I$6,MATCH(RAB!C125,'HARGA SATUAN'!$C$7:$C$1492,0),0))</f>
        <v>185200</v>
      </c>
      <c r="H125" s="360">
        <f t="shared" ca="1" si="64"/>
        <v>0</v>
      </c>
      <c r="I125" s="360">
        <f t="shared" ca="1" si="65"/>
        <v>370400</v>
      </c>
      <c r="J125" s="360">
        <f t="shared" ca="1" si="66"/>
        <v>0</v>
      </c>
      <c r="K125" s="361">
        <f t="shared" ca="1" si="67"/>
        <v>370400</v>
      </c>
    </row>
    <row r="126" spans="2:11">
      <c r="B126" s="495">
        <v>2</v>
      </c>
      <c r="C126" s="496" t="s">
        <v>30</v>
      </c>
      <c r="D126" s="357" t="str">
        <f ca="1">IF(ISERROR(OFFSET('HARGA SATUAN'!$D$6,MATCH(RAB!C126,'HARGA SATUAN'!$C$7:$C$1492,0),0)),"",OFFSET('HARGA SATUAN'!$D$6,MATCH(RAB!C126,'HARGA SATUAN'!$C$7:$C$1492,0),0))</f>
        <v>HDW</v>
      </c>
      <c r="E126" s="358" t="str">
        <f ca="1">IF(B126="+","Unit",IF(ISERROR(OFFSET('HARGA SATUAN'!$E$6,MATCH(RAB!C126,'HARGA SATUAN'!$C$7:$C$1492,0),0)),"",OFFSET('HARGA SATUAN'!$E$6,MATCH(RAB!C126,'HARGA SATUAN'!$C$7:$C$1492,0),0)))</f>
        <v>Bh</v>
      </c>
      <c r="F126" s="498">
        <f>F124*1</f>
        <v>2</v>
      </c>
      <c r="G126" s="359">
        <f ca="1">IF(ISERROR(OFFSET('HARGA SATUAN'!$I$6,MATCH(RAB!C126,'HARGA SATUAN'!$C$7:$C$1492,0),0)),0,OFFSET('HARGA SATUAN'!$I$6,MATCH(RAB!C126,'HARGA SATUAN'!$C$7:$C$1492,0),0))</f>
        <v>47459</v>
      </c>
      <c r="H126" s="360">
        <f t="shared" ca="1" si="64"/>
        <v>0</v>
      </c>
      <c r="I126" s="360">
        <f t="shared" ca="1" si="65"/>
        <v>94918</v>
      </c>
      <c r="J126" s="360">
        <f t="shared" ca="1" si="66"/>
        <v>0</v>
      </c>
      <c r="K126" s="361">
        <f t="shared" ca="1" si="67"/>
        <v>94918</v>
      </c>
    </row>
    <row r="127" spans="2:11">
      <c r="B127" s="495">
        <v>3</v>
      </c>
      <c r="C127" s="496" t="s">
        <v>31</v>
      </c>
      <c r="D127" s="357" t="str">
        <f ca="1">IF(ISERROR(OFFSET('HARGA SATUAN'!$D$6,MATCH(RAB!C127,'HARGA SATUAN'!$C$7:$C$1492,0),0)),"",OFFSET('HARGA SATUAN'!$D$6,MATCH(RAB!C127,'HARGA SATUAN'!$C$7:$C$1492,0),0))</f>
        <v>HDW</v>
      </c>
      <c r="E127" s="358" t="str">
        <f ca="1">IF(B127="+","Unit",IF(ISERROR(OFFSET('HARGA SATUAN'!$E$6,MATCH(RAB!C127,'HARGA SATUAN'!$C$7:$C$1492,0),0)),"",OFFSET('HARGA SATUAN'!$E$6,MATCH(RAB!C127,'HARGA SATUAN'!$C$7:$C$1492,0),0)))</f>
        <v>Bh</v>
      </c>
      <c r="F127" s="498">
        <f>F124*1</f>
        <v>2</v>
      </c>
      <c r="G127" s="359">
        <f ca="1">IF(ISERROR(OFFSET('HARGA SATUAN'!$I$6,MATCH(RAB!C127,'HARGA SATUAN'!$C$7:$C$1492,0),0)),0,OFFSET('HARGA SATUAN'!$I$6,MATCH(RAB!C127,'HARGA SATUAN'!$C$7:$C$1492,0),0))</f>
        <v>4880</v>
      </c>
      <c r="H127" s="360">
        <f t="shared" ca="1" si="64"/>
        <v>0</v>
      </c>
      <c r="I127" s="360">
        <f t="shared" ca="1" si="65"/>
        <v>9760</v>
      </c>
      <c r="J127" s="360">
        <f t="shared" ca="1" si="66"/>
        <v>0</v>
      </c>
      <c r="K127" s="361">
        <f t="shared" ca="1" si="67"/>
        <v>9760</v>
      </c>
    </row>
    <row r="128" spans="2:11">
      <c r="B128" s="495">
        <v>4</v>
      </c>
      <c r="C128" s="496" t="s">
        <v>32</v>
      </c>
      <c r="D128" s="357" t="str">
        <f ca="1">IF(ISERROR(OFFSET('HARGA SATUAN'!$D$6,MATCH(RAB!C128,'HARGA SATUAN'!$C$7:$C$1492,0),0)),"",OFFSET('HARGA SATUAN'!$D$6,MATCH(RAB!C128,'HARGA SATUAN'!$C$7:$C$1492,0),0))</f>
        <v>HDW</v>
      </c>
      <c r="E128" s="358" t="str">
        <f ca="1">IF(B128="+","Unit",IF(ISERROR(OFFSET('HARGA SATUAN'!$E$6,MATCH(RAB!C128,'HARGA SATUAN'!$C$7:$C$1492,0),0)),"",OFFSET('HARGA SATUAN'!$E$6,MATCH(RAB!C128,'HARGA SATUAN'!$C$7:$C$1492,0),0)))</f>
        <v>Mtr</v>
      </c>
      <c r="F128" s="498">
        <f>F124*10</f>
        <v>20</v>
      </c>
      <c r="G128" s="359">
        <f ca="1">IF(ISERROR(OFFSET('HARGA SATUAN'!$I$6,MATCH(RAB!C128,'HARGA SATUAN'!$C$7:$C$1492,0),0)),0,OFFSET('HARGA SATUAN'!$I$6,MATCH(RAB!C128,'HARGA SATUAN'!$C$7:$C$1492,0),0))</f>
        <v>30000</v>
      </c>
      <c r="H128" s="360">
        <f t="shared" ca="1" si="64"/>
        <v>0</v>
      </c>
      <c r="I128" s="360">
        <f t="shared" ca="1" si="65"/>
        <v>600000</v>
      </c>
      <c r="J128" s="360">
        <f t="shared" ca="1" si="66"/>
        <v>0</v>
      </c>
      <c r="K128" s="361">
        <f t="shared" ca="1" si="67"/>
        <v>600000</v>
      </c>
    </row>
    <row r="129" spans="2:11">
      <c r="B129" s="495">
        <v>5</v>
      </c>
      <c r="C129" s="496" t="s">
        <v>33</v>
      </c>
      <c r="D129" s="357" t="str">
        <f ca="1">IF(ISERROR(OFFSET('HARGA SATUAN'!$D$6,MATCH(RAB!C129,'HARGA SATUAN'!$C$7:$C$1492,0),0)),"",OFFSET('HARGA SATUAN'!$D$6,MATCH(RAB!C129,'HARGA SATUAN'!$C$7:$C$1492,0),0))</f>
        <v>HDW</v>
      </c>
      <c r="E129" s="358" t="str">
        <f ca="1">IF(B129="+","Unit",IF(ISERROR(OFFSET('HARGA SATUAN'!$E$6,MATCH(RAB!C129,'HARGA SATUAN'!$C$7:$C$1492,0),0)),"",OFFSET('HARGA SATUAN'!$E$6,MATCH(RAB!C129,'HARGA SATUAN'!$C$7:$C$1492,0),0)))</f>
        <v>Bh</v>
      </c>
      <c r="F129" s="498">
        <f>F124*2</f>
        <v>4</v>
      </c>
      <c r="G129" s="359">
        <f ca="1">IF(ISERROR(OFFSET('HARGA SATUAN'!$I$6,MATCH(RAB!C129,'HARGA SATUAN'!$C$7:$C$1492,0),0)),0,OFFSET('HARGA SATUAN'!$I$6,MATCH(RAB!C129,'HARGA SATUAN'!$C$7:$C$1492,0),0))</f>
        <v>9500</v>
      </c>
      <c r="H129" s="360">
        <f t="shared" ca="1" si="64"/>
        <v>0</v>
      </c>
      <c r="I129" s="360">
        <f t="shared" ca="1" si="65"/>
        <v>38000</v>
      </c>
      <c r="J129" s="360">
        <f t="shared" ca="1" si="66"/>
        <v>0</v>
      </c>
      <c r="K129" s="361">
        <f t="shared" ca="1" si="67"/>
        <v>38000</v>
      </c>
    </row>
    <row r="130" spans="2:11">
      <c r="B130" s="495">
        <v>6</v>
      </c>
      <c r="C130" s="496" t="s">
        <v>34</v>
      </c>
      <c r="D130" s="357" t="str">
        <f ca="1">IF(ISERROR(OFFSET('HARGA SATUAN'!$D$6,MATCH(RAB!C130,'HARGA SATUAN'!$C$7:$C$1492,0),0)),"",OFFSET('HARGA SATUAN'!$D$6,MATCH(RAB!C130,'HARGA SATUAN'!$C$7:$C$1492,0),0))</f>
        <v>HDW</v>
      </c>
      <c r="E130" s="358" t="str">
        <f ca="1">IF(B130="+","Unit",IF(ISERROR(OFFSET('HARGA SATUAN'!$E$6,MATCH(RAB!C130,'HARGA SATUAN'!$C$7:$C$1492,0),0)),"",OFFSET('HARGA SATUAN'!$E$6,MATCH(RAB!C130,'HARGA SATUAN'!$C$7:$C$1492,0),0)))</f>
        <v>Bh</v>
      </c>
      <c r="F130" s="498">
        <f>F124*5.5</f>
        <v>11</v>
      </c>
      <c r="G130" s="359">
        <f ca="1">IF(ISERROR(OFFSET('HARGA SATUAN'!$I$6,MATCH(RAB!C130,'HARGA SATUAN'!$C$7:$C$1492,0),0)),0,OFFSET('HARGA SATUAN'!$I$6,MATCH(RAB!C130,'HARGA SATUAN'!$C$7:$C$1492,0),0))</f>
        <v>6100</v>
      </c>
      <c r="H130" s="360">
        <f t="shared" ca="1" si="64"/>
        <v>0</v>
      </c>
      <c r="I130" s="360">
        <f t="shared" ca="1" si="65"/>
        <v>67100</v>
      </c>
      <c r="J130" s="360">
        <f t="shared" ca="1" si="66"/>
        <v>0</v>
      </c>
      <c r="K130" s="361">
        <f t="shared" ca="1" si="67"/>
        <v>67100</v>
      </c>
    </row>
    <row r="131" spans="2:11">
      <c r="B131" s="495">
        <v>7</v>
      </c>
      <c r="C131" s="496" t="s">
        <v>35</v>
      </c>
      <c r="D131" s="357" t="str">
        <f ca="1">IF(ISERROR(OFFSET('HARGA SATUAN'!$D$6,MATCH(RAB!C131,'HARGA SATUAN'!$C$7:$C$1492,0),0)),"",OFFSET('HARGA SATUAN'!$D$6,MATCH(RAB!C131,'HARGA SATUAN'!$C$7:$C$1492,0),0))</f>
        <v>HDW</v>
      </c>
      <c r="E131" s="358" t="str">
        <f ca="1">IF(B131="+","Unit",IF(ISERROR(OFFSET('HARGA SATUAN'!$E$6,MATCH(RAB!C131,'HARGA SATUAN'!$C$7:$C$1492,0),0)),"",OFFSET('HARGA SATUAN'!$E$6,MATCH(RAB!C131,'HARGA SATUAN'!$C$7:$C$1492,0),0)))</f>
        <v>Bh</v>
      </c>
      <c r="F131" s="498">
        <f>F124*6</f>
        <v>12</v>
      </c>
      <c r="G131" s="359">
        <f ca="1">IF(ISERROR(OFFSET('HARGA SATUAN'!$I$6,MATCH(RAB!C131,'HARGA SATUAN'!$C$7:$C$1492,0),0)),0,OFFSET('HARGA SATUAN'!$I$6,MATCH(RAB!C131,'HARGA SATUAN'!$C$7:$C$1492,0),0))</f>
        <v>2300</v>
      </c>
      <c r="H131" s="360">
        <f t="shared" ca="1" si="64"/>
        <v>0</v>
      </c>
      <c r="I131" s="360">
        <f t="shared" ca="1" si="65"/>
        <v>27600</v>
      </c>
      <c r="J131" s="360">
        <f t="shared" ca="1" si="66"/>
        <v>0</v>
      </c>
      <c r="K131" s="361">
        <f t="shared" ca="1" si="67"/>
        <v>27600</v>
      </c>
    </row>
    <row r="132" spans="2:11">
      <c r="B132" s="495">
        <v>8</v>
      </c>
      <c r="C132" s="496" t="s">
        <v>1620</v>
      </c>
      <c r="D132" s="357" t="str">
        <f ca="1">IF(ISERROR(OFFSET('HARGA SATUAN'!$D$6,MATCH(RAB!C132,'HARGA SATUAN'!$C$7:$C$1492,0),0)),"",OFFSET('HARGA SATUAN'!$D$6,MATCH(RAB!C132,'HARGA SATUAN'!$C$7:$C$1492,0),0))</f>
        <v>HDW</v>
      </c>
      <c r="E132" s="358" t="str">
        <f ca="1">IF(B132="+","Unit",IF(ISERROR(OFFSET('HARGA SATUAN'!$E$6,MATCH(RAB!C132,'HARGA SATUAN'!$C$7:$C$1492,0),0)),"",OFFSET('HARGA SATUAN'!$E$6,MATCH(RAB!C132,'HARGA SATUAN'!$C$7:$C$1492,0),0)))</f>
        <v>Mtr</v>
      </c>
      <c r="F132" s="498">
        <f>F124*4.8</f>
        <v>9.6</v>
      </c>
      <c r="G132" s="359">
        <f ca="1">IF(ISERROR(OFFSET('HARGA SATUAN'!$I$6,MATCH(RAB!C132,'HARGA SATUAN'!$C$7:$C$1492,0),0)),0,OFFSET('HARGA SATUAN'!$I$6,MATCH(RAB!C132,'HARGA SATUAN'!$C$7:$C$1492,0),0))</f>
        <v>23310</v>
      </c>
      <c r="H132" s="360">
        <f t="shared" ca="1" si="64"/>
        <v>0</v>
      </c>
      <c r="I132" s="360">
        <f t="shared" ca="1" si="65"/>
        <v>223776</v>
      </c>
      <c r="J132" s="360">
        <f t="shared" ca="1" si="66"/>
        <v>0</v>
      </c>
      <c r="K132" s="361">
        <f t="shared" ca="1" si="67"/>
        <v>223776</v>
      </c>
    </row>
    <row r="133" spans="2:11">
      <c r="B133" s="495">
        <v>9</v>
      </c>
      <c r="C133" s="496" t="s">
        <v>736</v>
      </c>
      <c r="D133" s="357" t="str">
        <f ca="1">IF(ISERROR(OFFSET('HARGA SATUAN'!$D$6,MATCH(RAB!C133,'HARGA SATUAN'!$C$7:$C$1492,0),0)),"",OFFSET('HARGA SATUAN'!$D$6,MATCH(RAB!C133,'HARGA SATUAN'!$C$7:$C$1492,0),0))</f>
        <v>JASA</v>
      </c>
      <c r="E133" s="358" t="str">
        <f ca="1">IF(B133="+","Unit",IF(ISERROR(OFFSET('HARGA SATUAN'!$E$6,MATCH(RAB!C133,'HARGA SATUAN'!$C$7:$C$1492,0),0)),"",OFFSET('HARGA SATUAN'!$E$6,MATCH(RAB!C133,'HARGA SATUAN'!$C$7:$C$1492,0),0)))</f>
        <v>Unit</v>
      </c>
      <c r="F133" s="498">
        <f>F124*1</f>
        <v>2</v>
      </c>
      <c r="G133" s="359">
        <f ca="1">IF(ISERROR(OFFSET('HARGA SATUAN'!$I$6,MATCH(RAB!C133,'HARGA SATUAN'!$C$7:$C$1492,0),0)),0,OFFSET('HARGA SATUAN'!$I$6,MATCH(RAB!C133,'HARGA SATUAN'!$C$7:$C$1492,0),0))</f>
        <v>65400</v>
      </c>
      <c r="H133" s="360">
        <f t="shared" ca="1" si="64"/>
        <v>0</v>
      </c>
      <c r="I133" s="360">
        <f t="shared" ca="1" si="65"/>
        <v>0</v>
      </c>
      <c r="J133" s="360">
        <f t="shared" ca="1" si="66"/>
        <v>130800</v>
      </c>
      <c r="K133" s="361">
        <f t="shared" ca="1" si="67"/>
        <v>130800</v>
      </c>
    </row>
    <row r="134" spans="2:11">
      <c r="B134" s="491"/>
      <c r="C134" s="494"/>
      <c r="D134" s="357" t="str">
        <f ca="1">IF(ISERROR(OFFSET('HARGA SATUAN'!$D$6,MATCH(RAB!C134,'HARGA SATUAN'!$C$7:$C$1492,0),0)),"",OFFSET('HARGA SATUAN'!$D$6,MATCH(RAB!C134,'HARGA SATUAN'!$C$7:$C$1492,0),0))</f>
        <v/>
      </c>
      <c r="E134" s="358" t="str">
        <f ca="1">IF(B134="+","Unit",IF(ISERROR(OFFSET('HARGA SATUAN'!$E$6,MATCH(RAB!C134,'HARGA SATUAN'!$C$7:$C$1492,0),0)),"",OFFSET('HARGA SATUAN'!$E$6,MATCH(RAB!C134,'HARGA SATUAN'!$C$7:$C$1492,0),0)))</f>
        <v/>
      </c>
      <c r="F134" s="499"/>
      <c r="G134" s="359">
        <f ca="1">IF(ISERROR(OFFSET('HARGA SATUAN'!$I$6,MATCH(RAB!C134,'HARGA SATUAN'!$C$7:$C$1492,0),0)),0,OFFSET('HARGA SATUAN'!$I$6,MATCH(RAB!C134,'HARGA SATUAN'!$C$7:$C$1492,0),0))</f>
        <v>0</v>
      </c>
      <c r="H134" s="360">
        <f t="shared" ca="1" si="64"/>
        <v>0</v>
      </c>
      <c r="I134" s="360">
        <f t="shared" ca="1" si="65"/>
        <v>0</v>
      </c>
      <c r="J134" s="360">
        <f t="shared" ca="1" si="66"/>
        <v>0</v>
      </c>
      <c r="K134" s="361">
        <f t="shared" ca="1" si="67"/>
        <v>0</v>
      </c>
    </row>
    <row r="135" spans="2:11">
      <c r="B135" s="723" t="s">
        <v>1035</v>
      </c>
      <c r="C135" s="724" t="s">
        <v>1644</v>
      </c>
      <c r="D135" s="357" t="str">
        <f ca="1">IF(ISERROR(OFFSET('HARGA SATUAN'!$D$6,MATCH(RAB!C135,'HARGA SATUAN'!$C$7:$C$1492,0),0)),"",OFFSET('HARGA SATUAN'!$D$6,MATCH(RAB!C135,'HARGA SATUAN'!$C$7:$C$1492,0),0))</f>
        <v/>
      </c>
      <c r="E135" s="358" t="str">
        <f ca="1">IF(B135="+","Unit",IF(ISERROR(OFFSET('HARGA SATUAN'!$E$6,MATCH(RAB!C135,'HARGA SATUAN'!$C$7:$C$1492,0),0)),"",OFFSET('HARGA SATUAN'!$E$6,MATCH(RAB!C135,'HARGA SATUAN'!$C$7:$C$1492,0),0)))</f>
        <v>Unit</v>
      </c>
      <c r="F135" s="498">
        <v>1</v>
      </c>
      <c r="G135" s="359">
        <f ca="1">IF(ISERROR(OFFSET('HARGA SATUAN'!$I$6,MATCH(RAB!C135,'HARGA SATUAN'!$C$7:$C$1492,0),0)),0,OFFSET('HARGA SATUAN'!$I$6,MATCH(RAB!C135,'HARGA SATUAN'!$C$7:$C$1492,0),0))</f>
        <v>0</v>
      </c>
      <c r="H135" s="360">
        <f t="shared" ref="H135:H163" ca="1" si="68">IF(OR(D135="MDU",D135="MDU-KD"),(IF($O$3="RAB NON MDU","PLN KD",G135*F135)),0)</f>
        <v>0</v>
      </c>
      <c r="I135" s="360">
        <f t="shared" ref="I135:I163" ca="1" si="69">IF(D135="HDW",G135*F135,0)</f>
        <v>0</v>
      </c>
      <c r="J135" s="360">
        <f t="shared" ref="J135:J163" ca="1" si="70">IF(D135="JASA",G135*F135,0)</f>
        <v>0</v>
      </c>
      <c r="K135" s="361">
        <f t="shared" ref="K135:K163" ca="1" si="71">SUM(H135:J135)</f>
        <v>0</v>
      </c>
    </row>
    <row r="136" spans="2:11">
      <c r="B136" s="723">
        <v>1</v>
      </c>
      <c r="C136" s="727" t="s">
        <v>1045</v>
      </c>
      <c r="D136" s="357" t="str">
        <f ca="1">IF(ISERROR(OFFSET('HARGA SATUAN'!$D$6,MATCH(RAB!C136,'HARGA SATUAN'!$C$7:$C$1492,0),0)),"",OFFSET('HARGA SATUAN'!$D$6,MATCH(RAB!C136,'HARGA SATUAN'!$C$7:$C$1492,0),0))</f>
        <v>MDU-KD</v>
      </c>
      <c r="E136" s="358" t="str">
        <f ca="1">IF(B136="+","Unit",IF(ISERROR(OFFSET('HARGA SATUAN'!$E$6,MATCH(RAB!C136,'HARGA SATUAN'!$C$7:$C$1492,0),0)),"",OFFSET('HARGA SATUAN'!$E$6,MATCH(RAB!C136,'HARGA SATUAN'!$C$7:$C$1492,0),0)))</f>
        <v>Bh</v>
      </c>
      <c r="F136" s="498">
        <f>F135*1</f>
        <v>1</v>
      </c>
      <c r="G136" s="359">
        <f ca="1">IF(ISERROR(OFFSET('HARGA SATUAN'!$I$6,MATCH(RAB!C136,'HARGA SATUAN'!$C$7:$C$1492,0),0)),0,OFFSET('HARGA SATUAN'!$I$6,MATCH(RAB!C136,'HARGA SATUAN'!$C$7:$C$1492,0),0))</f>
        <v>12223800</v>
      </c>
      <c r="H136" s="360">
        <f t="shared" ca="1" si="68"/>
        <v>12223800</v>
      </c>
      <c r="I136" s="360">
        <f t="shared" ca="1" si="69"/>
        <v>0</v>
      </c>
      <c r="J136" s="360">
        <f t="shared" ca="1" si="70"/>
        <v>0</v>
      </c>
      <c r="K136" s="361">
        <f t="shared" ca="1" si="71"/>
        <v>12223800</v>
      </c>
    </row>
    <row r="137" spans="2:11">
      <c r="B137" s="723">
        <v>2</v>
      </c>
      <c r="C137" s="727" t="s">
        <v>82</v>
      </c>
      <c r="D137" s="357" t="str">
        <f ca="1">IF(ISERROR(OFFSET('HARGA SATUAN'!$D$6,MATCH(RAB!C137,'HARGA SATUAN'!$C$7:$C$1492,0),0)),"",OFFSET('HARGA SATUAN'!$D$6,MATCH(RAB!C137,'HARGA SATUAN'!$C$7:$C$1492,0),0))</f>
        <v>MDU-KD</v>
      </c>
      <c r="E137" s="358" t="str">
        <f ca="1">IF(B137="+","Unit",IF(ISERROR(OFFSET('HARGA SATUAN'!$E$6,MATCH(RAB!C137,'HARGA SATUAN'!$C$7:$C$1492,0),0)),"",OFFSET('HARGA SATUAN'!$E$6,MATCH(RAB!C137,'HARGA SATUAN'!$C$7:$C$1492,0),0)))</f>
        <v>Mtr</v>
      </c>
      <c r="F137" s="498">
        <f>F135*17*4</f>
        <v>68</v>
      </c>
      <c r="G137" s="359">
        <f ca="1">IF(ISERROR(OFFSET('HARGA SATUAN'!$I$6,MATCH(RAB!C137,'HARGA SATUAN'!$C$7:$C$1492,0),0)),0,OFFSET('HARGA SATUAN'!$I$6,MATCH(RAB!C137,'HARGA SATUAN'!$C$7:$C$1492,0),0))</f>
        <v>218600</v>
      </c>
      <c r="H137" s="360">
        <f t="shared" ca="1" si="68"/>
        <v>14864800</v>
      </c>
      <c r="I137" s="360">
        <f t="shared" ca="1" si="69"/>
        <v>0</v>
      </c>
      <c r="J137" s="360">
        <f t="shared" ca="1" si="70"/>
        <v>0</v>
      </c>
      <c r="K137" s="361">
        <f t="shared" ca="1" si="71"/>
        <v>14864800</v>
      </c>
    </row>
    <row r="138" spans="2:11">
      <c r="B138" s="723">
        <v>3</v>
      </c>
      <c r="C138" s="727" t="s">
        <v>163</v>
      </c>
      <c r="D138" s="357" t="str">
        <f ca="1">IF(ISERROR(OFFSET('HARGA SATUAN'!$D$6,MATCH(RAB!C138,'HARGA SATUAN'!$C$7:$C$1492,0),0)),"",OFFSET('HARGA SATUAN'!$D$6,MATCH(RAB!C138,'HARGA SATUAN'!$C$7:$C$1492,0),0))</f>
        <v>HDW</v>
      </c>
      <c r="E138" s="358" t="str">
        <f ca="1">IF(B138="+","Unit",IF(ISERROR(OFFSET('HARGA SATUAN'!$E$6,MATCH(RAB!C138,'HARGA SATUAN'!$C$7:$C$1492,0),0)),"",OFFSET('HARGA SATUAN'!$E$6,MATCH(RAB!C138,'HARGA SATUAN'!$C$7:$C$1492,0),0)))</f>
        <v>Bh</v>
      </c>
      <c r="F138" s="498">
        <f>F135*(4)</f>
        <v>4</v>
      </c>
      <c r="G138" s="359">
        <f ca="1">IF(ISERROR(OFFSET('HARGA SATUAN'!$I$6,MATCH(RAB!C138,'HARGA SATUAN'!$C$7:$C$1492,0),0)),0,OFFSET('HARGA SATUAN'!$I$6,MATCH(RAB!C138,'HARGA SATUAN'!$C$7:$C$1492,0),0))</f>
        <v>7938</v>
      </c>
      <c r="H138" s="360">
        <f t="shared" ca="1" si="68"/>
        <v>0</v>
      </c>
      <c r="I138" s="360">
        <f t="shared" ca="1" si="69"/>
        <v>31752</v>
      </c>
      <c r="J138" s="360">
        <f t="shared" ca="1" si="70"/>
        <v>0</v>
      </c>
      <c r="K138" s="361">
        <f t="shared" ca="1" si="71"/>
        <v>31752</v>
      </c>
    </row>
    <row r="139" spans="2:11">
      <c r="B139" s="723">
        <v>4</v>
      </c>
      <c r="C139" s="724" t="s">
        <v>166</v>
      </c>
      <c r="D139" s="357" t="str">
        <f ca="1">IF(ISERROR(OFFSET('HARGA SATUAN'!$D$6,MATCH(RAB!C139,'HARGA SATUAN'!$C$7:$C$1492,0),0)),"",OFFSET('HARGA SATUAN'!$D$6,MATCH(RAB!C139,'HARGA SATUAN'!$C$7:$C$1492,0),0))</f>
        <v>HDW</v>
      </c>
      <c r="E139" s="358" t="str">
        <f ca="1">IF(B139="+","Unit",IF(ISERROR(OFFSET('HARGA SATUAN'!$E$6,MATCH(RAB!C139,'HARGA SATUAN'!$C$7:$C$1492,0),0)),"",OFFSET('HARGA SATUAN'!$E$6,MATCH(RAB!C139,'HARGA SATUAN'!$C$7:$C$1492,0),0)))</f>
        <v>Bh</v>
      </c>
      <c r="F139" s="498">
        <f>F135*(14)</f>
        <v>14</v>
      </c>
      <c r="G139" s="359">
        <f ca="1">IF(ISERROR(OFFSET('HARGA SATUAN'!$I$6,MATCH(RAB!C139,'HARGA SATUAN'!$C$7:$C$1492,0),0)),0,OFFSET('HARGA SATUAN'!$I$6,MATCH(RAB!C139,'HARGA SATUAN'!$C$7:$C$1492,0),0))</f>
        <v>26500</v>
      </c>
      <c r="H139" s="360">
        <f t="shared" ca="1" si="68"/>
        <v>0</v>
      </c>
      <c r="I139" s="360">
        <f t="shared" ca="1" si="69"/>
        <v>371000</v>
      </c>
      <c r="J139" s="360">
        <f t="shared" ca="1" si="70"/>
        <v>0</v>
      </c>
      <c r="K139" s="361">
        <f t="shared" ca="1" si="71"/>
        <v>371000</v>
      </c>
    </row>
    <row r="140" spans="2:11">
      <c r="B140" s="723">
        <v>5</v>
      </c>
      <c r="C140" s="727" t="s">
        <v>592</v>
      </c>
      <c r="D140" s="357" t="str">
        <f ca="1">IF(ISERROR(OFFSET('HARGA SATUAN'!$D$6,MATCH(RAB!C140,'HARGA SATUAN'!$C$7:$C$1492,0),0)),"",OFFSET('HARGA SATUAN'!$D$6,MATCH(RAB!C140,'HARGA SATUAN'!$C$7:$C$1492,0),0))</f>
        <v>HDW</v>
      </c>
      <c r="E140" s="358" t="str">
        <f ca="1">IF(B140="+","Unit",IF(ISERROR(OFFSET('HARGA SATUAN'!$E$6,MATCH(RAB!C140,'HARGA SATUAN'!$C$7:$C$1492,0),0)),"",OFFSET('HARGA SATUAN'!$E$6,MATCH(RAB!C140,'HARGA SATUAN'!$C$7:$C$1492,0),0)))</f>
        <v>Bh</v>
      </c>
      <c r="F140" s="498">
        <f>F135*1</f>
        <v>1</v>
      </c>
      <c r="G140" s="359">
        <f ca="1">IF(ISERROR(OFFSET('HARGA SATUAN'!$I$6,MATCH(RAB!C140,'HARGA SATUAN'!$C$7:$C$1492,0),0)),0,OFFSET('HARGA SATUAN'!$I$6,MATCH(RAB!C140,'HARGA SATUAN'!$C$7:$C$1492,0),0))</f>
        <v>283100</v>
      </c>
      <c r="H140" s="360">
        <f t="shared" ca="1" si="68"/>
        <v>0</v>
      </c>
      <c r="I140" s="360">
        <f t="shared" ca="1" si="69"/>
        <v>283100</v>
      </c>
      <c r="J140" s="360">
        <f t="shared" ca="1" si="70"/>
        <v>0</v>
      </c>
      <c r="K140" s="361">
        <f t="shared" ca="1" si="71"/>
        <v>283100</v>
      </c>
    </row>
    <row r="141" spans="2:11">
      <c r="B141" s="723">
        <v>6</v>
      </c>
      <c r="C141" s="727" t="s">
        <v>594</v>
      </c>
      <c r="D141" s="357" t="str">
        <f ca="1">IF(ISERROR(OFFSET('HARGA SATUAN'!$D$6,MATCH(RAB!C141,'HARGA SATUAN'!$C$7:$C$1492,0),0)),"",OFFSET('HARGA SATUAN'!$D$6,MATCH(RAB!C141,'HARGA SATUAN'!$C$7:$C$1492,0),0))</f>
        <v>HDW</v>
      </c>
      <c r="E141" s="358" t="str">
        <f ca="1">IF(B141="+","Unit",IF(ISERROR(OFFSET('HARGA SATUAN'!$E$6,MATCH(RAB!C141,'HARGA SATUAN'!$C$7:$C$1492,0),0)),"",OFFSET('HARGA SATUAN'!$E$6,MATCH(RAB!C141,'HARGA SATUAN'!$C$7:$C$1492,0),0)))</f>
        <v>Bh</v>
      </c>
      <c r="F141" s="498">
        <f>F135*2</f>
        <v>2</v>
      </c>
      <c r="G141" s="359">
        <f ca="1">IF(ISERROR(OFFSET('HARGA SATUAN'!$I$6,MATCH(RAB!C141,'HARGA SATUAN'!$C$7:$C$1492,0),0)),0,OFFSET('HARGA SATUAN'!$I$6,MATCH(RAB!C141,'HARGA SATUAN'!$C$7:$C$1492,0),0))</f>
        <v>559200</v>
      </c>
      <c r="H141" s="360">
        <f t="shared" ca="1" si="68"/>
        <v>0</v>
      </c>
      <c r="I141" s="360">
        <f t="shared" ca="1" si="69"/>
        <v>1118400</v>
      </c>
      <c r="J141" s="360">
        <f t="shared" ca="1" si="70"/>
        <v>0</v>
      </c>
      <c r="K141" s="361">
        <f t="shared" ca="1" si="71"/>
        <v>1118400</v>
      </c>
    </row>
    <row r="142" spans="2:11">
      <c r="B142" s="723">
        <v>7</v>
      </c>
      <c r="C142" s="727" t="s">
        <v>230</v>
      </c>
      <c r="D142" s="357" t="str">
        <f ca="1">IF(ISERROR(OFFSET('HARGA SATUAN'!$D$6,MATCH(RAB!C142,'HARGA SATUAN'!$C$7:$C$1492,0),0)),"",OFFSET('HARGA SATUAN'!$D$6,MATCH(RAB!C142,'HARGA SATUAN'!$C$7:$C$1492,0),0))</f>
        <v>HDW</v>
      </c>
      <c r="E142" s="358" t="str">
        <f ca="1">IF(B142="+","Unit",IF(ISERROR(OFFSET('HARGA SATUAN'!$E$6,MATCH(RAB!C142,'HARGA SATUAN'!$C$7:$C$1492,0),0)),"",OFFSET('HARGA SATUAN'!$E$6,MATCH(RAB!C142,'HARGA SATUAN'!$C$7:$C$1492,0),0)))</f>
        <v>Bh</v>
      </c>
      <c r="F142" s="498">
        <f>F135*(3*2)</f>
        <v>6</v>
      </c>
      <c r="G142" s="359">
        <f ca="1">IF(ISERROR(OFFSET('HARGA SATUAN'!$I$6,MATCH(RAB!C142,'HARGA SATUAN'!$C$7:$C$1492,0),0)),0,OFFSET('HARGA SATUAN'!$I$6,MATCH(RAB!C142,'HARGA SATUAN'!$C$7:$C$1492,0),0))</f>
        <v>32500</v>
      </c>
      <c r="H142" s="360">
        <f t="shared" ca="1" si="68"/>
        <v>0</v>
      </c>
      <c r="I142" s="360">
        <f t="shared" ca="1" si="69"/>
        <v>195000</v>
      </c>
      <c r="J142" s="360">
        <f t="shared" ca="1" si="70"/>
        <v>0</v>
      </c>
      <c r="K142" s="361">
        <f t="shared" ca="1" si="71"/>
        <v>195000</v>
      </c>
    </row>
    <row r="143" spans="2:11">
      <c r="B143" s="723">
        <v>8</v>
      </c>
      <c r="C143" s="727" t="s">
        <v>37</v>
      </c>
      <c r="D143" s="357" t="str">
        <f ca="1">IF(ISERROR(OFFSET('HARGA SATUAN'!$D$6,MATCH(RAB!C143,'HARGA SATUAN'!$C$7:$C$1492,0),0)),"",OFFSET('HARGA SATUAN'!$D$6,MATCH(RAB!C143,'HARGA SATUAN'!$C$7:$C$1492,0),0))</f>
        <v>HDW</v>
      </c>
      <c r="E143" s="358" t="str">
        <f ca="1">IF(B143="+","Unit",IF(ISERROR(OFFSET('HARGA SATUAN'!$E$6,MATCH(RAB!C143,'HARGA SATUAN'!$C$7:$C$1492,0),0)),"",OFFSET('HARGA SATUAN'!$E$6,MATCH(RAB!C143,'HARGA SATUAN'!$C$7:$C$1492,0),0)))</f>
        <v>Bh</v>
      </c>
      <c r="F143" s="498">
        <f>F135*3</f>
        <v>3</v>
      </c>
      <c r="G143" s="359">
        <f ca="1">IF(ISERROR(OFFSET('HARGA SATUAN'!$I$6,MATCH(RAB!C143,'HARGA SATUAN'!$C$7:$C$1492,0),0)),0,OFFSET('HARGA SATUAN'!$I$6,MATCH(RAB!C143,'HARGA SATUAN'!$C$7:$C$1492,0),0))</f>
        <v>63500</v>
      </c>
      <c r="H143" s="360">
        <f t="shared" ca="1" si="68"/>
        <v>0</v>
      </c>
      <c r="I143" s="360">
        <f t="shared" ca="1" si="69"/>
        <v>190500</v>
      </c>
      <c r="J143" s="360">
        <f t="shared" ca="1" si="70"/>
        <v>0</v>
      </c>
      <c r="K143" s="361">
        <f t="shared" ca="1" si="71"/>
        <v>190500</v>
      </c>
    </row>
    <row r="144" spans="2:11">
      <c r="B144" s="723">
        <v>9</v>
      </c>
      <c r="C144" s="727" t="s">
        <v>234</v>
      </c>
      <c r="D144" s="357" t="str">
        <f ca="1">IF(ISERROR(OFFSET('HARGA SATUAN'!$D$6,MATCH(RAB!C144,'HARGA SATUAN'!$C$7:$C$1492,0),0)),"",OFFSET('HARGA SATUAN'!$D$6,MATCH(RAB!C144,'HARGA SATUAN'!$C$7:$C$1492,0),0))</f>
        <v>HDW</v>
      </c>
      <c r="E144" s="358" t="str">
        <f ca="1">IF(B144="+","Unit",IF(ISERROR(OFFSET('HARGA SATUAN'!$E$6,MATCH(RAB!C144,'HARGA SATUAN'!$C$7:$C$1492,0),0)),"",OFFSET('HARGA SATUAN'!$E$6,MATCH(RAB!C144,'HARGA SATUAN'!$C$7:$C$1492,0),0)))</f>
        <v>Bh</v>
      </c>
      <c r="F144" s="498">
        <f>F135*4</f>
        <v>4</v>
      </c>
      <c r="G144" s="359">
        <f ca="1">IF(ISERROR(OFFSET('HARGA SATUAN'!$I$6,MATCH(RAB!C144,'HARGA SATUAN'!$C$7:$C$1492,0),0)),0,OFFSET('HARGA SATUAN'!$I$6,MATCH(RAB!C144,'HARGA SATUAN'!$C$7:$C$1492,0),0))</f>
        <v>67500</v>
      </c>
      <c r="H144" s="360">
        <f t="shared" ca="1" si="68"/>
        <v>0</v>
      </c>
      <c r="I144" s="360">
        <f t="shared" ca="1" si="69"/>
        <v>270000</v>
      </c>
      <c r="J144" s="360">
        <f t="shared" ca="1" si="70"/>
        <v>0</v>
      </c>
      <c r="K144" s="361">
        <f t="shared" ca="1" si="71"/>
        <v>270000</v>
      </c>
    </row>
    <row r="145" spans="2:11">
      <c r="B145" s="723">
        <v>10</v>
      </c>
      <c r="C145" s="727" t="s">
        <v>1048</v>
      </c>
      <c r="D145" s="357" t="str">
        <f ca="1">IF(ISERROR(OFFSET('HARGA SATUAN'!$D$6,MATCH(RAB!C145,'HARGA SATUAN'!$C$7:$C$1492,0),0)),"",OFFSET('HARGA SATUAN'!$D$6,MATCH(RAB!C145,'HARGA SATUAN'!$C$7:$C$1492,0),0))</f>
        <v>HDW</v>
      </c>
      <c r="E145" s="358" t="str">
        <f ca="1">IF(B145="+","Unit",IF(ISERROR(OFFSET('HARGA SATUAN'!$E$6,MATCH(RAB!C145,'HARGA SATUAN'!$C$7:$C$1492,0),0)),"",OFFSET('HARGA SATUAN'!$E$6,MATCH(RAB!C145,'HARGA SATUAN'!$C$7:$C$1492,0),0)))</f>
        <v>Bh</v>
      </c>
      <c r="F145" s="498">
        <f>F135*2</f>
        <v>2</v>
      </c>
      <c r="G145" s="359">
        <f ca="1">IF(ISERROR(OFFSET('HARGA SATUAN'!$I$6,MATCH(RAB!C145,'HARGA SATUAN'!$C$7:$C$1492,0),0)),0,OFFSET('HARGA SATUAN'!$I$6,MATCH(RAB!C145,'HARGA SATUAN'!$C$7:$C$1492,0),0))</f>
        <v>79056</v>
      </c>
      <c r="H145" s="360">
        <f t="shared" ca="1" si="68"/>
        <v>0</v>
      </c>
      <c r="I145" s="360">
        <f t="shared" ca="1" si="69"/>
        <v>158112</v>
      </c>
      <c r="J145" s="360">
        <f t="shared" ca="1" si="70"/>
        <v>0</v>
      </c>
      <c r="K145" s="361">
        <f t="shared" ca="1" si="71"/>
        <v>158112</v>
      </c>
    </row>
    <row r="146" spans="2:11">
      <c r="B146" s="723">
        <v>11</v>
      </c>
      <c r="C146" s="727" t="s">
        <v>1049</v>
      </c>
      <c r="D146" s="357" t="str">
        <f ca="1">IF(ISERROR(OFFSET('HARGA SATUAN'!$D$6,MATCH(RAB!C146,'HARGA SATUAN'!$C$7:$C$1492,0),0)),"",OFFSET('HARGA SATUAN'!$D$6,MATCH(RAB!C146,'HARGA SATUAN'!$C$7:$C$1492,0),0))</f>
        <v>HDW</v>
      </c>
      <c r="E146" s="358" t="str">
        <f ca="1">IF(B146="+","Unit",IF(ISERROR(OFFSET('HARGA SATUAN'!$E$6,MATCH(RAB!C146,'HARGA SATUAN'!$C$7:$C$1492,0),0)),"",OFFSET('HARGA SATUAN'!$E$6,MATCH(RAB!C146,'HARGA SATUAN'!$C$7:$C$1492,0),0)))</f>
        <v>Bh</v>
      </c>
      <c r="F146" s="498">
        <f>F135*1</f>
        <v>1</v>
      </c>
      <c r="G146" s="359">
        <f ca="1">IF(ISERROR(OFFSET('HARGA SATUAN'!$I$6,MATCH(RAB!C146,'HARGA SATUAN'!$C$7:$C$1492,0),0)),0,OFFSET('HARGA SATUAN'!$I$6,MATCH(RAB!C146,'HARGA SATUAN'!$C$7:$C$1492,0),0))</f>
        <v>81984</v>
      </c>
      <c r="H146" s="360">
        <f t="shared" ca="1" si="68"/>
        <v>0</v>
      </c>
      <c r="I146" s="360">
        <f t="shared" ca="1" si="69"/>
        <v>81984</v>
      </c>
      <c r="J146" s="360">
        <f t="shared" ca="1" si="70"/>
        <v>0</v>
      </c>
      <c r="K146" s="361">
        <f t="shared" ca="1" si="71"/>
        <v>81984</v>
      </c>
    </row>
    <row r="147" spans="2:11">
      <c r="B147" s="723">
        <v>12</v>
      </c>
      <c r="C147" s="727" t="s">
        <v>1050</v>
      </c>
      <c r="D147" s="357" t="str">
        <f ca="1">IF(ISERROR(OFFSET('HARGA SATUAN'!$D$6,MATCH(RAB!C147,'HARGA SATUAN'!$C$7:$C$1492,0),0)),"",OFFSET('HARGA SATUAN'!$D$6,MATCH(RAB!C147,'HARGA SATUAN'!$C$7:$C$1492,0),0))</f>
        <v>HDW</v>
      </c>
      <c r="E147" s="358" t="str">
        <f ca="1">IF(B147="+","Unit",IF(ISERROR(OFFSET('HARGA SATUAN'!$E$6,MATCH(RAB!C147,'HARGA SATUAN'!$C$7:$C$1492,0),0)),"",OFFSET('HARGA SATUAN'!$E$6,MATCH(RAB!C147,'HARGA SATUAN'!$C$7:$C$1492,0),0)))</f>
        <v>Bh</v>
      </c>
      <c r="F147" s="498">
        <f>F135*2</f>
        <v>2</v>
      </c>
      <c r="G147" s="359">
        <f ca="1">IF(ISERROR(OFFSET('HARGA SATUAN'!$I$6,MATCH(RAB!C147,'HARGA SATUAN'!$C$7:$C$1492,0),0)),0,OFFSET('HARGA SATUAN'!$I$6,MATCH(RAB!C147,'HARGA SATUAN'!$C$7:$C$1492,0),0))</f>
        <v>7320</v>
      </c>
      <c r="H147" s="360">
        <f t="shared" ca="1" si="68"/>
        <v>0</v>
      </c>
      <c r="I147" s="360">
        <f t="shared" ca="1" si="69"/>
        <v>14640</v>
      </c>
      <c r="J147" s="360">
        <f t="shared" ca="1" si="70"/>
        <v>0</v>
      </c>
      <c r="K147" s="361">
        <f t="shared" ca="1" si="71"/>
        <v>14640</v>
      </c>
    </row>
    <row r="148" spans="2:11">
      <c r="B148" s="723">
        <v>13</v>
      </c>
      <c r="C148" s="727" t="s">
        <v>1051</v>
      </c>
      <c r="D148" s="357" t="str">
        <f ca="1">IF(ISERROR(OFFSET('HARGA SATUAN'!$D$6,MATCH(RAB!C148,'HARGA SATUAN'!$C$7:$C$1492,0),0)),"",OFFSET('HARGA SATUAN'!$D$6,MATCH(RAB!C148,'HARGA SATUAN'!$C$7:$C$1492,0),0))</f>
        <v>HDW</v>
      </c>
      <c r="E148" s="358" t="str">
        <f ca="1">IF(B148="+","Unit",IF(ISERROR(OFFSET('HARGA SATUAN'!$E$6,MATCH(RAB!C148,'HARGA SATUAN'!$C$7:$C$1492,0),0)),"",OFFSET('HARGA SATUAN'!$E$6,MATCH(RAB!C148,'HARGA SATUAN'!$C$7:$C$1492,0),0)))</f>
        <v>Bh</v>
      </c>
      <c r="F148" s="498">
        <f>F135*1</f>
        <v>1</v>
      </c>
      <c r="G148" s="359">
        <f ca="1">IF(ISERROR(OFFSET('HARGA SATUAN'!$I$6,MATCH(RAB!C148,'HARGA SATUAN'!$C$7:$C$1492,0),0)),0,OFFSET('HARGA SATUAN'!$I$6,MATCH(RAB!C148,'HARGA SATUAN'!$C$7:$C$1492,0),0))</f>
        <v>8784</v>
      </c>
      <c r="H148" s="360">
        <f t="shared" ca="1" si="68"/>
        <v>0</v>
      </c>
      <c r="I148" s="360">
        <f t="shared" ca="1" si="69"/>
        <v>8784</v>
      </c>
      <c r="J148" s="360">
        <f t="shared" ca="1" si="70"/>
        <v>0</v>
      </c>
      <c r="K148" s="361">
        <f t="shared" ca="1" si="71"/>
        <v>8784</v>
      </c>
    </row>
    <row r="149" spans="2:11">
      <c r="B149" s="723">
        <v>14</v>
      </c>
      <c r="C149" s="727" t="s">
        <v>1052</v>
      </c>
      <c r="D149" s="357" t="str">
        <f ca="1">IF(ISERROR(OFFSET('HARGA SATUAN'!$D$6,MATCH(RAB!C149,'HARGA SATUAN'!$C$7:$C$1492,0),0)),"",OFFSET('HARGA SATUAN'!$D$6,MATCH(RAB!C149,'HARGA SATUAN'!$C$7:$C$1492,0),0))</f>
        <v>HDW</v>
      </c>
      <c r="E149" s="358" t="str">
        <f ca="1">IF(B149="+","Unit",IF(ISERROR(OFFSET('HARGA SATUAN'!$E$6,MATCH(RAB!C149,'HARGA SATUAN'!$C$7:$C$1492,0),0)),"",OFFSET('HARGA SATUAN'!$E$6,MATCH(RAB!C149,'HARGA SATUAN'!$C$7:$C$1492,0),0)))</f>
        <v>Bh</v>
      </c>
      <c r="F149" s="498">
        <f>F135*(2*2)</f>
        <v>4</v>
      </c>
      <c r="G149" s="359">
        <f ca="1">IF(ISERROR(OFFSET('HARGA SATUAN'!$I$6,MATCH(RAB!C149,'HARGA SATUAN'!$C$7:$C$1492,0),0)),0,OFFSET('HARGA SATUAN'!$I$6,MATCH(RAB!C149,'HARGA SATUAN'!$C$7:$C$1492,0),0))</f>
        <v>52704</v>
      </c>
      <c r="H149" s="360">
        <f t="shared" ca="1" si="68"/>
        <v>0</v>
      </c>
      <c r="I149" s="360">
        <f t="shared" ca="1" si="69"/>
        <v>210816</v>
      </c>
      <c r="J149" s="360">
        <f t="shared" ca="1" si="70"/>
        <v>0</v>
      </c>
      <c r="K149" s="361">
        <f t="shared" ca="1" si="71"/>
        <v>210816</v>
      </c>
    </row>
    <row r="150" spans="2:11">
      <c r="B150" s="723">
        <v>15</v>
      </c>
      <c r="C150" s="727" t="s">
        <v>1053</v>
      </c>
      <c r="D150" s="357" t="str">
        <f ca="1">IF(ISERROR(OFFSET('HARGA SATUAN'!$D$6,MATCH(RAB!C150,'HARGA SATUAN'!$C$7:$C$1492,0),0)),"",OFFSET('HARGA SATUAN'!$D$6,MATCH(RAB!C150,'HARGA SATUAN'!$C$7:$C$1492,0),0))</f>
        <v>HDW</v>
      </c>
      <c r="E150" s="358" t="str">
        <f ca="1">IF(B150="+","Unit",IF(ISERROR(OFFSET('HARGA SATUAN'!$E$6,MATCH(RAB!C150,'HARGA SATUAN'!$C$7:$C$1492,0),0)),"",OFFSET('HARGA SATUAN'!$E$6,MATCH(RAB!C150,'HARGA SATUAN'!$C$7:$C$1492,0),0)))</f>
        <v>Bh</v>
      </c>
      <c r="F150" s="498">
        <f>F135*2</f>
        <v>2</v>
      </c>
      <c r="G150" s="359">
        <f ca="1">IF(ISERROR(OFFSET('HARGA SATUAN'!$I$6,MATCH(RAB!C150,'HARGA SATUAN'!$C$7:$C$1492,0),0)),0,OFFSET('HARGA SATUAN'!$I$6,MATCH(RAB!C150,'HARGA SATUAN'!$C$7:$C$1492,0),0))</f>
        <v>67344</v>
      </c>
      <c r="H150" s="360">
        <f t="shared" ca="1" si="68"/>
        <v>0</v>
      </c>
      <c r="I150" s="360">
        <f t="shared" ca="1" si="69"/>
        <v>134688</v>
      </c>
      <c r="J150" s="360">
        <f t="shared" ca="1" si="70"/>
        <v>0</v>
      </c>
      <c r="K150" s="361">
        <f t="shared" ca="1" si="71"/>
        <v>134688</v>
      </c>
    </row>
    <row r="151" spans="2:11">
      <c r="B151" s="723">
        <v>16</v>
      </c>
      <c r="C151" s="109" t="s">
        <v>1572</v>
      </c>
      <c r="D151" s="357" t="str">
        <f ca="1">IF(ISERROR(OFFSET('HARGA SATUAN'!$D$6,MATCH(RAB!C151,'HARGA SATUAN'!$C$7:$C$1492,0),0)),"",OFFSET('HARGA SATUAN'!$D$6,MATCH(RAB!C151,'HARGA SATUAN'!$C$7:$C$1492,0),0))</f>
        <v>HDW</v>
      </c>
      <c r="E151" s="358" t="str">
        <f ca="1">IF(B151="+","Unit",IF(ISERROR(OFFSET('HARGA SATUAN'!$E$6,MATCH(RAB!C151,'HARGA SATUAN'!$C$7:$C$1492,0),0)),"",OFFSET('HARGA SATUAN'!$E$6,MATCH(RAB!C151,'HARGA SATUAN'!$C$7:$C$1492,0),0)))</f>
        <v>Bh</v>
      </c>
      <c r="F151" s="498">
        <f>F135*16</f>
        <v>16</v>
      </c>
      <c r="G151" s="359">
        <f ca="1">IF(ISERROR(OFFSET('HARGA SATUAN'!$I$6,MATCH(RAB!C151,'HARGA SATUAN'!$C$7:$C$1492,0),0)),0,OFFSET('HARGA SATUAN'!$I$6,MATCH(RAB!C151,'HARGA SATUAN'!$C$7:$C$1492,0),0))</f>
        <v>100800</v>
      </c>
      <c r="H151" s="360">
        <f t="shared" ca="1" si="68"/>
        <v>0</v>
      </c>
      <c r="I151" s="360">
        <f t="shared" ca="1" si="69"/>
        <v>1612800</v>
      </c>
      <c r="J151" s="360">
        <f t="shared" ca="1" si="70"/>
        <v>0</v>
      </c>
      <c r="K151" s="361">
        <f t="shared" ca="1" si="71"/>
        <v>1612800</v>
      </c>
    </row>
    <row r="152" spans="2:11">
      <c r="B152" s="723">
        <v>17</v>
      </c>
      <c r="C152" s="727" t="s">
        <v>183</v>
      </c>
      <c r="D152" s="357" t="str">
        <f ca="1">IF(ISERROR(OFFSET('HARGA SATUAN'!$D$6,MATCH(RAB!C152,'HARGA SATUAN'!$C$7:$C$1492,0),0)),"",OFFSET('HARGA SATUAN'!$D$6,MATCH(RAB!C152,'HARGA SATUAN'!$C$7:$C$1492,0),0))</f>
        <v>HDW</v>
      </c>
      <c r="E152" s="358" t="str">
        <f ca="1">IF(B152="+","Unit",IF(ISERROR(OFFSET('HARGA SATUAN'!$E$6,MATCH(RAB!C152,'HARGA SATUAN'!$C$7:$C$1492,0),0)),"",OFFSET('HARGA SATUAN'!$E$6,MATCH(RAB!C152,'HARGA SATUAN'!$C$7:$C$1492,0),0)))</f>
        <v>Bh</v>
      </c>
      <c r="F152" s="498">
        <f>F135*8</f>
        <v>8</v>
      </c>
      <c r="G152" s="359">
        <f ca="1">IF(ISERROR(OFFSET('HARGA SATUAN'!$I$6,MATCH(RAB!C152,'HARGA SATUAN'!$C$7:$C$1492,0),0)),0,OFFSET('HARGA SATUAN'!$I$6,MATCH(RAB!C152,'HARGA SATUAN'!$C$7:$C$1492,0),0))</f>
        <v>22500</v>
      </c>
      <c r="H152" s="360">
        <f t="shared" ca="1" si="68"/>
        <v>0</v>
      </c>
      <c r="I152" s="360">
        <f t="shared" ca="1" si="69"/>
        <v>180000</v>
      </c>
      <c r="J152" s="360">
        <f t="shared" ca="1" si="70"/>
        <v>0</v>
      </c>
      <c r="K152" s="361">
        <f t="shared" ca="1" si="71"/>
        <v>180000</v>
      </c>
    </row>
    <row r="153" spans="2:11">
      <c r="B153" s="723">
        <v>18</v>
      </c>
      <c r="C153" s="109" t="s">
        <v>1165</v>
      </c>
      <c r="D153" s="357" t="str">
        <f ca="1">IF(ISERROR(OFFSET('HARGA SATUAN'!$D$6,MATCH(RAB!C153,'HARGA SATUAN'!$C$7:$C$1492,0),0)),"",OFFSET('HARGA SATUAN'!$D$6,MATCH(RAB!C153,'HARGA SATUAN'!$C$7:$C$1492,0),0))</f>
        <v>JASA</v>
      </c>
      <c r="E153" s="358" t="str">
        <f ca="1">IF(B153="+","Unit",IF(ISERROR(OFFSET('HARGA SATUAN'!$E$6,MATCH(RAB!C153,'HARGA SATUAN'!$C$7:$C$1492,0),0)),"",OFFSET('HARGA SATUAN'!$E$6,MATCH(RAB!C153,'HARGA SATUAN'!$C$7:$C$1492,0),0)))</f>
        <v>Unit</v>
      </c>
      <c r="F153" s="498">
        <f>F135*1</f>
        <v>1</v>
      </c>
      <c r="G153" s="359">
        <f ca="1">IF(ISERROR(OFFSET('HARGA SATUAN'!$I$6,MATCH(RAB!C153,'HARGA SATUAN'!$C$7:$C$1492,0),0)),0,OFFSET('HARGA SATUAN'!$I$6,MATCH(RAB!C153,'HARGA SATUAN'!$C$7:$C$1492,0),0))</f>
        <v>614700</v>
      </c>
      <c r="H153" s="360">
        <f t="shared" ca="1" si="68"/>
        <v>0</v>
      </c>
      <c r="I153" s="360">
        <f t="shared" ca="1" si="69"/>
        <v>0</v>
      </c>
      <c r="J153" s="360">
        <f t="shared" ca="1" si="70"/>
        <v>614700</v>
      </c>
      <c r="K153" s="361">
        <f t="shared" ca="1" si="71"/>
        <v>614700</v>
      </c>
    </row>
    <row r="154" spans="2:11">
      <c r="B154" s="491"/>
      <c r="C154" s="494"/>
      <c r="D154" s="357" t="str">
        <f ca="1">IF(ISERROR(OFFSET('HARGA SATUAN'!$D$6,MATCH(RAB!C154,'HARGA SATUAN'!$C$7:$C$1492,0),0)),"",OFFSET('HARGA SATUAN'!$D$6,MATCH(RAB!C154,'HARGA SATUAN'!$C$7:$C$1492,0),0))</f>
        <v/>
      </c>
      <c r="E154" s="358" t="str">
        <f ca="1">IF(B154="+","Unit",IF(ISERROR(OFFSET('HARGA SATUAN'!$E$6,MATCH(RAB!C154,'HARGA SATUAN'!$C$7:$C$1492,0),0)),"",OFFSET('HARGA SATUAN'!$E$6,MATCH(RAB!C154,'HARGA SATUAN'!$C$7:$C$1492,0),0)))</f>
        <v/>
      </c>
      <c r="F154" s="499"/>
      <c r="G154" s="359">
        <f ca="1">IF(ISERROR(OFFSET('HARGA SATUAN'!$I$6,MATCH(RAB!C154,'HARGA SATUAN'!$C$7:$C$1492,0),0)),0,OFFSET('HARGA SATUAN'!$I$6,MATCH(RAB!C154,'HARGA SATUAN'!$C$7:$C$1492,0),0))</f>
        <v>0</v>
      </c>
      <c r="H154" s="360">
        <f t="shared" ca="1" si="68"/>
        <v>0</v>
      </c>
      <c r="I154" s="360">
        <f t="shared" ca="1" si="69"/>
        <v>0</v>
      </c>
      <c r="J154" s="360">
        <f t="shared" ca="1" si="70"/>
        <v>0</v>
      </c>
      <c r="K154" s="361">
        <f t="shared" ca="1" si="71"/>
        <v>0</v>
      </c>
    </row>
    <row r="155" spans="2:11">
      <c r="B155" s="723" t="s">
        <v>1035</v>
      </c>
      <c r="C155" s="724" t="s">
        <v>1640</v>
      </c>
      <c r="D155" s="357" t="str">
        <f ca="1">IF(ISERROR(OFFSET('HARGA SATUAN'!$D$6,MATCH(RAB!C155,'HARGA SATUAN'!$C$7:$C$1492,0),0)),"",OFFSET('HARGA SATUAN'!$D$6,MATCH(RAB!C155,'HARGA SATUAN'!$C$7:$C$1492,0),0))</f>
        <v/>
      </c>
      <c r="E155" s="358" t="str">
        <f ca="1">IF(B155="+","Unit",IF(ISERROR(OFFSET('HARGA SATUAN'!$E$6,MATCH(RAB!C155,'HARGA SATUAN'!$C$7:$C$1492,0),0)),"",OFFSET('HARGA SATUAN'!$E$6,MATCH(RAB!C155,'HARGA SATUAN'!$C$7:$C$1492,0),0)))</f>
        <v>Unit</v>
      </c>
      <c r="F155" s="498">
        <v>1</v>
      </c>
      <c r="G155" s="359">
        <f ca="1">IF(ISERROR(OFFSET('HARGA SATUAN'!$I$6,MATCH(RAB!C155,'HARGA SATUAN'!$C$7:$C$1492,0),0)),0,OFFSET('HARGA SATUAN'!$I$6,MATCH(RAB!C155,'HARGA SATUAN'!$C$7:$C$1492,0),0))</f>
        <v>0</v>
      </c>
      <c r="H155" s="360">
        <f t="shared" ca="1" si="68"/>
        <v>0</v>
      </c>
      <c r="I155" s="360">
        <f t="shared" ca="1" si="69"/>
        <v>0</v>
      </c>
      <c r="J155" s="360">
        <f t="shared" ca="1" si="70"/>
        <v>0</v>
      </c>
      <c r="K155" s="361">
        <f t="shared" ca="1" si="71"/>
        <v>0</v>
      </c>
    </row>
    <row r="156" spans="2:11">
      <c r="B156" s="723">
        <v>1</v>
      </c>
      <c r="C156" s="724" t="s">
        <v>29</v>
      </c>
      <c r="D156" s="357" t="str">
        <f ca="1">IF(ISERROR(OFFSET('HARGA SATUAN'!$D$6,MATCH(RAB!C156,'HARGA SATUAN'!$C$7:$C$1492,0),0)),"",OFFSET('HARGA SATUAN'!$D$6,MATCH(RAB!C156,'HARGA SATUAN'!$C$7:$C$1492,0),0))</f>
        <v>HDW</v>
      </c>
      <c r="E156" s="358" t="str">
        <f ca="1">IF(B156="+","Unit",IF(ISERROR(OFFSET('HARGA SATUAN'!$E$6,MATCH(RAB!C156,'HARGA SATUAN'!$C$7:$C$1492,0),0)),"",OFFSET('HARGA SATUAN'!$E$6,MATCH(RAB!C156,'HARGA SATUAN'!$C$7:$C$1492,0),0)))</f>
        <v>Bh</v>
      </c>
      <c r="F156" s="498">
        <f>F155*1</f>
        <v>1</v>
      </c>
      <c r="G156" s="359">
        <f ca="1">IF(ISERROR(OFFSET('HARGA SATUAN'!$I$6,MATCH(RAB!C156,'HARGA SATUAN'!$C$7:$C$1492,0),0)),0,OFFSET('HARGA SATUAN'!$I$6,MATCH(RAB!C156,'HARGA SATUAN'!$C$7:$C$1492,0),0))</f>
        <v>185200</v>
      </c>
      <c r="H156" s="360">
        <f t="shared" ca="1" si="68"/>
        <v>0</v>
      </c>
      <c r="I156" s="360">
        <f t="shared" ca="1" si="69"/>
        <v>185200</v>
      </c>
      <c r="J156" s="360">
        <f t="shared" ca="1" si="70"/>
        <v>0</v>
      </c>
      <c r="K156" s="361">
        <f t="shared" ca="1" si="71"/>
        <v>185200</v>
      </c>
    </row>
    <row r="157" spans="2:11">
      <c r="B157" s="723">
        <v>2</v>
      </c>
      <c r="C157" s="724" t="s">
        <v>30</v>
      </c>
      <c r="D157" s="357" t="str">
        <f ca="1">IF(ISERROR(OFFSET('HARGA SATUAN'!$D$6,MATCH(RAB!C157,'HARGA SATUAN'!$C$7:$C$1492,0),0)),"",OFFSET('HARGA SATUAN'!$D$6,MATCH(RAB!C157,'HARGA SATUAN'!$C$7:$C$1492,0),0))</f>
        <v>HDW</v>
      </c>
      <c r="E157" s="358" t="str">
        <f ca="1">IF(B157="+","Unit",IF(ISERROR(OFFSET('HARGA SATUAN'!$E$6,MATCH(RAB!C157,'HARGA SATUAN'!$C$7:$C$1492,0),0)),"",OFFSET('HARGA SATUAN'!$E$6,MATCH(RAB!C157,'HARGA SATUAN'!$C$7:$C$1492,0),0)))</f>
        <v>Bh</v>
      </c>
      <c r="F157" s="498">
        <f>F155*1</f>
        <v>1</v>
      </c>
      <c r="G157" s="359">
        <f ca="1">IF(ISERROR(OFFSET('HARGA SATUAN'!$I$6,MATCH(RAB!C157,'HARGA SATUAN'!$C$7:$C$1492,0),0)),0,OFFSET('HARGA SATUAN'!$I$6,MATCH(RAB!C157,'HARGA SATUAN'!$C$7:$C$1492,0),0))</f>
        <v>47459</v>
      </c>
      <c r="H157" s="360">
        <f t="shared" ca="1" si="68"/>
        <v>0</v>
      </c>
      <c r="I157" s="360">
        <f t="shared" ca="1" si="69"/>
        <v>47459</v>
      </c>
      <c r="J157" s="360">
        <f t="shared" ca="1" si="70"/>
        <v>0</v>
      </c>
      <c r="K157" s="361">
        <f t="shared" ca="1" si="71"/>
        <v>47459</v>
      </c>
    </row>
    <row r="158" spans="2:11">
      <c r="B158" s="723">
        <v>3</v>
      </c>
      <c r="C158" s="724" t="s">
        <v>32</v>
      </c>
      <c r="D158" s="357" t="str">
        <f ca="1">IF(ISERROR(OFFSET('HARGA SATUAN'!$D$6,MATCH(RAB!C158,'HARGA SATUAN'!$C$7:$C$1492,0),0)),"",OFFSET('HARGA SATUAN'!$D$6,MATCH(RAB!C158,'HARGA SATUAN'!$C$7:$C$1492,0),0))</f>
        <v>HDW</v>
      </c>
      <c r="E158" s="358" t="str">
        <f ca="1">IF(B158="+","Unit",IF(ISERROR(OFFSET('HARGA SATUAN'!$E$6,MATCH(RAB!C158,'HARGA SATUAN'!$C$7:$C$1492,0),0)),"",OFFSET('HARGA SATUAN'!$E$6,MATCH(RAB!C158,'HARGA SATUAN'!$C$7:$C$1492,0),0)))</f>
        <v>Mtr</v>
      </c>
      <c r="F158" s="498">
        <f>F155*1.5</f>
        <v>1.5</v>
      </c>
      <c r="G158" s="359">
        <f ca="1">IF(ISERROR(OFFSET('HARGA SATUAN'!$I$6,MATCH(RAB!C158,'HARGA SATUAN'!$C$7:$C$1492,0),0)),0,OFFSET('HARGA SATUAN'!$I$6,MATCH(RAB!C158,'HARGA SATUAN'!$C$7:$C$1492,0),0))</f>
        <v>30000</v>
      </c>
      <c r="H158" s="360">
        <f t="shared" ca="1" si="68"/>
        <v>0</v>
      </c>
      <c r="I158" s="360">
        <f t="shared" ca="1" si="69"/>
        <v>45000</v>
      </c>
      <c r="J158" s="360">
        <f t="shared" ca="1" si="70"/>
        <v>0</v>
      </c>
      <c r="K158" s="361">
        <f t="shared" ca="1" si="71"/>
        <v>45000</v>
      </c>
    </row>
    <row r="159" spans="2:11">
      <c r="B159" s="723">
        <v>4</v>
      </c>
      <c r="C159" s="724" t="s">
        <v>33</v>
      </c>
      <c r="D159" s="357" t="str">
        <f ca="1">IF(ISERROR(OFFSET('HARGA SATUAN'!$D$6,MATCH(RAB!C159,'HARGA SATUAN'!$C$7:$C$1492,0),0)),"",OFFSET('HARGA SATUAN'!$D$6,MATCH(RAB!C159,'HARGA SATUAN'!$C$7:$C$1492,0),0))</f>
        <v>HDW</v>
      </c>
      <c r="E159" s="358" t="str">
        <f ca="1">IF(B159="+","Unit",IF(ISERROR(OFFSET('HARGA SATUAN'!$E$6,MATCH(RAB!C159,'HARGA SATUAN'!$C$7:$C$1492,0),0)),"",OFFSET('HARGA SATUAN'!$E$6,MATCH(RAB!C159,'HARGA SATUAN'!$C$7:$C$1492,0),0)))</f>
        <v>Bh</v>
      </c>
      <c r="F159" s="498">
        <f>F155*2</f>
        <v>2</v>
      </c>
      <c r="G159" s="359">
        <f ca="1">IF(ISERROR(OFFSET('HARGA SATUAN'!$I$6,MATCH(RAB!C159,'HARGA SATUAN'!$C$7:$C$1492,0),0)),0,OFFSET('HARGA SATUAN'!$I$6,MATCH(RAB!C159,'HARGA SATUAN'!$C$7:$C$1492,0),0))</f>
        <v>9500</v>
      </c>
      <c r="H159" s="360">
        <f t="shared" ca="1" si="68"/>
        <v>0</v>
      </c>
      <c r="I159" s="360">
        <f t="shared" ca="1" si="69"/>
        <v>19000</v>
      </c>
      <c r="J159" s="360">
        <f t="shared" ca="1" si="70"/>
        <v>0</v>
      </c>
      <c r="K159" s="361">
        <f t="shared" ca="1" si="71"/>
        <v>19000</v>
      </c>
    </row>
    <row r="160" spans="2:11">
      <c r="B160" s="723">
        <v>5</v>
      </c>
      <c r="C160" s="724" t="s">
        <v>735</v>
      </c>
      <c r="D160" s="357" t="str">
        <f ca="1">IF(ISERROR(OFFSET('HARGA SATUAN'!$D$6,MATCH(RAB!C160,'HARGA SATUAN'!$C$7:$C$1492,0),0)),"",OFFSET('HARGA SATUAN'!$D$6,MATCH(RAB!C160,'HARGA SATUAN'!$C$7:$C$1492,0),0))</f>
        <v>JASA</v>
      </c>
      <c r="E160" s="358" t="str">
        <f ca="1">IF(B160="+","Unit",IF(ISERROR(OFFSET('HARGA SATUAN'!$E$6,MATCH(RAB!C160,'HARGA SATUAN'!$C$7:$C$1492,0),0)),"",OFFSET('HARGA SATUAN'!$E$6,MATCH(RAB!C160,'HARGA SATUAN'!$C$7:$C$1492,0),0)))</f>
        <v>Unit</v>
      </c>
      <c r="F160" s="498">
        <f>F155*1</f>
        <v>1</v>
      </c>
      <c r="G160" s="359">
        <f ca="1">IF(ISERROR(OFFSET('HARGA SATUAN'!$I$6,MATCH(RAB!C160,'HARGA SATUAN'!$C$7:$C$1492,0),0)),0,OFFSET('HARGA SATUAN'!$I$6,MATCH(RAB!C160,'HARGA SATUAN'!$C$7:$C$1492,0),0))</f>
        <v>56400</v>
      </c>
      <c r="H160" s="360">
        <f t="shared" ca="1" si="68"/>
        <v>0</v>
      </c>
      <c r="I160" s="360">
        <f t="shared" ca="1" si="69"/>
        <v>0</v>
      </c>
      <c r="J160" s="360">
        <f t="shared" ca="1" si="70"/>
        <v>56400</v>
      </c>
      <c r="K160" s="361">
        <f t="shared" ca="1" si="71"/>
        <v>56400</v>
      </c>
    </row>
    <row r="161" spans="2:11">
      <c r="B161" s="491"/>
      <c r="C161" s="494"/>
      <c r="D161" s="357" t="str">
        <f ca="1">IF(ISERROR(OFFSET('HARGA SATUAN'!$D$6,MATCH(RAB!C161,'HARGA SATUAN'!$C$7:$C$1492,0),0)),"",OFFSET('HARGA SATUAN'!$D$6,MATCH(RAB!C161,'HARGA SATUAN'!$C$7:$C$1492,0),0))</f>
        <v/>
      </c>
      <c r="E161" s="358" t="str">
        <f ca="1">IF(B161="+","Unit",IF(ISERROR(OFFSET('HARGA SATUAN'!$E$6,MATCH(RAB!C161,'HARGA SATUAN'!$C$7:$C$1492,0),0)),"",OFFSET('HARGA SATUAN'!$E$6,MATCH(RAB!C161,'HARGA SATUAN'!$C$7:$C$1492,0),0)))</f>
        <v/>
      </c>
      <c r="F161" s="499"/>
      <c r="G161" s="359">
        <f ca="1">IF(ISERROR(OFFSET('HARGA SATUAN'!$I$6,MATCH(RAB!C161,'HARGA SATUAN'!$C$7:$C$1492,0),0)),0,OFFSET('HARGA SATUAN'!$I$6,MATCH(RAB!C161,'HARGA SATUAN'!$C$7:$C$1492,0),0))</f>
        <v>0</v>
      </c>
      <c r="H161" s="360">
        <f t="shared" ca="1" si="68"/>
        <v>0</v>
      </c>
      <c r="I161" s="360">
        <f t="shared" ca="1" si="69"/>
        <v>0</v>
      </c>
      <c r="J161" s="360">
        <f t="shared" ca="1" si="70"/>
        <v>0</v>
      </c>
      <c r="K161" s="361">
        <f t="shared" ca="1" si="71"/>
        <v>0</v>
      </c>
    </row>
    <row r="162" spans="2:11">
      <c r="B162" s="492" t="s">
        <v>1615</v>
      </c>
      <c r="C162" s="497" t="s">
        <v>1621</v>
      </c>
      <c r="D162" s="357" t="str">
        <f ca="1">IF(ISERROR(OFFSET('HARGA SATUAN'!$D$6,MATCH(RAB!C162,'HARGA SATUAN'!$C$7:$C$1492,0),0)),"",OFFSET('HARGA SATUAN'!$D$6,MATCH(RAB!C162,'HARGA SATUAN'!$C$7:$C$1492,0),0))</f>
        <v/>
      </c>
      <c r="E162" s="358" t="str">
        <f ca="1">IF(B162="+","Unit",IF(ISERROR(OFFSET('HARGA SATUAN'!$E$6,MATCH(RAB!C162,'HARGA SATUAN'!$C$7:$C$1492,0),0)),"",OFFSET('HARGA SATUAN'!$E$6,MATCH(RAB!C162,'HARGA SATUAN'!$C$7:$C$1492,0),0)))</f>
        <v/>
      </c>
      <c r="F162" s="499"/>
      <c r="G162" s="359">
        <f ca="1">IF(ISERROR(OFFSET('HARGA SATUAN'!$I$6,MATCH(RAB!C162,'HARGA SATUAN'!$C$7:$C$1492,0),0)),0,OFFSET('HARGA SATUAN'!$I$6,MATCH(RAB!C162,'HARGA SATUAN'!$C$7:$C$1492,0),0))</f>
        <v>0</v>
      </c>
      <c r="H162" s="360">
        <f t="shared" ca="1" si="68"/>
        <v>0</v>
      </c>
      <c r="I162" s="360">
        <f t="shared" ca="1" si="69"/>
        <v>0</v>
      </c>
      <c r="J162" s="360">
        <f t="shared" ca="1" si="70"/>
        <v>0</v>
      </c>
      <c r="K162" s="361">
        <f t="shared" ca="1" si="71"/>
        <v>0</v>
      </c>
    </row>
    <row r="163" spans="2:11">
      <c r="B163" s="492"/>
      <c r="C163" s="493"/>
      <c r="D163" s="357" t="str">
        <f ca="1">IF(ISERROR(OFFSET('HARGA SATUAN'!$D$6,MATCH(RAB!C163,'HARGA SATUAN'!$C$7:$C$1492,0),0)),"",OFFSET('HARGA SATUAN'!$D$6,MATCH(RAB!C163,'HARGA SATUAN'!$C$7:$C$1492,0),0))</f>
        <v/>
      </c>
      <c r="E163" s="358" t="str">
        <f ca="1">IF(B163="+","Unit",IF(ISERROR(OFFSET('HARGA SATUAN'!$E$6,MATCH(RAB!C163,'HARGA SATUAN'!$C$7:$C$1492,0),0)),"",OFFSET('HARGA SATUAN'!$E$6,MATCH(RAB!C163,'HARGA SATUAN'!$C$7:$C$1492,0),0)))</f>
        <v/>
      </c>
      <c r="F163" s="499"/>
      <c r="G163" s="359">
        <f ca="1">IF(ISERROR(OFFSET('HARGA SATUAN'!$I$6,MATCH(RAB!C163,'HARGA SATUAN'!$C$7:$C$1492,0),0)),0,OFFSET('HARGA SATUAN'!$I$6,MATCH(RAB!C163,'HARGA SATUAN'!$C$7:$C$1492,0),0))</f>
        <v>0</v>
      </c>
      <c r="H163" s="360">
        <f t="shared" ca="1" si="68"/>
        <v>0</v>
      </c>
      <c r="I163" s="360">
        <f t="shared" ca="1" si="69"/>
        <v>0</v>
      </c>
      <c r="J163" s="360">
        <f t="shared" ca="1" si="70"/>
        <v>0</v>
      </c>
      <c r="K163" s="361">
        <f t="shared" ca="1" si="71"/>
        <v>0</v>
      </c>
    </row>
    <row r="164" spans="2:11">
      <c r="B164" s="492" t="s">
        <v>1035</v>
      </c>
      <c r="C164" s="493" t="s">
        <v>1647</v>
      </c>
      <c r="D164" s="357" t="str">
        <f ca="1">IF(ISERROR(OFFSET('HARGA SATUAN'!$D$6,MATCH(RAB!C164,'HARGA SATUAN'!$C$7:$C$1492,0),0)),"",OFFSET('HARGA SATUAN'!$D$6,MATCH(RAB!C164,'HARGA SATUAN'!$C$7:$C$1492,0),0))</f>
        <v/>
      </c>
      <c r="E164" s="358" t="str">
        <f ca="1">IF(B164="+","Unit",IF(ISERROR(OFFSET('HARGA SATUAN'!$E$6,MATCH(RAB!C164,'HARGA SATUAN'!$C$7:$C$1492,0),0)),"",OFFSET('HARGA SATUAN'!$E$6,MATCH(RAB!C164,'HARGA SATUAN'!$C$7:$C$1492,0),0)))</f>
        <v>Unit</v>
      </c>
      <c r="F164" s="508">
        <v>1</v>
      </c>
      <c r="G164" s="359">
        <f ca="1">IF(ISERROR(OFFSET('HARGA SATUAN'!$I$6,MATCH(RAB!C164,'HARGA SATUAN'!$C$7:$C$1492,0),0)),0,OFFSET('HARGA SATUAN'!$I$6,MATCH(RAB!C164,'HARGA SATUAN'!$C$7:$C$1492,0),0))</f>
        <v>0</v>
      </c>
      <c r="H164" s="360">
        <f t="shared" ref="H164:H168" ca="1" si="72">IF(OR(D164="MDU",D164="MDU-KD"),(IF($O$3="RAB NON MDU","PLN KD",G164*F164)),0)</f>
        <v>0</v>
      </c>
      <c r="I164" s="360">
        <f t="shared" ref="I164:I168" ca="1" si="73">IF(D164="HDW",G164*F164,0)</f>
        <v>0</v>
      </c>
      <c r="J164" s="360">
        <f t="shared" ref="J164:J168" ca="1" si="74">IF(D164="JASA",G164*F164,0)</f>
        <v>0</v>
      </c>
      <c r="K164" s="361">
        <f t="shared" ref="K164:K168" ca="1" si="75">SUM(H164:J164)</f>
        <v>0</v>
      </c>
    </row>
    <row r="165" spans="2:11" ht="30">
      <c r="B165" s="723">
        <v>1</v>
      </c>
      <c r="C165" s="109" t="s">
        <v>1197</v>
      </c>
      <c r="D165" s="357" t="str">
        <f ca="1">IF(ISERROR(OFFSET('HARGA SATUAN'!$D$6,MATCH(RAB!C165,'HARGA SATUAN'!$C$7:$C$1492,0),0)),"",OFFSET('HARGA SATUAN'!$D$6,MATCH(RAB!C165,'HARGA SATUAN'!$C$7:$C$1492,0),0))</f>
        <v>MDU-KD</v>
      </c>
      <c r="E165" s="358" t="str">
        <f ca="1">IF(B165="+","Unit",IF(ISERROR(OFFSET('HARGA SATUAN'!$E$6,MATCH(RAB!C165,'HARGA SATUAN'!$C$7:$C$1492,0),0)),"",OFFSET('HARGA SATUAN'!$E$6,MATCH(RAB!C165,'HARGA SATUAN'!$C$7:$C$1492,0),0)))</f>
        <v>Bh</v>
      </c>
      <c r="F165" s="508">
        <f>F164*1</f>
        <v>1</v>
      </c>
      <c r="G165" s="359">
        <f ca="1">IF(ISERROR(OFFSET('HARGA SATUAN'!$I$6,MATCH(RAB!C165,'HARGA SATUAN'!$C$7:$C$1492,0),0)),0,OFFSET('HARGA SATUAN'!$I$6,MATCH(RAB!C165,'HARGA SATUAN'!$C$7:$C$1492,0),0))</f>
        <v>1427400</v>
      </c>
      <c r="H165" s="360">
        <f t="shared" ca="1" si="72"/>
        <v>1427400</v>
      </c>
      <c r="I165" s="360">
        <f t="shared" ca="1" si="73"/>
        <v>0</v>
      </c>
      <c r="J165" s="360">
        <f t="shared" ca="1" si="74"/>
        <v>0</v>
      </c>
      <c r="K165" s="361">
        <f t="shared" ca="1" si="75"/>
        <v>1427400</v>
      </c>
    </row>
    <row r="166" spans="2:11">
      <c r="B166" s="723">
        <v>2</v>
      </c>
      <c r="C166" s="728" t="s">
        <v>509</v>
      </c>
      <c r="D166" s="357" t="str">
        <f ca="1">IF(ISERROR(OFFSET('HARGA SATUAN'!$D$6,MATCH(RAB!C166,'HARGA SATUAN'!$C$7:$C$1492,0),0)),"",OFFSET('HARGA SATUAN'!$D$6,MATCH(RAB!C166,'HARGA SATUAN'!$C$7:$C$1492,0),0))</f>
        <v>MDU-KD</v>
      </c>
      <c r="E166" s="358" t="str">
        <f ca="1">IF(B166="+","Unit",IF(ISERROR(OFFSET('HARGA SATUAN'!$E$6,MATCH(RAB!C166,'HARGA SATUAN'!$C$7:$C$1492,0),0)),"",OFFSET('HARGA SATUAN'!$E$6,MATCH(RAB!C166,'HARGA SATUAN'!$C$7:$C$1492,0),0)))</f>
        <v>Unit</v>
      </c>
      <c r="F166" s="508">
        <f>F164*1</f>
        <v>1</v>
      </c>
      <c r="G166" s="359">
        <f ca="1">IF(ISERROR(OFFSET('HARGA SATUAN'!$I$6,MATCH(RAB!C166,'HARGA SATUAN'!$C$7:$C$1492,0),0)),0,OFFSET('HARGA SATUAN'!$I$6,MATCH(RAB!C166,'HARGA SATUAN'!$C$7:$C$1492,0),0))</f>
        <v>3564900</v>
      </c>
      <c r="H166" s="360">
        <f t="shared" ca="1" si="72"/>
        <v>3564900</v>
      </c>
      <c r="I166" s="360">
        <f t="shared" ca="1" si="73"/>
        <v>0</v>
      </c>
      <c r="J166" s="360">
        <f t="shared" ca="1" si="74"/>
        <v>0</v>
      </c>
      <c r="K166" s="361">
        <f t="shared" ca="1" si="75"/>
        <v>3564900</v>
      </c>
    </row>
    <row r="167" spans="2:11">
      <c r="B167" s="723">
        <v>3</v>
      </c>
      <c r="C167" s="728" t="s">
        <v>77</v>
      </c>
      <c r="D167" s="357" t="str">
        <f ca="1">IF(ISERROR(OFFSET('HARGA SATUAN'!$D$6,MATCH(RAB!C167,'HARGA SATUAN'!$C$7:$C$1492,0),0)),"",OFFSET('HARGA SATUAN'!$D$6,MATCH(RAB!C167,'HARGA SATUAN'!$C$7:$C$1492,0),0))</f>
        <v>MDU-KD</v>
      </c>
      <c r="E167" s="358" t="str">
        <f ca="1">IF(B167="+","Unit",IF(ISERROR(OFFSET('HARGA SATUAN'!$E$6,MATCH(RAB!C167,'HARGA SATUAN'!$C$7:$C$1492,0),0)),"",OFFSET('HARGA SATUAN'!$E$6,MATCH(RAB!C167,'HARGA SATUAN'!$C$7:$C$1492,0),0)))</f>
        <v>Mtr</v>
      </c>
      <c r="F167" s="508">
        <v>30</v>
      </c>
      <c r="G167" s="359">
        <f ca="1">IF(ISERROR(OFFSET('HARGA SATUAN'!$I$6,MATCH(RAB!C167,'HARGA SATUAN'!$C$7:$C$1492,0),0)),0,OFFSET('HARGA SATUAN'!$I$6,MATCH(RAB!C167,'HARGA SATUAN'!$C$7:$C$1492,0),0))</f>
        <v>13500</v>
      </c>
      <c r="H167" s="360">
        <f t="shared" ca="1" si="72"/>
        <v>405000</v>
      </c>
      <c r="I167" s="360">
        <f t="shared" ca="1" si="73"/>
        <v>0</v>
      </c>
      <c r="J167" s="360">
        <f t="shared" ca="1" si="74"/>
        <v>0</v>
      </c>
      <c r="K167" s="361">
        <f t="shared" ca="1" si="75"/>
        <v>405000</v>
      </c>
    </row>
    <row r="168" spans="2:11">
      <c r="B168" s="723">
        <v>4</v>
      </c>
      <c r="C168" s="728" t="s">
        <v>799</v>
      </c>
      <c r="D168" s="357" t="str">
        <f ca="1">IF(ISERROR(OFFSET('HARGA SATUAN'!$D$6,MATCH(RAB!C168,'HARGA SATUAN'!$C$7:$C$1492,0),0)),"",OFFSET('HARGA SATUAN'!$D$6,MATCH(RAB!C168,'HARGA SATUAN'!$C$7:$C$1492,0),0))</f>
        <v>JASA</v>
      </c>
      <c r="E168" s="358" t="str">
        <f ca="1">IF(B168="+","Unit",IF(ISERROR(OFFSET('HARGA SATUAN'!$E$6,MATCH(RAB!C168,'HARGA SATUAN'!$C$7:$C$1492,0),0)),"",OFFSET('HARGA SATUAN'!$E$6,MATCH(RAB!C168,'HARGA SATUAN'!$C$7:$C$1492,0),0)))</f>
        <v>Unit</v>
      </c>
      <c r="F168" s="508">
        <f>F164*1</f>
        <v>1</v>
      </c>
      <c r="G168" s="359">
        <f ca="1">IF(ISERROR(OFFSET('HARGA SATUAN'!$I$6,MATCH(RAB!C168,'HARGA SATUAN'!$C$7:$C$1492,0),0)),0,OFFSET('HARGA SATUAN'!$I$6,MATCH(RAB!C168,'HARGA SATUAN'!$C$7:$C$1492,0),0))</f>
        <v>106400</v>
      </c>
      <c r="H168" s="360">
        <f t="shared" ca="1" si="72"/>
        <v>0</v>
      </c>
      <c r="I168" s="360">
        <f t="shared" ca="1" si="73"/>
        <v>0</v>
      </c>
      <c r="J168" s="360">
        <f t="shared" ca="1" si="74"/>
        <v>106400</v>
      </c>
      <c r="K168" s="361">
        <f t="shared" ca="1" si="75"/>
        <v>106400</v>
      </c>
    </row>
    <row r="169" spans="2:11">
      <c r="B169" s="373"/>
      <c r="C169" s="506"/>
      <c r="D169" s="357" t="str">
        <f ca="1">IF(ISERROR(OFFSET('HARGA SATUAN'!$D$6,MATCH(RAB!C169,'HARGA SATUAN'!$C$7:$C$1492,0),0)),"",OFFSET('HARGA SATUAN'!$D$6,MATCH(RAB!C169,'HARGA SATUAN'!$C$7:$C$1492,0),0))</f>
        <v/>
      </c>
      <c r="E169" s="358" t="str">
        <f ca="1">IF(B169="+","Unit",IF(ISERROR(OFFSET('HARGA SATUAN'!$E$6,MATCH(RAB!C169,'HARGA SATUAN'!$C$7:$C$1492,0),0)),"",OFFSET('HARGA SATUAN'!$E$6,MATCH(RAB!C169,'HARGA SATUAN'!$C$7:$C$1492,0),0)))</f>
        <v/>
      </c>
      <c r="F169" s="367"/>
      <c r="G169" s="359">
        <f ca="1">IF(ISERROR(OFFSET('HARGA SATUAN'!$I$6,MATCH(RAB!C169,'HARGA SATUAN'!$C$7:$C$1492,0),0)),0,OFFSET('HARGA SATUAN'!$I$6,MATCH(RAB!C169,'HARGA SATUAN'!$C$7:$C$1492,0),0))</f>
        <v>0</v>
      </c>
      <c r="H169" s="360">
        <f t="shared" ref="H169:H181" ca="1" si="76">IF(OR(D169="MDU",D169="MDU-KD"),(IF($O$3="RAB NON MDU","PLN KD",G169*F169)),0)</f>
        <v>0</v>
      </c>
      <c r="I169" s="360">
        <f t="shared" ref="I169:I181" ca="1" si="77">IF(D169="HDW",G169*F169,0)</f>
        <v>0</v>
      </c>
      <c r="J169" s="360">
        <f t="shared" ref="J169:J181" ca="1" si="78">IF(D169="JASA",G169*F169,0)</f>
        <v>0</v>
      </c>
      <c r="K169" s="361">
        <f t="shared" ref="K169:K181" ca="1" si="79">SUM(H169:J169)</f>
        <v>0</v>
      </c>
    </row>
    <row r="170" spans="2:11">
      <c r="B170" s="514" t="s">
        <v>1035</v>
      </c>
      <c r="C170" s="516" t="s">
        <v>1626</v>
      </c>
      <c r="D170" s="357" t="str">
        <f ca="1">IF(ISERROR(OFFSET('HARGA SATUAN'!$D$6,MATCH(RAB!C170,'HARGA SATUAN'!$C$7:$C$1492,0),0)),"",OFFSET('HARGA SATUAN'!$D$6,MATCH(RAB!C170,'HARGA SATUAN'!$C$7:$C$1492,0),0))</f>
        <v/>
      </c>
      <c r="E170" s="358" t="str">
        <f ca="1">IF(B170="+","Unit",IF(ISERROR(OFFSET('HARGA SATUAN'!$E$6,MATCH(RAB!C170,'HARGA SATUAN'!$C$7:$C$1492,0),0)),"",OFFSET('HARGA SATUAN'!$E$6,MATCH(RAB!C170,'HARGA SATUAN'!$C$7:$C$1492,0),0)))</f>
        <v>Unit</v>
      </c>
      <c r="F170" s="517">
        <v>1</v>
      </c>
      <c r="G170" s="359">
        <f ca="1">IF(ISERROR(OFFSET('HARGA SATUAN'!$I$6,MATCH(RAB!C170,'HARGA SATUAN'!$C$7:$C$1492,0),0)),0,OFFSET('HARGA SATUAN'!$I$6,MATCH(RAB!C170,'HARGA SATUAN'!$C$7:$C$1492,0),0))</f>
        <v>0</v>
      </c>
      <c r="H170" s="360">
        <f t="shared" ca="1" si="76"/>
        <v>0</v>
      </c>
      <c r="I170" s="360">
        <f t="shared" ca="1" si="77"/>
        <v>0</v>
      </c>
      <c r="J170" s="360">
        <f t="shared" ca="1" si="78"/>
        <v>0</v>
      </c>
      <c r="K170" s="361">
        <f t="shared" ca="1" si="79"/>
        <v>0</v>
      </c>
    </row>
    <row r="171" spans="2:11">
      <c r="B171" s="514">
        <v>1</v>
      </c>
      <c r="C171" s="516" t="s">
        <v>115</v>
      </c>
      <c r="D171" s="357" t="str">
        <f ca="1">IF(ISERROR(OFFSET('HARGA SATUAN'!$D$6,MATCH(RAB!C171,'HARGA SATUAN'!$C$7:$C$1492,0),0)),"",OFFSET('HARGA SATUAN'!$D$6,MATCH(RAB!C171,'HARGA SATUAN'!$C$7:$C$1492,0),0))</f>
        <v>HDW</v>
      </c>
      <c r="E171" s="358" t="str">
        <f ca="1">IF(B171="+","Unit",IF(ISERROR(OFFSET('HARGA SATUAN'!$E$6,MATCH(RAB!C171,'HARGA SATUAN'!$C$7:$C$1492,0),0)),"",OFFSET('HARGA SATUAN'!$E$6,MATCH(RAB!C171,'HARGA SATUAN'!$C$7:$C$1492,0),0)))</f>
        <v>Set</v>
      </c>
      <c r="F171" s="517">
        <f>F170*1</f>
        <v>1</v>
      </c>
      <c r="G171" s="359">
        <f ca="1">IF(ISERROR(OFFSET('HARGA SATUAN'!$I$6,MATCH(RAB!C171,'HARGA SATUAN'!$C$7:$C$1492,0),0)),0,OFFSET('HARGA SATUAN'!$I$6,MATCH(RAB!C171,'HARGA SATUAN'!$C$7:$C$1492,0),0))</f>
        <v>11500</v>
      </c>
      <c r="H171" s="360">
        <f t="shared" ca="1" si="76"/>
        <v>0</v>
      </c>
      <c r="I171" s="360">
        <f t="shared" ca="1" si="77"/>
        <v>11500</v>
      </c>
      <c r="J171" s="360">
        <f t="shared" ca="1" si="78"/>
        <v>0</v>
      </c>
      <c r="K171" s="361">
        <f t="shared" ca="1" si="79"/>
        <v>11500</v>
      </c>
    </row>
    <row r="172" spans="2:11">
      <c r="B172" s="514">
        <v>2</v>
      </c>
      <c r="C172" s="516" t="s">
        <v>145</v>
      </c>
      <c r="D172" s="357" t="str">
        <f ca="1">IF(ISERROR(OFFSET('HARGA SATUAN'!$D$6,MATCH(RAB!C172,'HARGA SATUAN'!$C$7:$C$1492,0),0)),"",OFFSET('HARGA SATUAN'!$D$6,MATCH(RAB!C172,'HARGA SATUAN'!$C$7:$C$1492,0),0))</f>
        <v>HDW</v>
      </c>
      <c r="E172" s="358" t="str">
        <f ca="1">IF(B172="+","Unit",IF(ISERROR(OFFSET('HARGA SATUAN'!$E$6,MATCH(RAB!C172,'HARGA SATUAN'!$C$7:$C$1492,0),0)),"",OFFSET('HARGA SATUAN'!$E$6,MATCH(RAB!C172,'HARGA SATUAN'!$C$7:$C$1492,0),0)))</f>
        <v>Set</v>
      </c>
      <c r="F172" s="517">
        <f>F170*1</f>
        <v>1</v>
      </c>
      <c r="G172" s="359">
        <f ca="1">IF(ISERROR(OFFSET('HARGA SATUAN'!$I$6,MATCH(RAB!C172,'HARGA SATUAN'!$C$7:$C$1492,0),0)),0,OFFSET('HARGA SATUAN'!$I$6,MATCH(RAB!C172,'HARGA SATUAN'!$C$7:$C$1492,0),0))</f>
        <v>6200</v>
      </c>
      <c r="H172" s="360">
        <f t="shared" ca="1" si="76"/>
        <v>0</v>
      </c>
      <c r="I172" s="360">
        <f t="shared" ca="1" si="77"/>
        <v>6200</v>
      </c>
      <c r="J172" s="360">
        <f t="shared" ca="1" si="78"/>
        <v>0</v>
      </c>
      <c r="K172" s="361">
        <f t="shared" ca="1" si="79"/>
        <v>6200</v>
      </c>
    </row>
    <row r="173" spans="2:11">
      <c r="B173" s="514">
        <v>3</v>
      </c>
      <c r="C173" s="516" t="s">
        <v>587</v>
      </c>
      <c r="D173" s="357" t="str">
        <f ca="1">IF(ISERROR(OFFSET('HARGA SATUAN'!$D$6,MATCH(RAB!C173,'HARGA SATUAN'!$C$7:$C$1492,0),0)),"",OFFSET('HARGA SATUAN'!$D$6,MATCH(RAB!C173,'HARGA SATUAN'!$C$7:$C$1492,0),0))</f>
        <v>HDW</v>
      </c>
      <c r="E173" s="358" t="str">
        <f ca="1">IF(B173="+","Unit",IF(ISERROR(OFFSET('HARGA SATUAN'!$E$6,MATCH(RAB!C173,'HARGA SATUAN'!$C$7:$C$1492,0),0)),"",OFFSET('HARGA SATUAN'!$E$6,MATCH(RAB!C173,'HARGA SATUAN'!$C$7:$C$1492,0),0)))</f>
        <v>Btg</v>
      </c>
      <c r="F173" s="517">
        <f>F170*1</f>
        <v>1</v>
      </c>
      <c r="G173" s="359">
        <f ca="1">IF(ISERROR(OFFSET('HARGA SATUAN'!$I$6,MATCH(RAB!C173,'HARGA SATUAN'!$C$7:$C$1492,0),0)),0,OFFSET('HARGA SATUAN'!$I$6,MATCH(RAB!C173,'HARGA SATUAN'!$C$7:$C$1492,0),0))</f>
        <v>45796</v>
      </c>
      <c r="H173" s="360">
        <f t="shared" ca="1" si="76"/>
        <v>0</v>
      </c>
      <c r="I173" s="360">
        <f t="shared" ca="1" si="77"/>
        <v>45796</v>
      </c>
      <c r="J173" s="360">
        <f t="shared" ca="1" si="78"/>
        <v>0</v>
      </c>
      <c r="K173" s="361">
        <f t="shared" ca="1" si="79"/>
        <v>45796</v>
      </c>
    </row>
    <row r="174" spans="2:11">
      <c r="B174" s="514">
        <v>4</v>
      </c>
      <c r="C174" s="516" t="s">
        <v>118</v>
      </c>
      <c r="D174" s="357" t="str">
        <f ca="1">IF(ISERROR(OFFSET('HARGA SATUAN'!$D$6,MATCH(RAB!C174,'HARGA SATUAN'!$C$7:$C$1492,0),0)),"",OFFSET('HARGA SATUAN'!$D$6,MATCH(RAB!C174,'HARGA SATUAN'!$C$7:$C$1492,0),0))</f>
        <v>HDW</v>
      </c>
      <c r="E174" s="358" t="str">
        <f ca="1">IF(B174="+","Unit",IF(ISERROR(OFFSET('HARGA SATUAN'!$E$6,MATCH(RAB!C174,'HARGA SATUAN'!$C$7:$C$1492,0),0)),"",OFFSET('HARGA SATUAN'!$E$6,MATCH(RAB!C174,'HARGA SATUAN'!$C$7:$C$1492,0),0)))</f>
        <v>Set</v>
      </c>
      <c r="F174" s="517">
        <f>F170*1</f>
        <v>1</v>
      </c>
      <c r="G174" s="359">
        <f ca="1">IF(ISERROR(OFFSET('HARGA SATUAN'!$I$6,MATCH(RAB!C174,'HARGA SATUAN'!$C$7:$C$1492,0),0)),0,OFFSET('HARGA SATUAN'!$I$6,MATCH(RAB!C174,'HARGA SATUAN'!$C$7:$C$1492,0),0))</f>
        <v>5300</v>
      </c>
      <c r="H174" s="360">
        <f t="shared" ca="1" si="76"/>
        <v>0</v>
      </c>
      <c r="I174" s="360">
        <f t="shared" ca="1" si="77"/>
        <v>5300</v>
      </c>
      <c r="J174" s="360">
        <f t="shared" ca="1" si="78"/>
        <v>0</v>
      </c>
      <c r="K174" s="361">
        <f t="shared" ca="1" si="79"/>
        <v>5300</v>
      </c>
    </row>
    <row r="175" spans="2:11">
      <c r="B175" s="514">
        <v>5</v>
      </c>
      <c r="C175" s="516" t="s">
        <v>117</v>
      </c>
      <c r="D175" s="357" t="str">
        <f ca="1">IF(ISERROR(OFFSET('HARGA SATUAN'!$D$6,MATCH(RAB!C175,'HARGA SATUAN'!$C$7:$C$1492,0),0)),"",OFFSET('HARGA SATUAN'!$D$6,MATCH(RAB!C175,'HARGA SATUAN'!$C$7:$C$1492,0),0))</f>
        <v>HDW</v>
      </c>
      <c r="E175" s="358" t="str">
        <f ca="1">IF(B175="+","Unit",IF(ISERROR(OFFSET('HARGA SATUAN'!$E$6,MATCH(RAB!C175,'HARGA SATUAN'!$C$7:$C$1492,0),0)),"",OFFSET('HARGA SATUAN'!$E$6,MATCH(RAB!C175,'HARGA SATUAN'!$C$7:$C$1492,0),0)))</f>
        <v>Bh</v>
      </c>
      <c r="F175" s="517">
        <f>F170*1</f>
        <v>1</v>
      </c>
      <c r="G175" s="359">
        <f ca="1">IF(ISERROR(OFFSET('HARGA SATUAN'!$I$6,MATCH(RAB!C175,'HARGA SATUAN'!$C$7:$C$1492,0),0)),0,OFFSET('HARGA SATUAN'!$I$6,MATCH(RAB!C175,'HARGA SATUAN'!$C$7:$C$1492,0),0))</f>
        <v>58600</v>
      </c>
      <c r="H175" s="360">
        <f t="shared" ca="1" si="76"/>
        <v>0</v>
      </c>
      <c r="I175" s="360">
        <f t="shared" ca="1" si="77"/>
        <v>58600</v>
      </c>
      <c r="J175" s="360">
        <f t="shared" ca="1" si="78"/>
        <v>0</v>
      </c>
      <c r="K175" s="361">
        <f t="shared" ca="1" si="79"/>
        <v>58600</v>
      </c>
    </row>
    <row r="176" spans="2:11">
      <c r="B176" s="514">
        <v>6</v>
      </c>
      <c r="C176" s="109" t="s">
        <v>1155</v>
      </c>
      <c r="D176" s="357" t="str">
        <f ca="1">IF(ISERROR(OFFSET('HARGA SATUAN'!$D$6,MATCH(RAB!C176,'HARGA SATUAN'!$C$7:$C$1492,0),0)),"",OFFSET('HARGA SATUAN'!$D$6,MATCH(RAB!C176,'HARGA SATUAN'!$C$7:$C$1492,0),0))</f>
        <v>HDW</v>
      </c>
      <c r="E176" s="358" t="str">
        <f ca="1">IF(B176="+","Unit",IF(ISERROR(OFFSET('HARGA SATUAN'!$E$6,MATCH(RAB!C176,'HARGA SATUAN'!$C$7:$C$1492,0),0)),"",OFFSET('HARGA SATUAN'!$E$6,MATCH(RAB!C176,'HARGA SATUAN'!$C$7:$C$1492,0),0)))</f>
        <v>Set</v>
      </c>
      <c r="F176" s="517">
        <f>F170*2</f>
        <v>2</v>
      </c>
      <c r="G176" s="359">
        <f ca="1">IF(ISERROR(OFFSET('HARGA SATUAN'!$I$6,MATCH(RAB!C176,'HARGA SATUAN'!$C$7:$C$1492,0),0)),0,OFFSET('HARGA SATUAN'!$I$6,MATCH(RAB!C176,'HARGA SATUAN'!$C$7:$C$1492,0),0))</f>
        <v>2900</v>
      </c>
      <c r="H176" s="360">
        <f t="shared" ca="1" si="76"/>
        <v>0</v>
      </c>
      <c r="I176" s="360">
        <f t="shared" ca="1" si="77"/>
        <v>5800</v>
      </c>
      <c r="J176" s="360">
        <f t="shared" ca="1" si="78"/>
        <v>0</v>
      </c>
      <c r="K176" s="361">
        <f t="shared" ca="1" si="79"/>
        <v>5800</v>
      </c>
    </row>
    <row r="177" spans="2:13">
      <c r="B177" s="514">
        <v>7</v>
      </c>
      <c r="C177" s="516" t="s">
        <v>119</v>
      </c>
      <c r="D177" s="357" t="str">
        <f ca="1">IF(ISERROR(OFFSET('HARGA SATUAN'!$D$6,MATCH(RAB!C177,'HARGA SATUAN'!$C$7:$C$1492,0),0)),"",OFFSET('HARGA SATUAN'!$D$6,MATCH(RAB!C177,'HARGA SATUAN'!$C$7:$C$1492,0),0))</f>
        <v>HDW</v>
      </c>
      <c r="E177" s="358" t="str">
        <f ca="1">IF(B177="+","Unit",IF(ISERROR(OFFSET('HARGA SATUAN'!$E$6,MATCH(RAB!C177,'HARGA SATUAN'!$C$7:$C$1492,0),0)),"",OFFSET('HARGA SATUAN'!$E$6,MATCH(RAB!C177,'HARGA SATUAN'!$C$7:$C$1492,0),0)))</f>
        <v>Set</v>
      </c>
      <c r="F177" s="517">
        <f>F170*4</f>
        <v>4</v>
      </c>
      <c r="G177" s="359">
        <f ca="1">IF(ISERROR(OFFSET('HARGA SATUAN'!$I$6,MATCH(RAB!C177,'HARGA SATUAN'!$C$7:$C$1492,0),0)),0,OFFSET('HARGA SATUAN'!$I$6,MATCH(RAB!C177,'HARGA SATUAN'!$C$7:$C$1492,0),0))</f>
        <v>8900</v>
      </c>
      <c r="H177" s="360">
        <f t="shared" ca="1" si="76"/>
        <v>0</v>
      </c>
      <c r="I177" s="360">
        <f t="shared" ca="1" si="77"/>
        <v>35600</v>
      </c>
      <c r="J177" s="360">
        <f t="shared" ca="1" si="78"/>
        <v>0</v>
      </c>
      <c r="K177" s="361">
        <f t="shared" ca="1" si="79"/>
        <v>35600</v>
      </c>
    </row>
    <row r="178" spans="2:13">
      <c r="B178" s="373"/>
      <c r="C178" s="506"/>
      <c r="D178" s="357" t="str">
        <f ca="1">IF(ISERROR(OFFSET('HARGA SATUAN'!$D$6,MATCH(RAB!C178,'HARGA SATUAN'!$C$7:$C$1492,0),0)),"",OFFSET('HARGA SATUAN'!$D$6,MATCH(RAB!C178,'HARGA SATUAN'!$C$7:$C$1492,0),0))</f>
        <v/>
      </c>
      <c r="E178" s="358" t="str">
        <f ca="1">IF(B178="+","Unit",IF(ISERROR(OFFSET('HARGA SATUAN'!$E$6,MATCH(RAB!C178,'HARGA SATUAN'!$C$7:$C$1492,0),0)),"",OFFSET('HARGA SATUAN'!$E$6,MATCH(RAB!C178,'HARGA SATUAN'!$C$7:$C$1492,0),0)))</f>
        <v/>
      </c>
      <c r="F178" s="367"/>
      <c r="G178" s="359">
        <f ca="1">IF(ISERROR(OFFSET('HARGA SATUAN'!$I$6,MATCH(RAB!C178,'HARGA SATUAN'!$C$7:$C$1492,0),0)),0,OFFSET('HARGA SATUAN'!$I$6,MATCH(RAB!C178,'HARGA SATUAN'!$C$7:$C$1492,0),0))</f>
        <v>0</v>
      </c>
      <c r="H178" s="360">
        <f t="shared" ca="1" si="76"/>
        <v>0</v>
      </c>
      <c r="I178" s="360">
        <f t="shared" ca="1" si="77"/>
        <v>0</v>
      </c>
      <c r="J178" s="360">
        <f t="shared" ca="1" si="78"/>
        <v>0</v>
      </c>
      <c r="K178" s="361">
        <f t="shared" ca="1" si="79"/>
        <v>0</v>
      </c>
    </row>
    <row r="179" spans="2:13">
      <c r="B179" s="365" t="s">
        <v>22</v>
      </c>
      <c r="C179" s="366" t="s">
        <v>1617</v>
      </c>
      <c r="D179" s="357" t="str">
        <f ca="1">IF(ISERROR(OFFSET('HARGA SATUAN'!$D$6,MATCH(RAB!C179,'HARGA SATUAN'!$C$7:$C$1492,0),0)),"",OFFSET('HARGA SATUAN'!$D$6,MATCH(RAB!C179,'HARGA SATUAN'!$C$7:$C$1492,0),0))</f>
        <v/>
      </c>
      <c r="E179" s="358" t="str">
        <f ca="1">IF(B179="+","Unit",IF(ISERROR(OFFSET('HARGA SATUAN'!$E$6,MATCH(RAB!C179,'HARGA SATUAN'!$C$7:$C$1492,0),0)),"",OFFSET('HARGA SATUAN'!$E$6,MATCH(RAB!C179,'HARGA SATUAN'!$C$7:$C$1492,0),0)))</f>
        <v/>
      </c>
      <c r="F179" s="367"/>
      <c r="G179" s="359">
        <f ca="1">IF(ISERROR(OFFSET('HARGA SATUAN'!$I$6,MATCH(RAB!C179,'HARGA SATUAN'!$C$7:$C$1492,0),0)),0,OFFSET('HARGA SATUAN'!$I$6,MATCH(RAB!C179,'HARGA SATUAN'!$C$7:$C$1492,0),0))</f>
        <v>0</v>
      </c>
      <c r="H179" s="360">
        <f t="shared" ca="1" si="76"/>
        <v>0</v>
      </c>
      <c r="I179" s="360">
        <f t="shared" ca="1" si="77"/>
        <v>0</v>
      </c>
      <c r="J179" s="360">
        <f t="shared" ca="1" si="78"/>
        <v>0</v>
      </c>
      <c r="K179" s="361">
        <f t="shared" ca="1" si="79"/>
        <v>0</v>
      </c>
    </row>
    <row r="180" spans="2:13">
      <c r="B180" s="373"/>
      <c r="C180" s="372"/>
      <c r="D180" s="357" t="str">
        <f ca="1">IF(ISERROR(OFFSET('HARGA SATUAN'!$D$6,MATCH(RAB!C180,'HARGA SATUAN'!$C$7:$C$1492,0),0)),"",OFFSET('HARGA SATUAN'!$D$6,MATCH(RAB!C180,'HARGA SATUAN'!$C$7:$C$1492,0),0))</f>
        <v/>
      </c>
      <c r="E180" s="358" t="str">
        <f ca="1">IF(B180="+","Unit",IF(ISERROR(OFFSET('HARGA SATUAN'!$E$6,MATCH(RAB!C180,'HARGA SATUAN'!$C$7:$C$1492,0),0)),"",OFFSET('HARGA SATUAN'!$E$6,MATCH(RAB!C180,'HARGA SATUAN'!$C$7:$C$1492,0),0)))</f>
        <v/>
      </c>
      <c r="F180" s="367"/>
      <c r="G180" s="359">
        <f ca="1">IF(ISERROR(OFFSET('HARGA SATUAN'!$I$6,MATCH(RAB!C180,'HARGA SATUAN'!$C$7:$C$1492,0),0)),0,OFFSET('HARGA SATUAN'!$I$6,MATCH(RAB!C180,'HARGA SATUAN'!$C$7:$C$1492,0),0))</f>
        <v>0</v>
      </c>
      <c r="H180" s="360">
        <f t="shared" ca="1" si="76"/>
        <v>0</v>
      </c>
      <c r="I180" s="360">
        <f t="shared" ca="1" si="77"/>
        <v>0</v>
      </c>
      <c r="J180" s="360">
        <f t="shared" ca="1" si="78"/>
        <v>0</v>
      </c>
      <c r="K180" s="361">
        <f t="shared" ca="1" si="79"/>
        <v>0</v>
      </c>
    </row>
    <row r="181" spans="2:13">
      <c r="B181" s="374"/>
      <c r="C181" s="375" t="s">
        <v>475</v>
      </c>
      <c r="D181" s="357" t="str">
        <f ca="1">IF(ISERROR(OFFSET('HARGA SATUAN'!$D$6,MATCH(RAB!C181,'HARGA SATUAN'!$C$7:$C$1492,0),0)),"",OFFSET('HARGA SATUAN'!$D$6,MATCH(RAB!C181,'HARGA SATUAN'!$C$7:$C$1492,0),0))</f>
        <v/>
      </c>
      <c r="E181" s="358" t="str">
        <f ca="1">IF(B181="+","Unit",IF(ISERROR(OFFSET('HARGA SATUAN'!$E$6,MATCH(RAB!C181,'HARGA SATUAN'!$C$7:$C$1492,0),0)),"",OFFSET('HARGA SATUAN'!$E$6,MATCH(RAB!C181,'HARGA SATUAN'!$C$7:$C$1492,0),0)))</f>
        <v/>
      </c>
      <c r="F181" s="367"/>
      <c r="G181" s="359">
        <f ca="1">IF(ISERROR(OFFSET('HARGA SATUAN'!$I$6,MATCH(RAB!C181,'HARGA SATUAN'!$C$7:$C$1492,0),0)),0,OFFSET('HARGA SATUAN'!$I$6,MATCH(RAB!C181,'HARGA SATUAN'!$C$7:$C$1492,0),0))</f>
        <v>0</v>
      </c>
      <c r="H181" s="360">
        <f t="shared" ca="1" si="76"/>
        <v>0</v>
      </c>
      <c r="I181" s="360">
        <f t="shared" ca="1" si="77"/>
        <v>0</v>
      </c>
      <c r="J181" s="360">
        <f t="shared" ca="1" si="78"/>
        <v>0</v>
      </c>
      <c r="K181" s="361">
        <f t="shared" ca="1" si="79"/>
        <v>0</v>
      </c>
    </row>
    <row r="182" spans="2:13">
      <c r="B182" s="377">
        <v>1</v>
      </c>
      <c r="C182" s="378" t="s">
        <v>1091</v>
      </c>
      <c r="D182" s="379" t="str">
        <f ca="1">IF(ISERROR(OFFSET('HARGA SATUAN'!$D$6,MATCH(RAB!C182,'HARGA SATUAN'!$C$7:$C$1492,0),0)),"",OFFSET('HARGA SATUAN'!$D$6,MATCH(RAB!C182,'HARGA SATUAN'!$C$7:$C$1492,0),0))</f>
        <v>JASA</v>
      </c>
      <c r="E182" s="380" t="str">
        <f ca="1">IF(ISERROR(OFFSET('HARGA SATUAN'!$E$6,MATCH(RAB!C182,'HARGA SATUAN'!$C$7:$C$1492,0),0)),"",OFFSET('HARGA SATUAN'!$E$6,MATCH(RAB!C182,'HARGA SATUAN'!$C$7:$C$1492,0),0))</f>
        <v>Lot</v>
      </c>
      <c r="F182" s="381">
        <v>1</v>
      </c>
      <c r="G182" s="382">
        <f ca="1">IF(ISERROR(OFFSET('HARGA SATUAN'!$I$6,MATCH(RAB!C182,'HARGA SATUAN'!$C$7:$C$1492,0),0)),0,OFFSET('HARGA SATUAN'!$I$6,MATCH(RAB!C182,'HARGA SATUAN'!$C$7:$C$1492,0),0))</f>
        <v>2.5000000000000001E-2</v>
      </c>
      <c r="H182" s="383">
        <f ca="1">SUM(H14:H181)*G182</f>
        <v>2537438.75</v>
      </c>
      <c r="I182" s="383">
        <f ca="1">SUM(I14:I181)*G182</f>
        <v>1591997.0310000002</v>
      </c>
      <c r="J182" s="383">
        <f ca="1">SUM(J14:J181)*G182</f>
        <v>111039.16666666669</v>
      </c>
      <c r="K182" s="384">
        <f ca="1">SUM(H182:J182)</f>
        <v>4240474.9476666674</v>
      </c>
    </row>
    <row r="183" spans="2:13">
      <c r="B183" s="385"/>
      <c r="C183" s="386"/>
      <c r="D183" s="357" t="str">
        <f ca="1">IF(ISERROR(OFFSET('HARGA SATUAN'!$D$6,MATCH(RAB!C183,'HARGA SATUAN'!$C$7:$C$1492,0),0)),"",OFFSET('HARGA SATUAN'!$D$6,MATCH(RAB!C183,'HARGA SATUAN'!$C$7:$C$1492,0),0))</f>
        <v/>
      </c>
      <c r="E183" s="358" t="str">
        <f ca="1">IF(ISERROR(OFFSET('HARGA SATUAN'!$E$6,MATCH(RAB!C183,'HARGA SATUAN'!$C$7:$C$1492,0),0)),"",OFFSET('HARGA SATUAN'!$E$6,MATCH(RAB!C183,'HARGA SATUAN'!$C$7:$C$1492,0),0))</f>
        <v/>
      </c>
      <c r="F183" s="376"/>
      <c r="G183" s="359" t="str">
        <f ca="1">IF(ISERROR(OFFSET('HARGA SATUAN'!$I$6,MATCH(RAB!C183,'HARGA SATUAN'!$C$7:$C$1492,0),0)),"",OFFSET('HARGA SATUAN'!$I$6,MATCH(RAB!C183,'HARGA SATUAN'!$C$7:$C$1492,0),0))</f>
        <v/>
      </c>
      <c r="H183" s="360">
        <f ca="1">IF(OR(D183="MDU",D183="MDU-KD"),IF(G183="PLN",0,G183*F183),0)</f>
        <v>0</v>
      </c>
      <c r="I183" s="360">
        <f ca="1">IF(D183="HDW",IF(G183="PLN",0,G183*F183),0)</f>
        <v>0</v>
      </c>
      <c r="J183" s="360">
        <f ca="1">IF(D183="JASA",IF(G183="PLN",0,G183*F183),0)</f>
        <v>0</v>
      </c>
      <c r="K183" s="361">
        <f ca="1">SUM(H183:J183)</f>
        <v>0</v>
      </c>
    </row>
    <row r="184" spans="2:13" ht="15.75" thickBot="1">
      <c r="B184" s="387"/>
      <c r="C184" s="388"/>
      <c r="D184" s="389"/>
      <c r="E184" s="390"/>
      <c r="F184" s="390"/>
      <c r="G184" s="390"/>
      <c r="H184" s="391"/>
      <c r="I184" s="391"/>
      <c r="J184" s="391"/>
      <c r="K184" s="392"/>
    </row>
    <row r="185" spans="2:13">
      <c r="B185" s="393"/>
      <c r="C185" s="643" t="s">
        <v>1008</v>
      </c>
      <c r="D185" s="643"/>
      <c r="E185" s="643"/>
      <c r="F185" s="643"/>
      <c r="G185" s="394" t="s">
        <v>9</v>
      </c>
      <c r="H185" s="395">
        <f ca="1">SUM(H14:H183)</f>
        <v>104034988.75</v>
      </c>
      <c r="I185" s="395">
        <f ca="1">SUM(I14:I183)</f>
        <v>65271878.271000005</v>
      </c>
      <c r="J185" s="395">
        <f ca="1">SUM(J14:J183)</f>
        <v>4552605.833333334</v>
      </c>
      <c r="K185" s="395">
        <f ca="1">SUM(K14:K183)</f>
        <v>173859472.85433334</v>
      </c>
    </row>
    <row r="186" spans="2:13">
      <c r="B186" s="397"/>
      <c r="C186" s="626" t="s">
        <v>1457</v>
      </c>
      <c r="D186" s="626"/>
      <c r="E186" s="626"/>
      <c r="F186" s="626"/>
      <c r="G186" s="398" t="s">
        <v>9</v>
      </c>
      <c r="H186" s="399">
        <f ca="1">H185*0.11</f>
        <v>11443848.762499999</v>
      </c>
      <c r="I186" s="399">
        <f ca="1">I185*0.11</f>
        <v>7179906.6098100003</v>
      </c>
      <c r="J186" s="399">
        <f ca="1">J185*0.11</f>
        <v>500786.64166666672</v>
      </c>
      <c r="K186" s="399">
        <f ca="1">K185*0.11</f>
        <v>19124542.013976667</v>
      </c>
    </row>
    <row r="187" spans="2:13" ht="15.75" thickBot="1">
      <c r="B187" s="397"/>
      <c r="C187" s="624" t="s">
        <v>463</v>
      </c>
      <c r="D187" s="624"/>
      <c r="E187" s="624"/>
      <c r="F187" s="624"/>
      <c r="G187" s="400" t="s">
        <v>9</v>
      </c>
      <c r="H187" s="401">
        <f ca="1">SUM(H185:H186)</f>
        <v>115478837.5125</v>
      </c>
      <c r="I187" s="401">
        <f ca="1">SUM(I185:I186)</f>
        <v>72451784.880810007</v>
      </c>
      <c r="J187" s="400">
        <f ca="1">SUM(J185:J186)</f>
        <v>5053392.4750000006</v>
      </c>
      <c r="K187" s="400">
        <f ca="1">SUM(K185:K186)</f>
        <v>192984014.86831</v>
      </c>
      <c r="M187" s="482"/>
    </row>
    <row r="188" spans="2:13">
      <c r="B188" s="627" t="str">
        <f ca="1">"Terbilang : "&amp;PROPER(IF(K187=0,"nol",IF(K187&lt;0,"minus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IF(--MID(TEXT(ABS(K187),"000000000000000"),1,3)=0,"",MID(TEXT(ABS(K187),"000000000000000"),1,1)&amp;" ratus "&amp;MID(TEXT(ABS(K187),"000000000000000"),2,1)&amp;" puluh "&amp;MID(TEXT(ABS(K187),"000000000000000"),3,1)&amp;" trilyun ")&amp; IF(--MID(TEXT(ABS(K187),"000000000000000"),4,3)=0,"",MID(TEXT(ABS(K187),"000000000000000"),4,1)&amp;" ratus "&amp;MID(TEXT(ABS(K187),"000000000000000"),5,1)&amp;" puluh "&amp;MID(TEXT(ABS(K187),"000000000000000"),6,1)&amp;" milyar ")&amp; IF(--MID(TEXT(ABS(K187),"000000000000000"),7,3)=0,"",MID(TEXT(ABS(K187),"000000000000000"),7,1)&amp;" ratus "&amp;MID(TEXT(ABS(K187),"000000000000000"),8,1)&amp;" puluh "&amp;MID(TEXT(ABS(K187),"000000000000000"),9,1)&amp;" juta ")&amp; IF(--MID(TEXT(ABS(K187),"000000000000000"),10,3)=0,"",IF(--MID(TEXT(ABS(K187),"000000000000000"),10,3)=1,"*",MID(TEXT(ABS(K187),"000000000000000"),10,1)&amp;" ratus "&amp;MID(TEXT(ABS(K187),"000000000000000"),11,1)&amp;" puluh ")&amp;MID(TEXT(ABS(K187),"000000000000000"),12,1)&amp;" ribu ")&amp; IF(--MID(TEXT(ABS(K187),"000000000000000"),13,3)=0,"",MID(TEXT(ABS(K187),"000000000000000"),13,1)&amp;" ratus "&amp;MID(TEXT(ABS(K187),"000000000000000"),14,1)&amp;" puluh "&amp;MID(TEXT(ABS(K187),"000000000000000"),15,1)),1,"satu"),2,"dua"),3,"tiga"),4,"empat"),5,"lima"),6,"enam"),7,"tujuh"),8,"delapan"),9,"sembilan"),"0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Sembilan Puluh Dua Juta Sembilan Ratus Delapan Puluh Empat Ribu Lima Belas Rupiah</v>
      </c>
      <c r="C188" s="628"/>
      <c r="D188" s="628"/>
      <c r="E188" s="628"/>
      <c r="F188" s="628"/>
      <c r="G188" s="628"/>
      <c r="H188" s="628"/>
      <c r="I188" s="628"/>
      <c r="J188" s="628"/>
      <c r="K188" s="629"/>
    </row>
    <row r="189" spans="2:13">
      <c r="B189" s="630"/>
      <c r="C189" s="631"/>
      <c r="D189" s="631"/>
      <c r="E189" s="631"/>
      <c r="F189" s="631"/>
      <c r="G189" s="631"/>
      <c r="H189" s="631"/>
      <c r="I189" s="631"/>
      <c r="J189" s="631"/>
      <c r="K189" s="632"/>
    </row>
    <row r="190" spans="2:13" ht="15.75" thickBot="1">
      <c r="B190" s="402" t="str">
        <f>"Harga yang dipakai adalah "&amp;'HARGA SATUAN'!I5&amp;""</f>
        <v>Harga yang dipakai adalah RAB HSS 2023</v>
      </c>
      <c r="C190" s="403"/>
      <c r="D190" s="404"/>
      <c r="E190" s="404"/>
      <c r="F190" s="404"/>
      <c r="G190" s="405"/>
      <c r="H190" s="405"/>
      <c r="I190" s="405"/>
      <c r="J190" s="405"/>
      <c r="K190" s="406"/>
    </row>
    <row r="191" spans="2:13">
      <c r="C191" s="407"/>
      <c r="E191" s="409"/>
      <c r="F191" s="409"/>
      <c r="G191" s="409"/>
    </row>
    <row r="192" spans="2:13">
      <c r="C192" s="336"/>
      <c r="E192" s="409"/>
      <c r="F192" s="409"/>
      <c r="G192" s="409"/>
      <c r="H192" s="633"/>
      <c r="I192" s="633"/>
      <c r="J192" s="634"/>
      <c r="K192" s="634"/>
    </row>
    <row r="193" spans="3:11">
      <c r="C193" s="336"/>
      <c r="E193" s="409"/>
      <c r="F193" s="409"/>
      <c r="G193" s="409"/>
      <c r="H193" s="410"/>
      <c r="I193" s="623" t="s">
        <v>1610</v>
      </c>
      <c r="J193" s="623"/>
      <c r="K193" s="623"/>
    </row>
    <row r="194" spans="3:11">
      <c r="C194" s="336"/>
      <c r="E194" s="409"/>
      <c r="F194" s="409"/>
      <c r="G194" s="409"/>
      <c r="H194" s="410"/>
      <c r="I194" s="623" t="s">
        <v>1546</v>
      </c>
      <c r="J194" s="623"/>
      <c r="K194" s="623"/>
    </row>
    <row r="195" spans="3:11">
      <c r="C195" s="336"/>
      <c r="E195" s="409"/>
      <c r="F195" s="409"/>
      <c r="G195" s="409"/>
      <c r="H195" s="411"/>
      <c r="I195" s="412"/>
      <c r="J195" s="412"/>
      <c r="K195" s="412"/>
    </row>
    <row r="196" spans="3:11">
      <c r="C196" s="336"/>
      <c r="E196" s="409"/>
      <c r="F196" s="409"/>
      <c r="G196" s="409"/>
      <c r="H196" s="411"/>
      <c r="I196" s="411"/>
      <c r="J196" s="411"/>
      <c r="K196" s="411"/>
    </row>
    <row r="197" spans="3:11">
      <c r="C197" s="336"/>
      <c r="E197" s="409"/>
      <c r="F197" s="409"/>
      <c r="G197" s="409"/>
      <c r="H197" s="411"/>
      <c r="I197" s="411"/>
      <c r="J197" s="411"/>
      <c r="K197" s="411"/>
    </row>
    <row r="198" spans="3:11">
      <c r="C198" s="336"/>
      <c r="E198" s="409"/>
      <c r="F198" s="409"/>
      <c r="G198" s="409"/>
      <c r="H198" s="411"/>
      <c r="I198" s="411"/>
      <c r="J198" s="411"/>
      <c r="K198" s="411"/>
    </row>
    <row r="199" spans="3:11">
      <c r="C199" s="336"/>
      <c r="E199" s="409"/>
      <c r="F199" s="409"/>
      <c r="G199" s="409"/>
      <c r="H199" s="413"/>
      <c r="I199" s="623" t="s">
        <v>1547</v>
      </c>
      <c r="J199" s="623"/>
      <c r="K199" s="623"/>
    </row>
    <row r="200" spans="3:11">
      <c r="C200" s="407"/>
      <c r="E200" s="409"/>
      <c r="F200" s="409"/>
      <c r="G200" s="409"/>
      <c r="H200" s="411"/>
      <c r="I200" s="411"/>
      <c r="J200" s="411"/>
      <c r="K200" s="411"/>
    </row>
    <row r="201" spans="3:11">
      <c r="C201" s="407"/>
      <c r="E201" s="409"/>
      <c r="F201" s="409"/>
      <c r="G201" s="409"/>
      <c r="H201" s="411"/>
      <c r="I201" s="411"/>
      <c r="J201" s="411"/>
      <c r="K201" s="411"/>
    </row>
    <row r="202" spans="3:11">
      <c r="C202" s="407"/>
      <c r="E202" s="409"/>
      <c r="F202" s="409"/>
      <c r="G202" s="409"/>
      <c r="H202" s="411"/>
      <c r="I202" s="411"/>
      <c r="J202" s="411"/>
      <c r="K202" s="411"/>
    </row>
  </sheetData>
  <sheetProtection sort="0" autoFilter="0"/>
  <protectedRanges>
    <protectedRange sqref="B180 B163:B178" name="Range1_1"/>
    <protectedRange sqref="F164:F181 F101:F102 F109 F14:F23 F69:F94" name="Range1_1_2_2"/>
    <protectedRange sqref="C180 C163:C164 C168:C178 C166" name="Range1_1_1"/>
    <protectedRange sqref="B123 B112:C113 B118 B134:C150 B114 B111 B102:C102 B115:C117 B119:C122 B109:C110 B152:C154 B151 B161:C162" name="Range1_6_2"/>
    <protectedRange sqref="C123" name="Range1_1_3_2"/>
    <protectedRange sqref="C118" name="Range1_1_3_3"/>
    <protectedRange sqref="C114" name="Range1_1_3_10"/>
    <protectedRange sqref="C167" name="Range1_1_3_13"/>
    <protectedRange sqref="C17:C18" name="Range1_1_3_14"/>
    <protectedRange sqref="C19:C21" name="Range1_1_3"/>
    <protectedRange sqref="C165" name="Range1_1_3_4"/>
    <protectedRange sqref="C107" name="Range1_1_3_7"/>
    <protectedRange sqref="C111" name="Range1_1_3_8"/>
    <protectedRange sqref="F95:F100" name="Range1_1_2_2_1"/>
    <protectedRange sqref="C25" name="Range1_1_3_1"/>
    <protectedRange sqref="C26" name="Range1_1_3_1_1"/>
    <protectedRange sqref="C71" name="Range1_1_3_6"/>
    <protectedRange sqref="C72" name="Range1_1_3_9"/>
    <protectedRange sqref="C151" name="Range1_1_3_11"/>
  </protectedRanges>
  <mergeCells count="22">
    <mergeCell ref="O3:P4"/>
    <mergeCell ref="B4:K4"/>
    <mergeCell ref="C185:F185"/>
    <mergeCell ref="B11:B13"/>
    <mergeCell ref="C11:C13"/>
    <mergeCell ref="D11:D13"/>
    <mergeCell ref="E11:E13"/>
    <mergeCell ref="F11:F13"/>
    <mergeCell ref="G11:G13"/>
    <mergeCell ref="I12:I13"/>
    <mergeCell ref="I194:K194"/>
    <mergeCell ref="I199:K199"/>
    <mergeCell ref="C187:F187"/>
    <mergeCell ref="G6:K6"/>
    <mergeCell ref="I193:K193"/>
    <mergeCell ref="C186:F186"/>
    <mergeCell ref="B188:K189"/>
    <mergeCell ref="H192:K192"/>
    <mergeCell ref="H11:K11"/>
    <mergeCell ref="H12:H13"/>
    <mergeCell ref="J12:J13"/>
    <mergeCell ref="K12:K13"/>
  </mergeCells>
  <phoneticPr fontId="142" type="noConversion"/>
  <conditionalFormatting sqref="C15 C123 C17:C22">
    <cfRule type="cellIs" dxfId="21" priority="535" operator="equal">
      <formula>0</formula>
    </cfRule>
  </conditionalFormatting>
  <conditionalFormatting sqref="C101">
    <cfRule type="cellIs" dxfId="20" priority="160" operator="equal">
      <formula>0</formula>
    </cfRule>
  </conditionalFormatting>
  <conditionalFormatting sqref="C107:C108">
    <cfRule type="cellIs" dxfId="19" priority="35" operator="equal">
      <formula>0</formula>
    </cfRule>
  </conditionalFormatting>
  <conditionalFormatting sqref="C111">
    <cfRule type="cellIs" dxfId="18" priority="34" operator="equal">
      <formula>0</formula>
    </cfRule>
  </conditionalFormatting>
  <conditionalFormatting sqref="C176">
    <cfRule type="cellIs" dxfId="16" priority="32" operator="equal">
      <formula>0</formula>
    </cfRule>
  </conditionalFormatting>
  <conditionalFormatting sqref="C179">
    <cfRule type="cellIs" dxfId="15" priority="158" operator="equal">
      <formula>0</formula>
    </cfRule>
  </conditionalFormatting>
  <conditionalFormatting sqref="E1:E3 G1:G13 E5:E13 H12:I12 O13 S14:V22 E182:G182 H182:K184 E183:H183 E184:F184 E14:K23 F69:F74 E24:E74 E75:F101 G24:K101 E161:K181">
    <cfRule type="cellIs" dxfId="14" priority="1115" stopIfTrue="1" operator="equal">
      <formula>0</formula>
    </cfRule>
  </conditionalFormatting>
  <conditionalFormatting sqref="E102:K134 E154:K154 E135:E153 G135:K153 E155:E160 G155:K160">
    <cfRule type="cellIs" dxfId="13" priority="31" stopIfTrue="1" operator="equal">
      <formula>0</formula>
    </cfRule>
  </conditionalFormatting>
  <conditionalFormatting sqref="G183:G65649 E188:E65649">
    <cfRule type="cellIs" dxfId="12" priority="249" stopIfTrue="1" operator="equal">
      <formula>0</formula>
    </cfRule>
  </conditionalFormatting>
  <conditionalFormatting sqref="C25:C26">
    <cfRule type="cellIs" dxfId="11" priority="12" operator="equal">
      <formula>0</formula>
    </cfRule>
  </conditionalFormatting>
  <conditionalFormatting sqref="F24:F41">
    <cfRule type="cellIs" dxfId="10" priority="11" stopIfTrue="1" operator="equal">
      <formula>0</formula>
    </cfRule>
  </conditionalFormatting>
  <conditionalFormatting sqref="C40">
    <cfRule type="cellIs" dxfId="9" priority="10" operator="equal">
      <formula>0</formula>
    </cfRule>
  </conditionalFormatting>
  <conditionalFormatting sqref="F42:F68">
    <cfRule type="cellIs" dxfId="8" priority="9" stopIfTrue="1" operator="equal">
      <formula>0</formula>
    </cfRule>
  </conditionalFormatting>
  <conditionalFormatting sqref="C71">
    <cfRule type="cellIs" dxfId="7" priority="8" operator="equal">
      <formula>0</formula>
    </cfRule>
  </conditionalFormatting>
  <conditionalFormatting sqref="C72">
    <cfRule type="cellIs" dxfId="6" priority="7" operator="equal">
      <formula>0</formula>
    </cfRule>
  </conditionalFormatting>
  <conditionalFormatting sqref="C153">
    <cfRule type="cellIs" dxfId="5" priority="5" operator="equal">
      <formula>0</formula>
    </cfRule>
  </conditionalFormatting>
  <conditionalFormatting sqref="C136:C138 C140:C150 C152">
    <cfRule type="cellIs" dxfId="4" priority="6" stopIfTrue="1" operator="equal">
      <formula>0</formula>
    </cfRule>
  </conditionalFormatting>
  <conditionalFormatting sqref="F135:F153">
    <cfRule type="cellIs" dxfId="3" priority="4" stopIfTrue="1" operator="equal">
      <formula>0</formula>
    </cfRule>
  </conditionalFormatting>
  <conditionalFormatting sqref="C151">
    <cfRule type="cellIs" dxfId="2" priority="3" operator="equal">
      <formula>0</formula>
    </cfRule>
  </conditionalFormatting>
  <conditionalFormatting sqref="F155:F160">
    <cfRule type="cellIs" dxfId="1" priority="2" stopIfTrue="1" operator="equal">
      <formula>0</formula>
    </cfRule>
  </conditionalFormatting>
  <conditionalFormatting sqref="C165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C105:C106 F87 F83:F85 F24:F81 F89:F163 H14:K184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tabSelected="1" view="pageBreakPreview" topLeftCell="A10" zoomScale="130" zoomScaleNormal="115" zoomScaleSheetLayoutView="130" workbookViewId="0">
      <selection activeCell="T17" sqref="T17"/>
    </sheetView>
  </sheetViews>
  <sheetFormatPr defaultColWidth="9.140625"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704" t="s">
        <v>1439</v>
      </c>
      <c r="X2" s="705"/>
      <c r="Y2" s="705"/>
      <c r="Z2" s="705"/>
      <c r="AA2" s="705"/>
      <c r="AB2" s="705"/>
      <c r="AC2" s="705"/>
      <c r="AD2" s="706"/>
    </row>
    <row r="3" spans="3:30">
      <c r="C3" s="238"/>
      <c r="W3" s="707"/>
      <c r="X3" s="708"/>
      <c r="Y3" s="708"/>
      <c r="Z3" s="708"/>
      <c r="AA3" s="708"/>
      <c r="AB3" s="708"/>
      <c r="AC3" s="708"/>
      <c r="AD3" s="709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55" t="s">
        <v>990</v>
      </c>
      <c r="Y5" s="655"/>
      <c r="Z5" s="655"/>
      <c r="AA5" s="655" t="s">
        <v>988</v>
      </c>
      <c r="AB5" s="655"/>
      <c r="AC5" s="655" t="s">
        <v>989</v>
      </c>
      <c r="AD5" s="656"/>
    </row>
    <row r="6" spans="3:30">
      <c r="C6" s="238"/>
      <c r="W6" s="241">
        <v>1</v>
      </c>
      <c r="X6" s="655" t="s">
        <v>993</v>
      </c>
      <c r="Y6" s="655"/>
      <c r="Z6" s="655"/>
      <c r="AA6" s="655"/>
      <c r="AB6" s="655"/>
      <c r="AC6" s="655"/>
      <c r="AD6" s="656"/>
    </row>
    <row r="7" spans="3:30">
      <c r="C7" s="238"/>
      <c r="E7" s="488" t="str">
        <f>PETA!C6</f>
        <v>KOORDINAT : -6.833261, 110.596645</v>
      </c>
      <c r="W7" s="241">
        <v>2</v>
      </c>
      <c r="X7" s="655" t="s">
        <v>994</v>
      </c>
      <c r="Y7" s="655"/>
      <c r="Z7" s="655"/>
      <c r="AA7" s="655"/>
      <c r="AB7" s="655"/>
      <c r="AC7" s="655"/>
      <c r="AD7" s="656"/>
    </row>
    <row r="8" spans="3:30">
      <c r="C8" s="238"/>
      <c r="W8" s="241">
        <v>3</v>
      </c>
      <c r="X8" s="655" t="s">
        <v>995</v>
      </c>
      <c r="Y8" s="655"/>
      <c r="Z8" s="655"/>
      <c r="AA8" s="655"/>
      <c r="AB8" s="655"/>
      <c r="AC8" s="655"/>
      <c r="AD8" s="656"/>
    </row>
    <row r="9" spans="3:30">
      <c r="C9" s="238"/>
      <c r="W9" s="241">
        <v>4</v>
      </c>
      <c r="X9" s="655" t="s">
        <v>996</v>
      </c>
      <c r="Y9" s="655"/>
      <c r="Z9" s="655"/>
      <c r="AA9" s="655"/>
      <c r="AB9" s="655"/>
      <c r="AC9" s="655"/>
      <c r="AD9" s="656"/>
    </row>
    <row r="10" spans="3:30">
      <c r="C10" s="238"/>
      <c r="W10" s="241">
        <v>5</v>
      </c>
      <c r="X10" s="655" t="s">
        <v>997</v>
      </c>
      <c r="Y10" s="655"/>
      <c r="Z10" s="655"/>
      <c r="AA10" s="655"/>
      <c r="AB10" s="655"/>
      <c r="AC10" s="655"/>
      <c r="AD10" s="656"/>
    </row>
    <row r="11" spans="3:30">
      <c r="C11" s="238"/>
      <c r="W11" s="241">
        <v>6</v>
      </c>
      <c r="X11" s="655" t="s">
        <v>998</v>
      </c>
      <c r="Y11" s="655"/>
      <c r="Z11" s="655"/>
      <c r="AA11" s="655"/>
      <c r="AB11" s="655"/>
      <c r="AC11" s="655"/>
      <c r="AD11" s="656"/>
    </row>
    <row r="12" spans="3:30">
      <c r="C12" s="238"/>
      <c r="W12" s="241">
        <v>7</v>
      </c>
      <c r="X12" s="655" t="s">
        <v>999</v>
      </c>
      <c r="Y12" s="655"/>
      <c r="Z12" s="655"/>
      <c r="AA12" s="655"/>
      <c r="AB12" s="655"/>
      <c r="AC12" s="655"/>
      <c r="AD12" s="656"/>
    </row>
    <row r="13" spans="3:30" ht="12.75" customHeight="1">
      <c r="C13" s="238"/>
      <c r="W13" s="241">
        <v>8</v>
      </c>
      <c r="X13" s="655" t="s">
        <v>1000</v>
      </c>
      <c r="Y13" s="655"/>
      <c r="Z13" s="655"/>
      <c r="AA13" s="655"/>
      <c r="AB13" s="655"/>
      <c r="AC13" s="655"/>
      <c r="AD13" s="656"/>
    </row>
    <row r="14" spans="3:30">
      <c r="C14" s="238"/>
      <c r="W14" s="241">
        <v>9</v>
      </c>
      <c r="X14" s="655" t="s">
        <v>1001</v>
      </c>
      <c r="Y14" s="655"/>
      <c r="Z14" s="655"/>
      <c r="AA14" s="655"/>
      <c r="AB14" s="655"/>
      <c r="AC14" s="655"/>
      <c r="AD14" s="656"/>
    </row>
    <row r="15" spans="3:30">
      <c r="C15" s="238"/>
      <c r="W15" s="241">
        <v>10</v>
      </c>
      <c r="X15" s="655" t="s">
        <v>1010</v>
      </c>
      <c r="Y15" s="655"/>
      <c r="Z15" s="655"/>
      <c r="AA15" s="655"/>
      <c r="AB15" s="655"/>
      <c r="AC15" s="655"/>
      <c r="AD15" s="656"/>
    </row>
    <row r="16" spans="3:30">
      <c r="C16" s="238"/>
      <c r="W16" s="241">
        <v>11</v>
      </c>
      <c r="X16" s="655" t="s">
        <v>1455</v>
      </c>
      <c r="Y16" s="655"/>
      <c r="Z16" s="655"/>
      <c r="AA16" s="655"/>
      <c r="AB16" s="655"/>
      <c r="AC16" s="655"/>
      <c r="AD16" s="656"/>
    </row>
    <row r="17" spans="3:30">
      <c r="C17" s="238"/>
      <c r="S17" s="242"/>
      <c r="W17" s="241">
        <v>12</v>
      </c>
      <c r="X17" s="655" t="s">
        <v>1011</v>
      </c>
      <c r="Y17" s="655"/>
      <c r="Z17" s="655"/>
      <c r="AA17" s="655"/>
      <c r="AB17" s="655"/>
      <c r="AC17" s="655"/>
      <c r="AD17" s="656"/>
    </row>
    <row r="18" spans="3:30">
      <c r="C18" s="243"/>
      <c r="D18" s="244"/>
      <c r="E18" s="244"/>
      <c r="W18" s="241">
        <v>13</v>
      </c>
      <c r="X18" s="655"/>
      <c r="Y18" s="655"/>
      <c r="Z18" s="655"/>
      <c r="AA18" s="655"/>
      <c r="AB18" s="655"/>
      <c r="AC18" s="655"/>
      <c r="AD18" s="656"/>
    </row>
    <row r="19" spans="3:30">
      <c r="C19" s="238"/>
      <c r="W19" s="245"/>
      <c r="X19" s="702"/>
      <c r="Y19" s="702"/>
      <c r="Z19" s="702"/>
      <c r="AA19" s="702"/>
      <c r="AB19" s="702"/>
      <c r="AC19" s="702"/>
      <c r="AD19" s="703"/>
    </row>
    <row r="20" spans="3:30">
      <c r="C20" s="238"/>
      <c r="W20" s="689" t="s">
        <v>992</v>
      </c>
      <c r="X20" s="690"/>
      <c r="Y20" s="690"/>
      <c r="Z20" s="690"/>
      <c r="AA20" s="690"/>
      <c r="AB20" s="690"/>
      <c r="AC20" s="690"/>
      <c r="AD20" s="691"/>
    </row>
    <row r="21" spans="3:30">
      <c r="C21" s="238"/>
      <c r="W21" s="692" t="s">
        <v>985</v>
      </c>
      <c r="X21" s="693"/>
      <c r="Y21" s="693"/>
      <c r="Z21" s="694"/>
      <c r="AA21" s="695" t="s">
        <v>986</v>
      </c>
      <c r="AB21" s="696"/>
      <c r="AC21" s="696"/>
      <c r="AD21" s="697"/>
    </row>
    <row r="22" spans="3:30">
      <c r="C22" s="238"/>
      <c r="W22" s="698" t="s">
        <v>1631</v>
      </c>
      <c r="X22" s="699"/>
      <c r="Y22" s="490">
        <v>1</v>
      </c>
      <c r="Z22" s="521" t="s">
        <v>1633</v>
      </c>
      <c r="AA22" s="700"/>
      <c r="AB22" s="701"/>
      <c r="AC22" s="247"/>
      <c r="AD22" s="248"/>
    </row>
    <row r="23" spans="3:30">
      <c r="C23" s="238"/>
      <c r="W23" s="698" t="s">
        <v>1635</v>
      </c>
      <c r="X23" s="699"/>
      <c r="Y23" s="490">
        <v>2</v>
      </c>
      <c r="Z23" s="521" t="s">
        <v>1633</v>
      </c>
      <c r="AA23" s="687"/>
      <c r="AB23" s="688"/>
      <c r="AC23" s="247"/>
      <c r="AD23" s="248"/>
    </row>
    <row r="24" spans="3:30">
      <c r="C24" s="238"/>
      <c r="W24" s="682" t="s">
        <v>1630</v>
      </c>
      <c r="X24" s="684"/>
      <c r="Y24" s="246">
        <v>1</v>
      </c>
      <c r="Z24" s="521" t="s">
        <v>1633</v>
      </c>
      <c r="AA24" s="685"/>
      <c r="AB24" s="686"/>
      <c r="AC24" s="247"/>
      <c r="AD24" s="248"/>
    </row>
    <row r="25" spans="3:30">
      <c r="C25" s="238"/>
      <c r="W25" s="682" t="s">
        <v>1619</v>
      </c>
      <c r="X25" s="684"/>
      <c r="Y25" s="246">
        <v>2</v>
      </c>
      <c r="Z25" s="521" t="s">
        <v>1633</v>
      </c>
      <c r="AA25" s="687"/>
      <c r="AB25" s="688"/>
      <c r="AC25" s="247"/>
      <c r="AD25" s="248"/>
    </row>
    <row r="26" spans="3:30">
      <c r="C26" s="238"/>
      <c r="W26" s="479" t="s">
        <v>1627</v>
      </c>
      <c r="X26" s="480"/>
      <c r="Y26" s="246">
        <v>2</v>
      </c>
      <c r="Z26" s="521" t="s">
        <v>1633</v>
      </c>
      <c r="AA26" s="687"/>
      <c r="AB26" s="688"/>
      <c r="AC26" s="247"/>
      <c r="AD26" s="248"/>
    </row>
    <row r="27" spans="3:30">
      <c r="C27" s="238"/>
      <c r="W27" s="479" t="s">
        <v>1628</v>
      </c>
      <c r="X27" s="480"/>
      <c r="Y27" s="246">
        <v>2</v>
      </c>
      <c r="Z27" s="521" t="s">
        <v>1633</v>
      </c>
      <c r="AA27" s="681"/>
      <c r="AB27" s="676"/>
      <c r="AC27" s="247"/>
      <c r="AD27" s="248"/>
    </row>
    <row r="28" spans="3:30">
      <c r="C28" s="238"/>
      <c r="W28" s="479" t="s">
        <v>1629</v>
      </c>
      <c r="X28" s="480"/>
      <c r="Y28" s="246">
        <v>1</v>
      </c>
      <c r="Z28" s="521" t="s">
        <v>1633</v>
      </c>
      <c r="AA28" s="681"/>
      <c r="AB28" s="676"/>
      <c r="AC28" s="247"/>
      <c r="AD28" s="248"/>
    </row>
    <row r="29" spans="3:30">
      <c r="C29" s="238"/>
      <c r="W29" s="479" t="s">
        <v>1632</v>
      </c>
      <c r="X29" s="480"/>
      <c r="Y29" s="246">
        <v>2</v>
      </c>
      <c r="Z29" s="521" t="s">
        <v>1633</v>
      </c>
      <c r="AA29" s="681"/>
      <c r="AB29" s="676"/>
      <c r="AC29" s="247"/>
      <c r="AD29" s="248"/>
    </row>
    <row r="30" spans="3:30" ht="11.25" customHeight="1">
      <c r="C30" s="238"/>
      <c r="W30" s="522" t="s">
        <v>1636</v>
      </c>
      <c r="X30" s="481"/>
      <c r="Y30" s="246">
        <v>1</v>
      </c>
      <c r="Z30" s="521" t="s">
        <v>1633</v>
      </c>
      <c r="AA30" s="681"/>
      <c r="AB30" s="676"/>
      <c r="AC30" s="247"/>
      <c r="AD30" s="248"/>
    </row>
    <row r="31" spans="3:30">
      <c r="C31" s="238"/>
      <c r="U31" s="249"/>
      <c r="W31" s="479" t="s">
        <v>1640</v>
      </c>
      <c r="X31" s="480"/>
      <c r="Y31" s="246">
        <v>2</v>
      </c>
      <c r="Z31" s="521" t="s">
        <v>1633</v>
      </c>
      <c r="AA31" s="681"/>
      <c r="AB31" s="676"/>
      <c r="AC31" s="247"/>
      <c r="AD31" s="248"/>
    </row>
    <row r="32" spans="3:30">
      <c r="C32" s="238"/>
      <c r="U32" s="249"/>
      <c r="W32" s="479" t="s">
        <v>1637</v>
      </c>
      <c r="X32" s="480"/>
      <c r="Y32" s="246">
        <v>5</v>
      </c>
      <c r="Z32" s="521" t="s">
        <v>1633</v>
      </c>
      <c r="AA32" s="681"/>
      <c r="AB32" s="676"/>
      <c r="AC32" s="247"/>
      <c r="AD32" s="248"/>
    </row>
    <row r="33" spans="3:30">
      <c r="C33" s="238"/>
      <c r="W33" s="479" t="s">
        <v>1638</v>
      </c>
      <c r="X33" s="480"/>
      <c r="Y33" s="246">
        <v>2</v>
      </c>
      <c r="Z33" s="521" t="s">
        <v>1633</v>
      </c>
      <c r="AA33" s="681"/>
      <c r="AB33" s="676"/>
      <c r="AC33" s="247"/>
      <c r="AD33" s="248"/>
    </row>
    <row r="34" spans="3:30">
      <c r="C34" s="238"/>
      <c r="W34" s="479" t="s">
        <v>1639</v>
      </c>
      <c r="X34" s="480"/>
      <c r="Y34" s="246">
        <v>1</v>
      </c>
      <c r="Z34" s="521" t="s">
        <v>1633</v>
      </c>
      <c r="AA34" s="681"/>
      <c r="AB34" s="676"/>
      <c r="AC34" s="247"/>
      <c r="AD34" s="248"/>
    </row>
    <row r="35" spans="3:30">
      <c r="C35" s="238"/>
      <c r="W35" s="682" t="s">
        <v>1641</v>
      </c>
      <c r="X35" s="683"/>
      <c r="Y35" s="246">
        <v>1</v>
      </c>
      <c r="Z35" s="521" t="s">
        <v>1633</v>
      </c>
      <c r="AA35" s="681"/>
      <c r="AB35" s="676"/>
      <c r="AC35" s="247"/>
      <c r="AD35" s="248"/>
    </row>
    <row r="36" spans="3:30">
      <c r="C36" s="238"/>
      <c r="W36" s="721" t="s">
        <v>1642</v>
      </c>
      <c r="X36" s="722"/>
      <c r="Y36" s="246"/>
      <c r="Z36" s="250"/>
      <c r="AA36" s="675"/>
      <c r="AB36" s="676"/>
      <c r="AC36" s="247"/>
      <c r="AD36" s="248"/>
    </row>
    <row r="37" spans="3:30" ht="12.75" customHeight="1">
      <c r="C37" s="238"/>
      <c r="W37" s="677"/>
      <c r="X37" s="678"/>
      <c r="Y37" s="246"/>
      <c r="Z37" s="250"/>
      <c r="AA37" s="679"/>
      <c r="AB37" s="680"/>
      <c r="AC37" s="251"/>
      <c r="AD37" s="252"/>
    </row>
    <row r="38" spans="3:30" ht="12.75" customHeight="1">
      <c r="C38" s="238"/>
      <c r="W38" s="677"/>
      <c r="X38" s="678"/>
      <c r="Y38" s="253"/>
      <c r="Z38" s="250"/>
      <c r="AA38" s="254"/>
      <c r="AB38" s="255"/>
      <c r="AC38" s="251"/>
      <c r="AD38" s="252"/>
    </row>
    <row r="39" spans="3:30" ht="12" customHeight="1">
      <c r="C39" s="238"/>
      <c r="D39" s="511"/>
      <c r="O39" s="720"/>
      <c r="W39" s="677"/>
      <c r="X39" s="678"/>
      <c r="Y39" s="253"/>
      <c r="Z39" s="256"/>
      <c r="AA39" s="671"/>
      <c r="AB39" s="672"/>
      <c r="AC39" s="251"/>
      <c r="AD39" s="252"/>
    </row>
    <row r="40" spans="3:30" ht="12" customHeight="1">
      <c r="C40" s="238"/>
      <c r="D40" s="511"/>
      <c r="W40" s="667"/>
      <c r="X40" s="668"/>
      <c r="Y40" s="253"/>
      <c r="Z40" s="256"/>
      <c r="AA40" s="257"/>
      <c r="AB40" s="258"/>
      <c r="AC40" s="251"/>
      <c r="AD40" s="252"/>
    </row>
    <row r="41" spans="3:30" ht="12" customHeight="1">
      <c r="C41" s="238"/>
      <c r="D41" s="511"/>
      <c r="W41" s="669"/>
      <c r="X41" s="670"/>
      <c r="Y41" s="259"/>
      <c r="Z41" s="260"/>
      <c r="AA41" s="671"/>
      <c r="AB41" s="672"/>
      <c r="AC41" s="251"/>
      <c r="AD41" s="252"/>
    </row>
    <row r="42" spans="3:30" ht="12" customHeight="1">
      <c r="C42" s="238"/>
      <c r="D42" s="511"/>
      <c r="W42" s="673" t="s">
        <v>1456</v>
      </c>
      <c r="X42" s="674"/>
      <c r="Y42" s="674"/>
      <c r="Z42" s="674"/>
      <c r="AA42" s="261"/>
      <c r="AB42" s="261"/>
      <c r="AC42" s="261"/>
      <c r="AD42" s="262"/>
    </row>
    <row r="43" spans="3:30" ht="12" customHeight="1">
      <c r="C43" s="238"/>
      <c r="D43" s="511"/>
      <c r="V43" s="263"/>
      <c r="W43" s="264"/>
      <c r="X43" s="265"/>
      <c r="Y43" s="265"/>
      <c r="Z43" s="265"/>
      <c r="AA43" s="265"/>
      <c r="AB43" s="265"/>
      <c r="AC43" s="265"/>
      <c r="AD43" s="266"/>
    </row>
    <row r="44" spans="3:30">
      <c r="C44" s="267"/>
      <c r="D44" s="511"/>
      <c r="E44" s="268"/>
      <c r="F44" s="268"/>
      <c r="G44" s="268"/>
      <c r="H44" s="268"/>
      <c r="I44" s="268"/>
      <c r="J44" s="268"/>
      <c r="K44" s="268"/>
      <c r="L44" s="268"/>
      <c r="M44" s="268"/>
      <c r="N44" s="268"/>
      <c r="O44" s="268"/>
      <c r="P44" s="268"/>
      <c r="Q44" s="268"/>
      <c r="R44" s="268"/>
      <c r="S44" s="268"/>
      <c r="T44" s="268"/>
      <c r="U44" s="268"/>
      <c r="V44" s="263"/>
      <c r="W44" s="652" t="s">
        <v>11</v>
      </c>
      <c r="X44" s="653"/>
      <c r="Y44" s="655"/>
      <c r="Z44" s="655"/>
      <c r="AA44" s="655"/>
      <c r="AB44" s="655"/>
      <c r="AC44" s="655"/>
      <c r="AD44" s="656"/>
    </row>
    <row r="45" spans="3:30">
      <c r="C45" s="267"/>
      <c r="D45" s="511"/>
      <c r="E45" s="268"/>
      <c r="F45" s="268"/>
      <c r="G45" s="268"/>
      <c r="H45" s="268"/>
      <c r="I45" s="268"/>
      <c r="J45" s="268"/>
      <c r="K45" s="268"/>
      <c r="L45" s="268"/>
      <c r="M45" s="268"/>
      <c r="N45" s="268"/>
      <c r="O45" s="268"/>
      <c r="P45" s="268"/>
      <c r="Q45" s="268"/>
      <c r="R45" s="268"/>
      <c r="S45" s="268"/>
      <c r="T45" s="268"/>
      <c r="U45" s="268"/>
      <c r="V45" s="263"/>
      <c r="W45" s="652" t="s">
        <v>984</v>
      </c>
      <c r="X45" s="653"/>
      <c r="Y45" s="655">
        <v>1</v>
      </c>
      <c r="Z45" s="655"/>
      <c r="AA45" s="655"/>
      <c r="AB45" s="655" t="s">
        <v>12</v>
      </c>
      <c r="AC45" s="655"/>
      <c r="AD45" s="269" t="s">
        <v>13</v>
      </c>
    </row>
    <row r="46" spans="3:30">
      <c r="C46" s="267"/>
      <c r="D46" s="268"/>
      <c r="E46" s="268"/>
      <c r="F46" s="268"/>
      <c r="G46" s="268"/>
      <c r="H46" s="268"/>
      <c r="I46" s="268"/>
      <c r="J46" s="268"/>
      <c r="K46" s="268"/>
      <c r="L46" s="268"/>
      <c r="M46" s="268"/>
      <c r="N46" s="268"/>
      <c r="O46" s="268"/>
      <c r="P46" s="268"/>
      <c r="Q46" s="268"/>
      <c r="R46" s="268"/>
      <c r="S46" s="268"/>
      <c r="T46" s="268"/>
      <c r="U46" s="268"/>
      <c r="V46" s="263"/>
      <c r="W46" s="652" t="s">
        <v>15</v>
      </c>
      <c r="X46" s="653"/>
      <c r="Y46" s="666"/>
      <c r="Z46" s="666"/>
      <c r="AA46" s="666"/>
      <c r="AB46" s="655" t="s">
        <v>16</v>
      </c>
      <c r="AC46" s="655"/>
      <c r="AD46" s="270"/>
    </row>
    <row r="47" spans="3:30">
      <c r="C47" s="267"/>
      <c r="D47" s="268"/>
      <c r="E47" s="268"/>
      <c r="F47" s="268"/>
      <c r="G47" s="268"/>
      <c r="H47" s="268"/>
      <c r="I47" s="268"/>
      <c r="J47" s="268"/>
      <c r="K47" s="268"/>
      <c r="L47" s="268"/>
      <c r="M47" s="268"/>
      <c r="N47" s="268"/>
      <c r="O47" s="268"/>
      <c r="P47" s="268"/>
      <c r="Q47" s="268"/>
      <c r="R47" s="268"/>
      <c r="S47" s="268"/>
      <c r="T47" s="268"/>
      <c r="U47" s="268"/>
      <c r="V47" s="263"/>
      <c r="W47" s="660" t="s">
        <v>17</v>
      </c>
      <c r="X47" s="660"/>
      <c r="Y47" s="660"/>
      <c r="Z47" s="660"/>
      <c r="AA47" s="660"/>
      <c r="AB47" s="660"/>
      <c r="AC47" s="660"/>
      <c r="AD47" s="661"/>
    </row>
    <row r="48" spans="3:30" ht="12.75" customHeight="1">
      <c r="C48" s="267"/>
      <c r="D48" s="268"/>
      <c r="E48" s="268"/>
      <c r="F48" s="268"/>
      <c r="G48" s="268"/>
      <c r="H48" s="268"/>
      <c r="I48" s="268"/>
      <c r="J48" s="268"/>
      <c r="K48" s="268"/>
      <c r="L48" s="268"/>
      <c r="M48" s="268"/>
      <c r="N48" s="268"/>
      <c r="O48" s="268"/>
      <c r="P48" s="268"/>
      <c r="Q48" s="268"/>
      <c r="R48" s="268"/>
      <c r="S48" s="268"/>
      <c r="T48" s="268"/>
      <c r="U48" s="268"/>
      <c r="V48" s="263"/>
      <c r="W48" s="662" t="str">
        <f>RAB!G6</f>
        <v>LULUK NASEKAH</v>
      </c>
      <c r="X48" s="662"/>
      <c r="Y48" s="662"/>
      <c r="Z48" s="662"/>
      <c r="AA48" s="662"/>
      <c r="AB48" s="662"/>
      <c r="AC48" s="662"/>
      <c r="AD48" s="663"/>
    </row>
    <row r="49" spans="3:30">
      <c r="C49" s="267"/>
      <c r="D49" s="268"/>
      <c r="E49" s="268"/>
      <c r="F49" s="268"/>
      <c r="G49" s="268"/>
      <c r="H49" s="268"/>
      <c r="I49" s="268"/>
      <c r="J49" s="268"/>
      <c r="K49" s="268"/>
      <c r="L49" s="268"/>
      <c r="M49" s="268"/>
      <c r="N49" s="268"/>
      <c r="O49" s="268"/>
      <c r="P49" s="268"/>
      <c r="Q49" s="268"/>
      <c r="R49" s="268"/>
      <c r="S49" s="268"/>
      <c r="T49" s="268"/>
      <c r="U49" s="268"/>
      <c r="V49" s="271"/>
      <c r="W49" s="662"/>
      <c r="X49" s="662"/>
      <c r="Y49" s="662"/>
      <c r="Z49" s="662"/>
      <c r="AA49" s="662"/>
      <c r="AB49" s="662"/>
      <c r="AC49" s="662"/>
      <c r="AD49" s="663"/>
    </row>
    <row r="50" spans="3:30">
      <c r="C50" s="267"/>
      <c r="D50" s="268"/>
      <c r="E50" s="268"/>
      <c r="F50" s="268"/>
      <c r="G50" s="268"/>
      <c r="H50" s="268"/>
      <c r="I50" s="268"/>
      <c r="J50" s="268"/>
      <c r="K50" s="268"/>
      <c r="L50" s="268"/>
      <c r="M50" s="268"/>
      <c r="N50" s="268"/>
      <c r="O50" s="268"/>
      <c r="P50" s="268"/>
      <c r="Q50" s="268"/>
      <c r="R50" s="268"/>
      <c r="S50" s="268"/>
      <c r="T50" s="268"/>
      <c r="U50" s="268"/>
      <c r="V50" s="271"/>
      <c r="W50" s="662"/>
      <c r="X50" s="662"/>
      <c r="Y50" s="662"/>
      <c r="Z50" s="662"/>
      <c r="AA50" s="662"/>
      <c r="AB50" s="662"/>
      <c r="AC50" s="662"/>
      <c r="AD50" s="663"/>
    </row>
    <row r="51" spans="3:30" ht="19.5" customHeight="1">
      <c r="C51" s="267"/>
      <c r="D51" s="268"/>
      <c r="E51" s="268"/>
      <c r="F51" s="268"/>
      <c r="G51" s="268"/>
      <c r="H51" s="268"/>
      <c r="I51" s="268"/>
      <c r="J51" s="268"/>
      <c r="K51" s="268"/>
      <c r="L51" s="268"/>
      <c r="M51" s="268"/>
      <c r="N51" s="268"/>
      <c r="O51" s="268"/>
      <c r="P51" s="268"/>
      <c r="Q51" s="268"/>
      <c r="R51" s="268"/>
      <c r="S51" s="268"/>
      <c r="T51" s="268"/>
      <c r="U51" s="268"/>
      <c r="V51" s="271"/>
      <c r="W51" s="664"/>
      <c r="X51" s="664"/>
      <c r="Y51" s="664"/>
      <c r="Z51" s="664"/>
      <c r="AA51" s="664"/>
      <c r="AB51" s="664"/>
      <c r="AC51" s="664"/>
      <c r="AD51" s="665"/>
    </row>
    <row r="52" spans="3:30">
      <c r="C52" s="267"/>
      <c r="D52" s="268"/>
      <c r="E52" s="268"/>
      <c r="F52" s="268"/>
      <c r="G52" s="268"/>
      <c r="H52" s="268"/>
      <c r="I52" s="268"/>
      <c r="J52" s="268"/>
      <c r="K52" s="268"/>
      <c r="L52" s="268"/>
      <c r="M52" s="268"/>
      <c r="N52" s="268"/>
      <c r="O52" s="268"/>
      <c r="P52" s="268"/>
      <c r="Q52" s="268"/>
      <c r="R52" s="268"/>
      <c r="S52" s="268"/>
      <c r="T52" s="268"/>
      <c r="U52" s="268"/>
      <c r="V52" s="263"/>
      <c r="W52" s="652" t="s">
        <v>18</v>
      </c>
      <c r="X52" s="653"/>
      <c r="Y52" s="655" t="s">
        <v>1549</v>
      </c>
      <c r="Z52" s="655"/>
      <c r="AA52" s="655"/>
      <c r="AB52" s="655"/>
      <c r="AC52" s="655"/>
      <c r="AD52" s="656"/>
    </row>
    <row r="53" spans="3:30">
      <c r="C53" s="267"/>
      <c r="D53" s="268"/>
      <c r="E53" s="268"/>
      <c r="F53" s="268"/>
      <c r="G53" s="268"/>
      <c r="H53" s="268"/>
      <c r="I53" s="268"/>
      <c r="J53" s="268"/>
      <c r="K53" s="268"/>
      <c r="L53" s="268"/>
      <c r="M53" s="268"/>
      <c r="N53" s="268"/>
      <c r="O53" s="268"/>
      <c r="P53" s="268"/>
      <c r="Q53" s="268"/>
      <c r="R53" s="268"/>
      <c r="S53" s="268"/>
      <c r="T53" s="268"/>
      <c r="V53" s="263"/>
      <c r="W53" s="652" t="s">
        <v>19</v>
      </c>
      <c r="X53" s="653"/>
      <c r="Y53" s="655" t="s">
        <v>1549</v>
      </c>
      <c r="Z53" s="655"/>
      <c r="AA53" s="655"/>
      <c r="AB53" s="655"/>
      <c r="AC53" s="655"/>
      <c r="AD53" s="656"/>
    </row>
    <row r="54" spans="3:30" ht="12.75" thickBot="1">
      <c r="C54" s="267"/>
      <c r="D54" s="268"/>
      <c r="E54" s="268"/>
      <c r="F54" s="268"/>
      <c r="G54" s="268"/>
      <c r="H54" s="268"/>
      <c r="I54" s="268"/>
      <c r="J54" s="268"/>
      <c r="K54" s="268"/>
      <c r="L54" s="268"/>
      <c r="M54" s="268"/>
      <c r="N54" s="268"/>
      <c r="O54" s="268"/>
      <c r="P54" s="268"/>
      <c r="Q54" s="268"/>
      <c r="R54" s="268"/>
      <c r="S54" s="268"/>
      <c r="T54" s="268"/>
      <c r="V54" s="263"/>
      <c r="W54" s="652" t="s">
        <v>20</v>
      </c>
      <c r="X54" s="653"/>
      <c r="Y54" s="654" t="s">
        <v>1550</v>
      </c>
      <c r="Z54" s="654"/>
      <c r="AA54" s="654"/>
      <c r="AB54" s="655"/>
      <c r="AC54" s="655"/>
      <c r="AD54" s="656"/>
    </row>
    <row r="55" spans="3:30" ht="12.75" thickBot="1">
      <c r="C55" s="272"/>
      <c r="D55" s="273"/>
      <c r="E55" s="273"/>
      <c r="F55" s="273"/>
      <c r="G55" s="273"/>
      <c r="H55" s="273"/>
      <c r="I55" s="273"/>
      <c r="J55" s="273"/>
      <c r="K55" s="273"/>
      <c r="L55" s="273"/>
      <c r="M55" s="273"/>
      <c r="N55" s="273"/>
      <c r="O55" s="273"/>
      <c r="P55" s="273"/>
      <c r="Q55" s="273"/>
      <c r="R55" s="273"/>
      <c r="S55" s="273"/>
      <c r="T55" s="273"/>
      <c r="U55" s="274"/>
      <c r="V55" s="275"/>
      <c r="W55" s="657" t="s">
        <v>21</v>
      </c>
      <c r="X55" s="658"/>
      <c r="Y55" s="654" t="s">
        <v>1551</v>
      </c>
      <c r="Z55" s="654"/>
      <c r="AA55" s="654"/>
      <c r="AB55" s="654"/>
      <c r="AC55" s="654"/>
      <c r="AD55" s="659"/>
    </row>
  </sheetData>
  <mergeCells count="101"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40" zoomScaleNormal="55" zoomScaleSheetLayoutView="40" workbookViewId="0">
      <selection activeCell="AB40" sqref="AB40"/>
    </sheetView>
  </sheetViews>
  <sheetFormatPr defaultColWidth="9.140625"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10" t="s">
        <v>1528</v>
      </c>
      <c r="E4" s="711"/>
      <c r="F4" s="711"/>
      <c r="G4" s="711"/>
      <c r="H4" s="711"/>
      <c r="I4" s="711"/>
      <c r="J4" s="711"/>
      <c r="K4" s="711"/>
      <c r="L4" s="711"/>
      <c r="M4" s="711"/>
      <c r="N4" s="711"/>
      <c r="O4" s="711"/>
      <c r="P4" s="711"/>
      <c r="Q4" s="711"/>
      <c r="R4" s="711"/>
      <c r="S4" s="711"/>
      <c r="T4" s="711"/>
      <c r="U4" s="711"/>
      <c r="V4" s="711"/>
      <c r="W4" s="711"/>
      <c r="X4" s="711"/>
      <c r="Y4" s="711"/>
      <c r="Z4" s="711"/>
      <c r="AA4" s="711"/>
      <c r="AB4" s="711"/>
      <c r="AC4" s="712"/>
      <c r="AD4" s="217"/>
      <c r="AE4" s="216"/>
      <c r="AF4" s="216"/>
    </row>
    <row r="5" spans="2:32" ht="13.5" customHeight="1">
      <c r="B5" s="215"/>
      <c r="C5" s="215"/>
      <c r="D5" s="713"/>
      <c r="E5" s="714"/>
      <c r="F5" s="714"/>
      <c r="G5" s="714"/>
      <c r="H5" s="714"/>
      <c r="I5" s="714"/>
      <c r="J5" s="714"/>
      <c r="K5" s="714"/>
      <c r="L5" s="714"/>
      <c r="M5" s="714"/>
      <c r="N5" s="714"/>
      <c r="O5" s="714"/>
      <c r="P5" s="714"/>
      <c r="Q5" s="714"/>
      <c r="R5" s="714"/>
      <c r="S5" s="714"/>
      <c r="T5" s="714"/>
      <c r="U5" s="714"/>
      <c r="V5" s="714"/>
      <c r="W5" s="714"/>
      <c r="X5" s="714"/>
      <c r="Y5" s="714"/>
      <c r="Z5" s="714"/>
      <c r="AA5" s="714"/>
      <c r="AB5" s="714"/>
      <c r="AC5" s="715"/>
      <c r="AD5" s="217"/>
      <c r="AE5" s="216"/>
      <c r="AF5" s="216"/>
    </row>
    <row r="6" spans="2:32" ht="12.75" customHeight="1">
      <c r="B6" s="215"/>
      <c r="C6" s="215"/>
      <c r="D6" s="713"/>
      <c r="E6" s="714"/>
      <c r="F6" s="714"/>
      <c r="G6" s="714"/>
      <c r="H6" s="714"/>
      <c r="I6" s="714"/>
      <c r="J6" s="714"/>
      <c r="K6" s="714"/>
      <c r="L6" s="714"/>
      <c r="M6" s="714"/>
      <c r="N6" s="714"/>
      <c r="O6" s="714"/>
      <c r="P6" s="714"/>
      <c r="Q6" s="714"/>
      <c r="R6" s="714"/>
      <c r="S6" s="714"/>
      <c r="T6" s="714"/>
      <c r="U6" s="714"/>
      <c r="V6" s="714"/>
      <c r="W6" s="714"/>
      <c r="X6" s="714"/>
      <c r="Y6" s="714"/>
      <c r="Z6" s="714"/>
      <c r="AA6" s="714"/>
      <c r="AB6" s="714"/>
      <c r="AC6" s="715"/>
      <c r="AE6" s="216"/>
      <c r="AF6" s="216"/>
    </row>
    <row r="7" spans="2:32" ht="12.75" customHeight="1" thickBot="1">
      <c r="B7" s="215"/>
      <c r="C7" s="215"/>
      <c r="D7" s="716"/>
      <c r="E7" s="717"/>
      <c r="F7" s="717"/>
      <c r="G7" s="717"/>
      <c r="H7" s="717"/>
      <c r="I7" s="717"/>
      <c r="J7" s="717"/>
      <c r="K7" s="717"/>
      <c r="L7" s="717"/>
      <c r="M7" s="717"/>
      <c r="N7" s="717"/>
      <c r="O7" s="717"/>
      <c r="P7" s="717"/>
      <c r="Q7" s="717"/>
      <c r="R7" s="717"/>
      <c r="S7" s="717"/>
      <c r="T7" s="717"/>
      <c r="U7" s="717"/>
      <c r="V7" s="717"/>
      <c r="W7" s="717"/>
      <c r="X7" s="717"/>
      <c r="Y7" s="717"/>
      <c r="Z7" s="717"/>
      <c r="AA7" s="717"/>
      <c r="AB7" s="717"/>
      <c r="AC7" s="718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topLeftCell="A4" zoomScale="70" zoomScaleNormal="40" zoomScaleSheetLayoutView="70" workbookViewId="0">
      <selection activeCell="AG40" sqref="AG40"/>
    </sheetView>
  </sheetViews>
  <sheetFormatPr defaultColWidth="9.140625" defaultRowHeight="12.75"/>
  <cols>
    <col min="1" max="1" width="1.7109375" style="424" customWidth="1"/>
    <col min="2" max="2" width="10.7109375" style="424" customWidth="1"/>
    <col min="3" max="3" width="2.5703125" style="424" customWidth="1"/>
    <col min="4" max="20" width="9.140625" style="424"/>
    <col min="21" max="21" width="14.5703125" style="424" customWidth="1"/>
    <col min="22" max="22" width="3.140625" style="424" customWidth="1"/>
    <col min="23" max="26" width="9.140625" style="424"/>
    <col min="27" max="27" width="2.85546875" style="424" customWidth="1"/>
    <col min="28" max="30" width="4.7109375" style="424" customWidth="1"/>
    <col min="31" max="31" width="1.7109375" style="424" customWidth="1"/>
    <col min="32" max="16384" width="9.140625" style="424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14" t="s">
        <v>1527</v>
      </c>
      <c r="D3" s="714"/>
      <c r="E3" s="714"/>
      <c r="F3" s="714"/>
      <c r="G3" s="714"/>
      <c r="H3" s="714"/>
      <c r="I3" s="714"/>
      <c r="J3" s="714"/>
      <c r="K3" s="714"/>
      <c r="L3" s="714"/>
      <c r="M3" s="714"/>
      <c r="N3" s="714"/>
      <c r="O3" s="714"/>
      <c r="P3" s="714"/>
      <c r="Q3" s="714"/>
      <c r="R3" s="714"/>
      <c r="S3" s="714"/>
      <c r="T3" s="714"/>
      <c r="U3" s="714"/>
      <c r="V3" s="714"/>
      <c r="W3" s="182"/>
      <c r="X3" s="435"/>
      <c r="Y3" s="435"/>
      <c r="Z3" s="435"/>
      <c r="AA3" s="435"/>
      <c r="AB3" s="435"/>
      <c r="AC3" s="425"/>
    </row>
    <row r="4" spans="1:29" ht="18.75" customHeight="1">
      <c r="A4" s="181"/>
      <c r="C4" s="714"/>
      <c r="D4" s="714"/>
      <c r="E4" s="714"/>
      <c r="F4" s="714"/>
      <c r="G4" s="714"/>
      <c r="H4" s="714"/>
      <c r="I4" s="714"/>
      <c r="J4" s="714"/>
      <c r="K4" s="714"/>
      <c r="L4" s="714"/>
      <c r="M4" s="714"/>
      <c r="N4" s="714"/>
      <c r="O4" s="714"/>
      <c r="P4" s="714"/>
      <c r="Q4" s="714"/>
      <c r="R4" s="714"/>
      <c r="S4" s="714"/>
      <c r="T4" s="714"/>
      <c r="U4" s="714"/>
      <c r="V4" s="714"/>
      <c r="W4" s="182"/>
      <c r="X4" s="435"/>
      <c r="Y4" s="435"/>
      <c r="Z4" s="435"/>
      <c r="AA4" s="435"/>
      <c r="AB4" s="435"/>
      <c r="AC4" s="425"/>
    </row>
    <row r="5" spans="1:29" ht="12.75" customHeight="1">
      <c r="A5" s="181"/>
      <c r="C5" s="426"/>
      <c r="W5" s="182"/>
    </row>
    <row r="6" spans="1:29" ht="12.75" customHeight="1">
      <c r="A6" s="181"/>
      <c r="C6" s="719" t="s">
        <v>1634</v>
      </c>
      <c r="D6" s="719"/>
      <c r="E6" s="719"/>
      <c r="F6" s="719"/>
      <c r="G6" s="719"/>
      <c r="H6" s="719"/>
      <c r="I6" s="719"/>
      <c r="J6" s="719"/>
      <c r="K6" s="719"/>
      <c r="L6" s="719"/>
      <c r="M6" s="719"/>
      <c r="W6" s="182"/>
      <c r="Y6" s="427"/>
      <c r="Z6" s="427"/>
      <c r="AA6" s="427"/>
      <c r="AB6" s="428"/>
      <c r="AC6" s="428"/>
    </row>
    <row r="7" spans="1:29" ht="18" customHeight="1">
      <c r="A7" s="181"/>
      <c r="C7" s="719"/>
      <c r="D7" s="719"/>
      <c r="E7" s="719"/>
      <c r="F7" s="719"/>
      <c r="G7" s="719"/>
      <c r="H7" s="719"/>
      <c r="I7" s="719"/>
      <c r="J7" s="719"/>
      <c r="K7" s="719"/>
      <c r="L7" s="719"/>
      <c r="M7" s="719"/>
      <c r="W7" s="182"/>
      <c r="Y7" s="427"/>
      <c r="Z7" s="427"/>
      <c r="AA7" s="427"/>
      <c r="AB7" s="428"/>
      <c r="AC7" s="428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29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30"/>
      <c r="S54" s="430"/>
      <c r="T54" s="430"/>
      <c r="U54" s="431"/>
      <c r="V54" s="431"/>
      <c r="W54" s="183"/>
      <c r="X54" s="431"/>
      <c r="Y54" s="431"/>
      <c r="Z54" s="431"/>
      <c r="AA54" s="431"/>
      <c r="AB54" s="431"/>
      <c r="AC54" s="431"/>
      <c r="AD54" s="431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6"/>
      <c r="S55" s="437"/>
      <c r="T55" s="437"/>
      <c r="U55" s="186"/>
      <c r="V55" s="187"/>
      <c r="W55" s="188"/>
      <c r="X55" s="431"/>
      <c r="Y55" s="431"/>
      <c r="Z55" s="431"/>
      <c r="AA55" s="432"/>
      <c r="AB55" s="432"/>
      <c r="AC55" s="432"/>
      <c r="AD55" s="432"/>
    </row>
    <row r="56" spans="1:30">
      <c r="U56" s="431"/>
      <c r="V56" s="432"/>
      <c r="W56" s="431"/>
      <c r="X56" s="431"/>
      <c r="Y56" s="431"/>
      <c r="Z56" s="431"/>
      <c r="AA56" s="432"/>
      <c r="AB56" s="431"/>
      <c r="AC56" s="431"/>
      <c r="AD56" s="431"/>
    </row>
    <row r="57" spans="1:30">
      <c r="U57" s="431"/>
      <c r="V57" s="432"/>
      <c r="W57" s="431"/>
      <c r="X57" s="431"/>
      <c r="Y57" s="431"/>
      <c r="Z57" s="431"/>
      <c r="AA57" s="431"/>
      <c r="AB57" s="431"/>
      <c r="AC57" s="431"/>
      <c r="AD57" s="431"/>
    </row>
    <row r="58" spans="1:30">
      <c r="U58" s="431"/>
      <c r="V58" s="432"/>
      <c r="W58" s="431"/>
      <c r="X58" s="431"/>
      <c r="Y58" s="431"/>
      <c r="Z58" s="431"/>
      <c r="AA58" s="431"/>
      <c r="AB58" s="431"/>
      <c r="AC58" s="431"/>
      <c r="AD58" s="431"/>
    </row>
    <row r="59" spans="1:30">
      <c r="U59" s="431"/>
      <c r="V59" s="432"/>
      <c r="W59" s="431"/>
      <c r="X59" s="431"/>
      <c r="Y59" s="431"/>
      <c r="Z59" s="431"/>
      <c r="AA59" s="431"/>
      <c r="AB59" s="431"/>
      <c r="AC59" s="431"/>
      <c r="AD59" s="431"/>
    </row>
    <row r="60" spans="1:30">
      <c r="U60" s="431"/>
      <c r="V60" s="432"/>
      <c r="W60" s="431"/>
      <c r="X60" s="431"/>
      <c r="Y60" s="431"/>
      <c r="Z60" s="431"/>
      <c r="AA60" s="432"/>
      <c r="AB60" s="431"/>
      <c r="AC60" s="431"/>
      <c r="AD60" s="431"/>
    </row>
    <row r="61" spans="1:30">
      <c r="U61" s="431"/>
      <c r="V61" s="432"/>
      <c r="W61" s="431"/>
      <c r="X61" s="431"/>
      <c r="Y61" s="431"/>
      <c r="Z61" s="431"/>
      <c r="AA61" s="431"/>
      <c r="AB61" s="431"/>
      <c r="AC61" s="431"/>
      <c r="AD61" s="431"/>
    </row>
    <row r="62" spans="1:30">
      <c r="U62" s="431"/>
      <c r="V62" s="432"/>
      <c r="W62" s="431"/>
      <c r="X62" s="431"/>
      <c r="Y62" s="431"/>
      <c r="Z62" s="431"/>
      <c r="AA62" s="431"/>
      <c r="AB62" s="431"/>
      <c r="AC62" s="431"/>
      <c r="AD62" s="431"/>
    </row>
    <row r="63" spans="1:30">
      <c r="U63" s="431"/>
      <c r="V63" s="432"/>
      <c r="W63" s="431"/>
      <c r="X63" s="431"/>
      <c r="Y63" s="431"/>
      <c r="Z63" s="431"/>
      <c r="AA63" s="431"/>
      <c r="AB63" s="431"/>
      <c r="AC63" s="431"/>
      <c r="AD63" s="431"/>
    </row>
    <row r="64" spans="1:30">
      <c r="U64" s="431"/>
      <c r="V64" s="432"/>
      <c r="W64" s="431"/>
      <c r="X64" s="431"/>
      <c r="Y64" s="431"/>
      <c r="Z64" s="431"/>
      <c r="AA64" s="431"/>
      <c r="AB64" s="431"/>
      <c r="AC64" s="431"/>
      <c r="AD64" s="431"/>
    </row>
    <row r="65" spans="5:30">
      <c r="U65" s="431"/>
      <c r="V65" s="432"/>
      <c r="W65" s="431"/>
      <c r="X65" s="431"/>
      <c r="Y65" s="431"/>
      <c r="Z65" s="431"/>
      <c r="AA65" s="431"/>
      <c r="AB65" s="431"/>
      <c r="AC65" s="431"/>
      <c r="AD65" s="431"/>
    </row>
    <row r="66" spans="5:30" ht="6" customHeight="1"/>
    <row r="73" spans="5:30">
      <c r="M73" s="433"/>
    </row>
    <row r="74" spans="5:30" ht="15" customHeight="1">
      <c r="E74" s="434"/>
      <c r="M74" s="433"/>
    </row>
    <row r="75" spans="5:30" ht="15" customHeight="1">
      <c r="E75" s="434"/>
      <c r="M75" s="433"/>
    </row>
    <row r="76" spans="5:30" ht="15" customHeight="1">
      <c r="E76" s="434"/>
      <c r="M76" s="433"/>
    </row>
    <row r="77" spans="5:30" ht="15" customHeight="1">
      <c r="E77" s="434"/>
      <c r="M77" s="433"/>
    </row>
    <row r="78" spans="5:30" ht="15" customHeight="1">
      <c r="E78" s="434"/>
      <c r="M78" s="433"/>
    </row>
    <row r="79" spans="5:30" ht="15" customHeight="1">
      <c r="E79" s="434"/>
      <c r="M79" s="433"/>
    </row>
    <row r="80" spans="5:30" ht="15" customHeight="1">
      <c r="E80" s="434"/>
      <c r="M80" s="433"/>
    </row>
    <row r="81" spans="5:13" ht="15" customHeight="1">
      <c r="E81" s="434"/>
      <c r="M81" s="433"/>
    </row>
    <row r="82" spans="5:13" ht="15" customHeight="1">
      <c r="E82" s="434"/>
      <c r="M82" s="433"/>
    </row>
    <row r="83" spans="5:13" ht="15" customHeight="1">
      <c r="E83" s="434"/>
      <c r="M83" s="433"/>
    </row>
    <row r="84" spans="5:13" ht="15" customHeight="1">
      <c r="E84" s="434"/>
      <c r="M84" s="433"/>
    </row>
    <row r="85" spans="5:13" ht="15" customHeight="1">
      <c r="E85" s="434"/>
      <c r="M85" s="433"/>
    </row>
    <row r="86" spans="5:13" ht="15" customHeight="1">
      <c r="E86" s="434"/>
      <c r="M86" s="433"/>
    </row>
    <row r="87" spans="5:13" ht="15" customHeight="1">
      <c r="E87" s="434"/>
      <c r="M87" s="433"/>
    </row>
    <row r="88" spans="5:13" ht="15" customHeight="1">
      <c r="E88" s="434"/>
      <c r="M88" s="433"/>
    </row>
    <row r="89" spans="5:13" ht="15" customHeight="1">
      <c r="E89" s="434"/>
      <c r="M89" s="433"/>
    </row>
    <row r="90" spans="5:13" ht="15" customHeight="1">
      <c r="E90" s="434"/>
      <c r="M90" s="433"/>
    </row>
    <row r="91" spans="5:13" ht="15" customHeight="1">
      <c r="E91" s="434"/>
      <c r="M91" s="433"/>
    </row>
    <row r="92" spans="5:13" ht="15" customHeight="1">
      <c r="E92" s="434"/>
      <c r="M92" s="433"/>
    </row>
    <row r="93" spans="5:13" ht="15" customHeight="1">
      <c r="E93" s="434"/>
      <c r="M93" s="433"/>
    </row>
    <row r="94" spans="5:13" ht="15" customHeight="1">
      <c r="E94" s="434"/>
      <c r="M94" s="433"/>
    </row>
    <row r="95" spans="5:13" ht="15" customHeight="1">
      <c r="E95" s="434"/>
      <c r="M95" s="433"/>
    </row>
    <row r="96" spans="5:13" ht="15" customHeight="1">
      <c r="E96" s="434"/>
    </row>
    <row r="97" spans="5:5" ht="15" customHeight="1">
      <c r="E97" s="434"/>
    </row>
    <row r="98" spans="5:5" ht="15" customHeight="1">
      <c r="E98" s="434"/>
    </row>
    <row r="99" spans="5:5" ht="15" customHeight="1">
      <c r="E99" s="434"/>
    </row>
    <row r="100" spans="5:5" ht="15" customHeight="1">
      <c r="E100" s="434"/>
    </row>
    <row r="101" spans="5:5" ht="15" customHeight="1">
      <c r="E101" s="434"/>
    </row>
    <row r="102" spans="5:5" ht="15" customHeight="1">
      <c r="E102" s="434"/>
    </row>
    <row r="103" spans="5:5" ht="15" customHeight="1">
      <c r="E103" s="434"/>
    </row>
    <row r="104" spans="5:5" ht="15" customHeight="1">
      <c r="E104" s="434"/>
    </row>
    <row r="105" spans="5:5" ht="15" customHeight="1">
      <c r="E105" s="434"/>
    </row>
    <row r="106" spans="5:5" ht="15" customHeight="1">
      <c r="E106" s="434"/>
    </row>
    <row r="107" spans="5:5" ht="15" customHeight="1">
      <c r="E107" s="434"/>
    </row>
    <row r="108" spans="5:5" ht="15" customHeight="1">
      <c r="E108" s="434"/>
    </row>
    <row r="109" spans="5:5" ht="15" customHeight="1">
      <c r="E109" s="434"/>
    </row>
    <row r="110" spans="5:5" ht="15" customHeight="1">
      <c r="E110" s="434"/>
    </row>
    <row r="111" spans="5:5" ht="15" customHeight="1">
      <c r="E111" s="434"/>
    </row>
    <row r="112" spans="5:5" ht="15" customHeight="1">
      <c r="E112" s="434"/>
    </row>
    <row r="113" spans="5:5" ht="15" customHeight="1">
      <c r="E113" s="434"/>
    </row>
    <row r="114" spans="5:5" ht="15" customHeight="1">
      <c r="E114" s="434"/>
    </row>
    <row r="115" spans="5:5" ht="15" customHeight="1">
      <c r="E115" s="434"/>
    </row>
    <row r="116" spans="5:5" ht="15" customHeight="1">
      <c r="E116" s="434"/>
    </row>
    <row r="117" spans="5:5" ht="15" customHeight="1">
      <c r="E117" s="434"/>
    </row>
    <row r="118" spans="5:5" ht="15" customHeight="1">
      <c r="E118" s="434"/>
    </row>
    <row r="119" spans="5:5" ht="15" customHeight="1">
      <c r="E119" s="434"/>
    </row>
    <row r="120" spans="5:5">
      <c r="E120" s="434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56">
        <v>1</v>
      </c>
    </row>
    <row r="2" spans="1:11" ht="48" customHeight="1">
      <c r="A2" s="456">
        <v>3</v>
      </c>
    </row>
    <row r="4" spans="1:11" ht="48" customHeight="1">
      <c r="C4" s="456">
        <v>1</v>
      </c>
    </row>
    <row r="5" spans="1:11" ht="48" customHeight="1">
      <c r="C5" s="456">
        <v>3</v>
      </c>
    </row>
    <row r="7" spans="1:11" ht="48" customHeight="1">
      <c r="E7" s="456">
        <v>1</v>
      </c>
    </row>
    <row r="8" spans="1:11" ht="48" customHeight="1">
      <c r="E8" s="456">
        <v>3</v>
      </c>
    </row>
    <row r="10" spans="1:11" ht="48" customHeight="1">
      <c r="G10" s="456">
        <v>3</v>
      </c>
    </row>
    <row r="11" spans="1:11" ht="48" customHeight="1">
      <c r="G11" s="456">
        <v>1</v>
      </c>
    </row>
    <row r="13" spans="1:11" ht="48" customHeight="1">
      <c r="I13" s="456">
        <v>3</v>
      </c>
    </row>
    <row r="14" spans="1:11" ht="48" customHeight="1">
      <c r="I14" s="456">
        <v>1</v>
      </c>
    </row>
    <row r="16" spans="1:11" ht="48" customHeight="1">
      <c r="K16" s="456">
        <v>3</v>
      </c>
    </row>
    <row r="17" spans="11:21" ht="48" customHeight="1">
      <c r="K17" s="456">
        <v>1</v>
      </c>
    </row>
    <row r="19" spans="11:21" ht="48" customHeight="1">
      <c r="M19" s="456">
        <v>3</v>
      </c>
    </row>
    <row r="20" spans="11:21" ht="48" customHeight="1">
      <c r="M20" s="456">
        <v>1</v>
      </c>
    </row>
    <row r="22" spans="11:21" ht="48" customHeight="1">
      <c r="O22" s="456">
        <v>3</v>
      </c>
    </row>
    <row r="23" spans="11:21" ht="48" customHeight="1">
      <c r="O23" s="456">
        <v>1</v>
      </c>
    </row>
    <row r="25" spans="11:21" ht="57" customHeight="1">
      <c r="Q25" s="456">
        <v>3</v>
      </c>
    </row>
    <row r="26" spans="11:21" ht="57" customHeight="1">
      <c r="Q26" s="456">
        <v>1</v>
      </c>
    </row>
    <row r="28" spans="11:21" ht="57" customHeight="1">
      <c r="S28" s="456">
        <v>3</v>
      </c>
    </row>
    <row r="29" spans="11:21" ht="57" customHeight="1">
      <c r="S29" s="456">
        <v>1</v>
      </c>
    </row>
    <row r="31" spans="11:21" ht="57" customHeight="1">
      <c r="U31" s="456">
        <v>3</v>
      </c>
    </row>
    <row r="32" spans="11:21" ht="57" customHeight="1">
      <c r="U32" s="456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JAROT PRASETYO</cp:lastModifiedBy>
  <cp:lastPrinted>2023-05-10T03:04:01Z</cp:lastPrinted>
  <dcterms:created xsi:type="dcterms:W3CDTF">2011-02-06T11:57:38Z</dcterms:created>
  <dcterms:modified xsi:type="dcterms:W3CDTF">2024-04-20T09:02:14Z</dcterms:modified>
</cp:coreProperties>
</file>