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E546D53B-C3BE-4081-8186-7141AECAA89F}" xr6:coauthVersionLast="47" xr6:coauthVersionMax="47" xr10:uidLastSave="{00000000-0000-0000-0000-000000000000}"/>
  <bookViews>
    <workbookView xWindow="-120" yWindow="-120" windowWidth="29040" windowHeight="1572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RAB!$A$1:$K$77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3" i="11" l="1"/>
  <c r="F32" i="11"/>
  <c r="F31" i="11"/>
  <c r="F30" i="11"/>
  <c r="F29" i="11"/>
  <c r="F28" i="11"/>
  <c r="F27" i="11"/>
  <c r="F26" i="11"/>
  <c r="F25" i="11"/>
  <c r="F24" i="11"/>
  <c r="F22" i="11"/>
  <c r="D25" i="11"/>
  <c r="J25" i="11" s="1"/>
  <c r="E25" i="11"/>
  <c r="G25" i="11"/>
  <c r="G27" i="11"/>
  <c r="E27" i="11"/>
  <c r="D27" i="11"/>
  <c r="J27" i="11" s="1"/>
  <c r="G26" i="11"/>
  <c r="E26" i="11"/>
  <c r="D26" i="11"/>
  <c r="J26" i="11" s="1"/>
  <c r="G24" i="11"/>
  <c r="E24" i="11"/>
  <c r="D24" i="11"/>
  <c r="G23" i="11"/>
  <c r="E23" i="11"/>
  <c r="D23" i="11"/>
  <c r="J23" i="11" s="1"/>
  <c r="G22" i="11"/>
  <c r="E22" i="11"/>
  <c r="D22" i="11"/>
  <c r="J22" i="11" s="1"/>
  <c r="G21" i="11"/>
  <c r="E21" i="11"/>
  <c r="D21" i="11"/>
  <c r="I21" i="11" s="1"/>
  <c r="G20" i="11"/>
  <c r="E20" i="11"/>
  <c r="D20" i="11"/>
  <c r="H20" i="11" s="1"/>
  <c r="G33" i="11"/>
  <c r="E33" i="11"/>
  <c r="D33" i="11"/>
  <c r="I33" i="11" s="1"/>
  <c r="G32" i="11"/>
  <c r="E32" i="11"/>
  <c r="D32" i="11"/>
  <c r="H32" i="11" s="1"/>
  <c r="G31" i="11"/>
  <c r="E31" i="11"/>
  <c r="D31" i="11"/>
  <c r="J31" i="11" s="1"/>
  <c r="G30" i="11"/>
  <c r="E30" i="11"/>
  <c r="D30" i="11"/>
  <c r="J30" i="11" s="1"/>
  <c r="G29" i="11"/>
  <c r="E29" i="11"/>
  <c r="D29" i="11"/>
  <c r="G28" i="11"/>
  <c r="E28" i="11"/>
  <c r="D28" i="11"/>
  <c r="H28" i="11" s="1"/>
  <c r="G42" i="11"/>
  <c r="G43" i="11"/>
  <c r="D42" i="11"/>
  <c r="H42" i="11" s="1"/>
  <c r="E42" i="11"/>
  <c r="D18" i="11"/>
  <c r="J18" i="11" s="1"/>
  <c r="E18" i="11"/>
  <c r="G18" i="11"/>
  <c r="I25" i="11" l="1"/>
  <c r="H25" i="11"/>
  <c r="K25" i="11" s="1"/>
  <c r="H24" i="11"/>
  <c r="I29" i="11"/>
  <c r="J21" i="11"/>
  <c r="H22" i="11"/>
  <c r="H23" i="11"/>
  <c r="J29" i="11"/>
  <c r="H30" i="11"/>
  <c r="H31" i="11"/>
  <c r="H26" i="11"/>
  <c r="H27" i="11"/>
  <c r="I20" i="11"/>
  <c r="J20" i="11"/>
  <c r="I23" i="11"/>
  <c r="J24" i="11"/>
  <c r="I27" i="11"/>
  <c r="H21" i="11"/>
  <c r="I22" i="11"/>
  <c r="I26" i="11"/>
  <c r="I24" i="11"/>
  <c r="J33" i="11"/>
  <c r="J28" i="11"/>
  <c r="I31" i="11"/>
  <c r="K31" i="11" s="1"/>
  <c r="J32" i="11"/>
  <c r="H29" i="11"/>
  <c r="I30" i="11"/>
  <c r="K30" i="11" s="1"/>
  <c r="H33" i="11"/>
  <c r="K33" i="11" s="1"/>
  <c r="I28" i="11"/>
  <c r="I32" i="11"/>
  <c r="J42" i="11"/>
  <c r="I42" i="11"/>
  <c r="I18" i="11"/>
  <c r="H18" i="11"/>
  <c r="K22" i="11" l="1"/>
  <c r="K28" i="11"/>
  <c r="K24" i="11"/>
  <c r="K21" i="11"/>
  <c r="K32" i="11"/>
  <c r="K20" i="11"/>
  <c r="K27" i="11"/>
  <c r="K29" i="11"/>
  <c r="K26" i="11"/>
  <c r="K23" i="11"/>
  <c r="K42" i="11"/>
  <c r="K18" i="11"/>
  <c r="F41" i="11" l="1"/>
  <c r="F40" i="11"/>
  <c r="F39" i="11"/>
  <c r="F38" i="11"/>
  <c r="F52" i="11"/>
  <c r="F51" i="11"/>
  <c r="F50" i="11"/>
  <c r="F49" i="11"/>
  <c r="F48" i="11"/>
  <c r="F47" i="11"/>
  <c r="F46" i="11"/>
  <c r="G45" i="11" l="1"/>
  <c r="G46" i="11"/>
  <c r="G47" i="11"/>
  <c r="G48" i="11"/>
  <c r="G49" i="11"/>
  <c r="G50" i="11"/>
  <c r="G51" i="11"/>
  <c r="G52" i="11"/>
  <c r="G53" i="11"/>
  <c r="G54" i="11"/>
  <c r="G55" i="11"/>
  <c r="G56" i="11"/>
  <c r="D43" i="11"/>
  <c r="E43" i="11"/>
  <c r="D45" i="11"/>
  <c r="J45" i="11" s="1"/>
  <c r="E45" i="11"/>
  <c r="D46" i="11"/>
  <c r="E46" i="11"/>
  <c r="D47" i="11"/>
  <c r="H47" i="11" s="1"/>
  <c r="E47" i="11"/>
  <c r="D48" i="11"/>
  <c r="H48" i="11" s="1"/>
  <c r="E48" i="11"/>
  <c r="D49" i="11"/>
  <c r="J49" i="11" s="1"/>
  <c r="E49" i="11"/>
  <c r="D50" i="11"/>
  <c r="E50" i="11"/>
  <c r="D51" i="11"/>
  <c r="H51" i="11" s="1"/>
  <c r="E51" i="11"/>
  <c r="D52" i="11"/>
  <c r="H52" i="11" s="1"/>
  <c r="E52" i="11"/>
  <c r="D53" i="11"/>
  <c r="J53" i="11" s="1"/>
  <c r="E53" i="11"/>
  <c r="D54" i="11"/>
  <c r="J54" i="11" s="1"/>
  <c r="E54" i="11"/>
  <c r="D55" i="11"/>
  <c r="I55" i="11" s="1"/>
  <c r="E55" i="11"/>
  <c r="D56" i="11"/>
  <c r="H56" i="11" s="1"/>
  <c r="E56" i="11"/>
  <c r="D19" i="11"/>
  <c r="J19" i="11" s="1"/>
  <c r="E19" i="11"/>
  <c r="G19" i="11"/>
  <c r="D34" i="11"/>
  <c r="J34" i="11" s="1"/>
  <c r="E34" i="11"/>
  <c r="G34" i="11"/>
  <c r="J43" i="11" l="1"/>
  <c r="H43" i="11"/>
  <c r="I43" i="11"/>
  <c r="I50" i="11"/>
  <c r="I46" i="11"/>
  <c r="I52" i="11"/>
  <c r="H55" i="11"/>
  <c r="J48" i="11"/>
  <c r="H46" i="11"/>
  <c r="J52" i="11"/>
  <c r="H50" i="11"/>
  <c r="I48" i="11"/>
  <c r="I54" i="11"/>
  <c r="I53" i="11"/>
  <c r="I49" i="11"/>
  <c r="I45" i="11"/>
  <c r="J56" i="11"/>
  <c r="H54" i="11"/>
  <c r="H53" i="11"/>
  <c r="J51" i="11"/>
  <c r="H49" i="11"/>
  <c r="J47" i="11"/>
  <c r="H45" i="11"/>
  <c r="I56" i="11"/>
  <c r="J55" i="11"/>
  <c r="I51" i="11"/>
  <c r="J50" i="11"/>
  <c r="I47" i="11"/>
  <c r="J46" i="11"/>
  <c r="I19" i="11"/>
  <c r="H19" i="11"/>
  <c r="I34" i="11"/>
  <c r="H34" i="11"/>
  <c r="K43" i="11" l="1"/>
  <c r="K53" i="11"/>
  <c r="K48" i="11"/>
  <c r="K50" i="11"/>
  <c r="K47" i="11"/>
  <c r="K56" i="11"/>
  <c r="K45" i="11"/>
  <c r="K54" i="11"/>
  <c r="K52" i="11"/>
  <c r="K51" i="11"/>
  <c r="K46" i="11"/>
  <c r="K55" i="11"/>
  <c r="K49" i="11"/>
  <c r="K34" i="11"/>
  <c r="K19" i="11"/>
  <c r="D36" i="11" l="1"/>
  <c r="D37" i="11"/>
  <c r="D38" i="11"/>
  <c r="D39" i="11"/>
  <c r="D40" i="11"/>
  <c r="D41" i="11"/>
  <c r="D17" i="11"/>
  <c r="H17" i="11" s="1"/>
  <c r="E17" i="11"/>
  <c r="G17" i="11"/>
  <c r="E7" i="64"/>
  <c r="D15" i="11"/>
  <c r="J15" i="11" s="1"/>
  <c r="E15" i="11"/>
  <c r="G15" i="11"/>
  <c r="D16" i="11"/>
  <c r="J16" i="11" s="1"/>
  <c r="E16" i="11"/>
  <c r="G16" i="11"/>
  <c r="J17" i="11" l="1"/>
  <c r="I17" i="11"/>
  <c r="I15" i="11"/>
  <c r="H15" i="11"/>
  <c r="I16" i="11"/>
  <c r="H16" i="11"/>
  <c r="K17" i="11" l="1"/>
  <c r="K15" i="11"/>
  <c r="K16" i="11"/>
  <c r="G6" i="11" l="1"/>
  <c r="D35" i="11"/>
  <c r="J35" i="11" s="1"/>
  <c r="E35" i="11"/>
  <c r="G35" i="11"/>
  <c r="H36" i="11"/>
  <c r="E36" i="11"/>
  <c r="G36" i="11"/>
  <c r="E37" i="11"/>
  <c r="G37" i="11"/>
  <c r="J38" i="11"/>
  <c r="E38" i="11"/>
  <c r="G38" i="11"/>
  <c r="J39" i="11"/>
  <c r="E39" i="11"/>
  <c r="G39" i="11"/>
  <c r="E40" i="11"/>
  <c r="G40" i="11"/>
  <c r="H41" i="11"/>
  <c r="E41" i="11"/>
  <c r="G41" i="11"/>
  <c r="D20" i="60"/>
  <c r="H37" i="11" l="1"/>
  <c r="H40" i="11"/>
  <c r="J41" i="11"/>
  <c r="J40" i="11"/>
  <c r="I38" i="11"/>
  <c r="H38" i="11"/>
  <c r="J37" i="11"/>
  <c r="J36" i="11"/>
  <c r="I36" i="11"/>
  <c r="I40" i="11"/>
  <c r="H39" i="11"/>
  <c r="H35" i="11"/>
  <c r="I39" i="11"/>
  <c r="I35" i="11"/>
  <c r="I41" i="11"/>
  <c r="I37" i="11"/>
  <c r="D14" i="11"/>
  <c r="J14" i="11" s="1"/>
  <c r="E14" i="11"/>
  <c r="G14" i="11"/>
  <c r="K19" i="60"/>
  <c r="D19" i="60"/>
  <c r="K36" i="11" l="1"/>
  <c r="K38" i="11"/>
  <c r="K40" i="11"/>
  <c r="K41" i="11"/>
  <c r="K37" i="11"/>
  <c r="K35" i="11"/>
  <c r="K39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57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57" i="11"/>
  <c r="D58" i="11"/>
  <c r="H58" i="11" s="1"/>
  <c r="E58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58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65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57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58" i="11"/>
  <c r="I58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58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60" i="11"/>
  <c r="H61" i="11" s="1"/>
  <c r="I60" i="11"/>
  <c r="I61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62" i="11"/>
  <c r="I62" i="11"/>
  <c r="F364" i="29"/>
  <c r="F69" i="39"/>
  <c r="F72" i="39"/>
  <c r="F367" i="29"/>
  <c r="J57" i="11"/>
  <c r="K57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60" i="11" l="1"/>
  <c r="K61" i="11" s="1"/>
  <c r="K62" i="11" s="1"/>
  <c r="B63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60" i="11"/>
  <c r="J6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62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<sst xmlns="http://schemas.openxmlformats.org/spreadsheetml/2006/main" count="4729" uniqueCount="1636">
  <si>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</si>
  <si>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</si>
  <si>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</si>
  <si>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</si>
  <si>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</si>
  <si>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</si>
  <si>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</si>
  <si>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</si>
  <si>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</si>
  <si>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</si>
  <si>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</si>
  <si>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</si>
  <si>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</si>
  <si>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</si>
  <si>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</si>
  <si>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</si>
  <si>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</si>
  <si>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</si>
  <si>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</si>
  <si>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</si>
  <si>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</si>
  <si>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</si>
  <si>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</si>
  <si>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</si>
  <si>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</si>
  <si>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</si>
  <si>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</si>
  <si>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</si>
  <si>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</si>
  <si>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</si>
  <si>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</si>
  <si>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</si>
  <si>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</si>
  <si>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</si>
  <si>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</si>
  <si>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</si>
  <si>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</si>
  <si>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</si>
  <si>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</si>
  <si>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</si>
  <si>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</si>
  <si>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</si>
  <si>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</si>
  <si>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</si>
  <si>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</si>
  <si>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</si>
  <si>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</si>
  <si>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</si>
  <si>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</si>
  <si>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</si>
  <si>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</si>
  <si>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</si>
  <si>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</si>
  <si>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</si>
  <si>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</si>
  <si>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</si>
  <si>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</si>
  <si>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</si>
  <si>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</si>
  <si>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</si>
  <si>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</si>
  <si>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</si>
  <si>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</si>
  <si>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</si>
  <si>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</si>
  <si>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</si>
  <si>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</si>
  <si>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</si>
  <si>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</si>
  <si>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</si>
  <si>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</si>
  <si>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</si>
  <si>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</si>
  <si>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</si>
  <si>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</si>
  <si>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</si>
  <si>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</si>
  <si>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</si>
  <si>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</si>
  <si>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</si>
  <si>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</si>
  <si>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</si>
  <si>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</si>
  <si>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</si>
  <si>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</si>
  <si>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</si>
  <si>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</si>
  <si>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</si>
  <si>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</si>
  <si>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</si>
  <si>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</si>
  <si>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</si>
  <si>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</si>
  <si>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</si>
  <si>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</si>
  <si>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</si>
  <si>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</si>
  <si>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</si>
  <si>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</si>
  <si>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</si>
  <si>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</si>
  <si>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</si>
  <si>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</si>
  <si>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</si>
  <si>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</si>
  <si>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</si>
  <si>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</si>
  <si>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</si>
  <si>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</si>
  <si>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</si>
  <si>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</si>
  <si>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</si>
  <si>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</si>
  <si>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</si>
  <si>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</si>
  <si>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</si>
  <si>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</si>
  <si>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</si>
  <si>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</si>
  <si>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</si>
  <si>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</si>
  <si>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</si>
  <si>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</si>
  <si>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</si>
  <si>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</si>
  <si>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</si>
  <si>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</si>
  <si>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</si>
  <si>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</si>
  <si>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</si>
  <si>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</si>
  <si>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</si>
  <si>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</si>
  <si>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</si>
  <si>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</si>
  <si>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</si>
  <si>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</si>
  <si>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</si>
  <si>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</si>
  <si>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</si>
  <si>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</si>
  <si>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</si>
  <si>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</si>
  <si>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</si>
  <si>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</si>
  <si>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</si>
  <si>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</si>
  <si>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</si>
  <si>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</si>
  <si>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</si>
  <si>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</si>
  <si>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</si>
  <si>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</si>
  <si>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</si>
  <si>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</si>
  <si>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</si>
  <si>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</si>
  <si>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</si>
  <si>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</si>
  <si>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</si>
  <si>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</si>
  <si>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</si>
  <si>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</si>
  <si>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</si>
  <si>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</si>
  <si>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</si>
  <si>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</si>
  <si>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</si>
  <si>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</si>
  <si>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</si>
  <si>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</si>
  <si>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</si>
  <si>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</si>
  <si>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</si>
  <si>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</si>
  <si>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</si>
  <si>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</si>
  <si>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</si>
  <si>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</si>
  <si>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</si>
  <si>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</si>
  <si>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</si>
  <si>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</si>
  <si>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</si>
  <si>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</si>
  <si>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</si>
  <si>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</si>
  <si>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</si>
  <si>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</si>
  <si>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</si>
  <si>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</si>
  <si>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</si>
  <si>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</si>
  <si>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</si>
  <si>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</si>
  <si>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</si>
  <si>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</si>
  <si>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</si>
  <si>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</si>
  <si>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</si>
  <si>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</si>
  <si>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</si>
  <si>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</si>
  <si>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</si>
  <si>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</si>
  <si>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</si>
  <si>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</si>
  <si>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</si>
  <si>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</si>
  <si>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</si>
  <si>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</si>
  <si>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</si>
  <si>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</si>
  <si>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</si>
  <si>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</si>
  <si>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</si>
  <si>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</si>
  <si>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</si>
  <si>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</si>
  <si>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</si>
  <si>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</si>
  <si>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</si>
  <si>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</si>
  <si>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</si>
  <si>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</si>
  <si>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</si>
  <si>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</si>
  <si>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</si>
  <si>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</si>
  <si>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</si>
  <si>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</si>
  <si>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</si>
  <si>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</si>
  <si>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</si>
  <si>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</si>
  <si>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</si>
  <si>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</si>
  <si>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</si>
  <si>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</si>
  <si>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</si>
  <si>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</si>
  <si>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</si>
  <si>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</si>
  <si>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</si>
  <si>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</si>
  <si>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</si>
  <si>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</si>
  <si>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</si>
  <si>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</si>
  <si>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</si>
  <si>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</si>
  <si>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</si>
  <si>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</si>
  <si>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</si>
  <si>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</si>
  <si>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</si>
  <si>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</si>
  <si>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</si>
  <si>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</si>
  <si>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</si>
  <si>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</si>
  <si>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</si>
  <si>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</si>
  <si>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</si>
  <si>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</si>
  <si>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</si>
  <si>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</si>
  <si>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</si>
  <si>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</si>
  <si>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</si>
  <si>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</si>
  <si>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</si>
  <si>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</si>
  <si>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</si>
  <si>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</si>
  <si>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</si>
  <si>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</si>
  <si>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</si>
  <si>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</si>
  <si>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</si>
  <si>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</si>
  <si>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</si>
  <si>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</si>
  <si>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</si>
  <si>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</si>
  <si>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</si>
  <si>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</si>
  <si>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</si>
  <si>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</si>
  <si>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</si>
  <si>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</si>
  <si>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</si>
  <si>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</si>
  <si>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</si>
  <si>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</si>
  <si>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</si>
  <si>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</si>
  <si>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</si>
  <si>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</si>
  <si>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</si>
  <si>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</si>
  <si>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</si>
  <si>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</si>
  <si>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</si>
  <si>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</si>
  <si>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</si>
  <si>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</si>
  <si>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</si>
  <si>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</si>
  <si>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</si>
  <si>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</si>
  <si>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</si>
  <si>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</si>
  <si>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</si>
  <si>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</si>
  <si>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</si>
  <si>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</si>
  <si>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</si>
  <si>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</si>
  <si>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</si>
  <si>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</si>
  <si>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</si>
  <si>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</si>
  <si>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</si>
  <si>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</si>
  <si>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</si>
  <si>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</si>
  <si>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</si>
  <si>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</si>
  <si>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</si>
  <si>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</si>
  <si>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</si>
  <si>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</si>
  <si>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</si>
  <si>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</si>
  <si>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</si>
  <si>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</si>
  <si>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</si>
  <si>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</si>
  <si>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</si>
  <si>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</si>
  <si>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</si>
  <si>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</si>
  <si>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</si>
  <si>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</si>
  <si>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</si>
  <si>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</si>
  <si>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</si>
  <si>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</si>
  <si>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</si>
  <si>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</si>
  <si>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</si>
  <si>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</si>
  <si>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</si>
  <si>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</si>
  <si>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</si>
  <si>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</si>
  <si>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</si>
  <si>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</si>
  <si>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</si>
  <si>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</si>
  <si>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</si>
  <si>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</si>
  <si>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</si>
  <si>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</si>
  <si>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</si>
  <si>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</si>
  <si>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</si>
  <si>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</si>
  <si>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</si>
  <si>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</si>
  <si>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</si>
  <si>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</si>
  <si>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</si>
  <si>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</si>
  <si>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</si>
  <si>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</si>
  <si>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</si>
  <si>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</si>
  <si>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</si>
  <si>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</si>
  <si>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</si>
  <si>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</si>
  <si>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</si>
  <si>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</si>
  <si>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</si>
  <si>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</si>
  <si>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</si>
  <si>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</si>
  <si>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</si>
  <si>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</si>
  <si>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</si>
  <si>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</si>
  <si>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</si>
  <si>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</si>
  <si>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</si>
  <si>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</si>
  <si>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</si>
  <si>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</si>
  <si>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</si>
  <si>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</si>
  <si>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</si>
  <si>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</si>
  <si>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</si>
  <si>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</si>
  <si>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</si>
  <si>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</si>
  <si>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</si>
  <si>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</si>
  <si>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</si>
  <si>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</si>
  <si>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</si>
  <si>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</si>
  <si>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</si>
  <si>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</si>
  <si>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</si>
  <si>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</si>
  <si>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</si>
  <si>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</si>
  <si>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</si>
  <si>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</si>
  <si>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</si>
  <si>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</si>
  <si>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</si>
  <si>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</si>
  <si>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</si>
  <si>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</si>
  <si>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</si>
  <si>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</si>
  <si>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</si>
  <si>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</si>
  <si>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</si>
  <si>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</si>
  <si>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</si>
  <si>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</si>
  <si>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</si>
  <si>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</si>
  <si>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</si>
  <si>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</si>
  <si>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</si>
  <si>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</si>
  <si>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</si>
  <si>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</si>
  <si>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</si>
  <si>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</si>
  <si>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</si>
  <si>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</si>
  <si>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</si>
  <si>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</si>
  <si>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</si>
  <si>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</si>
  <si>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</si>
  <si>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</si>
  <si>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</si>
  <si>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</si>
  <si>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</si>
  <si>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</si>
  <si>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</si>
  <si>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</si>
  <si>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</si>
  <si>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</si>
  <si>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</si>
  <si>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</si>
  <si>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</si>
  <si>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</si>
  <si>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</si>
  <si>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</si>
  <si>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</si>
  <si>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</si>
  <si>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</si>
  <si>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</si>
  <si>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</si>
  <si>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</si>
  <si>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</si>
  <si>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</si>
  <si>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</si>
  <si>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</si>
  <si>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</si>
  <si>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</si>
  <si>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</si>
  <si>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</si>
  <si>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</si>
  <si>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</si>
  <si>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</si>
  <si>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</si>
  <si>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</si>
  <si>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</si>
  <si>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</si>
  <si>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</si>
  <si>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</si>
  <si>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</si>
  <si>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</si>
  <si>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</si>
  <si>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</si>
  <si>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</si>
  <si>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</si>
  <si>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</si>
  <si>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</si>
  <si>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</si>
  <si>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</si>
  <si>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</si>
  <si>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</si>
  <si>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</si>
  <si>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</si>
  <si>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</si>
  <si>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</si>
  <si>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</si>
  <si>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</si>
  <si>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</si>
  <si>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</si>
  <si>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</si>
  <si>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</si>
  <si>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</si>
  <si>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</si>
  <si>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</si>
  <si>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</si>
  <si>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</si>
  <si>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</si>
  <si>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</si>
  <si>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</si>
  <si>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</si>
  <si>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</si>
  <si>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</si>
  <si>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</si>
  <si>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</si>
  <si>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</si>
  <si>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</si>
  <si>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</si>
  <si>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</si>
  <si>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</si>
  <si>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</si>
  <si>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</si>
  <si>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</si>
  <si>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</si>
  <si>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</si>
  <si>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</si>
  <si>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</si>
  <si>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</si>
  <si>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</si>
  <si>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</si>
  <si>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</si>
  <si>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</si>
  <si>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</si>
  <si>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</si>
  <si>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</si>
  <si>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</si>
  <si>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</si>
  <si>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</si>
  <si>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</si>
  <si>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</si>
  <si>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</si>
  <si>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</si>
  <si>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</si>
  <si>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</si>
  <si>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</si>
  <si>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</si>
  <si>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</si>
  <si>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</si>
  <si>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</si>
  <si>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</si>
  <si>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</si>
  <si>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</si>
  <si>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</si>
  <si>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</si>
  <si>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</si>
  <si>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</si>
  <si>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</si>
  <si>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</si>
  <si>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</si>
  <si>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</si>
  <si>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</si>
  <si>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</si>
  <si>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</si>
  <si>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</si>
  <si>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</si>
  <si>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</si>
  <si>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</si>
  <si>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</si>
  <si>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</si>
  <si>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</si>
  <si>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</si>
  <si>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</si>
  <si>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</si>
  <si>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</si>
  <si>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</si>
  <si>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</si>
  <si>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</si>
  <si>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</si>
  <si>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</si>
  <si>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</si>
  <si>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</si>
  <si>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</si>
  <si>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</si>
  <si>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</si>
  <si>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</si>
  <si>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</si>
  <si>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</si>
  <si>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</si>
  <si>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</si>
  <si>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</si>
  <si>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</si>
  <si>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</si>
  <si>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</si>
  <si>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</si>
  <si>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</si>
  <si>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</si>
  <si>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</si>
  <si>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</si>
  <si>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</si>
  <si>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</si>
  <si>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</si>
  <si>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</si>
  <si>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</si>
  <si>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</si>
  <si>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</si>
  <si>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</si>
  <si>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</si>
  <si>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</si>
  <si>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</si>
  <si>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</si>
  <si>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</si>
  <si>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</si>
  <si>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</si>
  <si>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</si>
  <si>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</si>
  <si>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</si>
  <si>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</si>
  <si>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</si>
  <si>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</si>
  <si>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</si>
  <si>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</si>
  <si>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</si>
  <si>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</si>
  <si>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</si>
  <si>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</si>
  <si>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</si>
  <si>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</si>
  <si>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</si>
  <si>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</si>
  <si>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</si>
  <si>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</si>
  <si>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</si>
  <si>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</si>
  <si>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</si>
  <si>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</si>
  <si>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</si>
  <si>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</si>
  <si>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</si>
  <si>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</si>
  <si>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</si>
  <si>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</si>
  <si>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</si>
  <si>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</si>
  <si>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</si>
  <si>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</si>
  <si>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</si>
  <si>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</si>
  <si>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</si>
  <si>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</si>
  <si>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</si>
  <si>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</si>
  <si>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</si>
  <si>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</si>
  <si>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</si>
  <si>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</si>
  <si>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</si>
  <si>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</si>
  <si>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</si>
  <si>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</si>
  <si>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</si>
  <si>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</si>
  <si>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</si>
  <si>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</si>
  <si>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</si>
  <si>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</si>
  <si>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</si>
  <si>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</si>
  <si>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</si>
  <si>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</si>
  <si>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</si>
  <si>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</si>
  <si>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</si>
  <si>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</si>
  <si>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</si>
  <si>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</si>
  <si>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</si>
  <si>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</si>
  <si>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</si>
  <si>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</si>
  <si>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</si>
  <si>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</si>
  <si>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</si>
  <si>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</si>
  <si>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</si>
  <si>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</si>
  <si>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</si>
  <si>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</si>
  <si>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</si>
  <si>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</si>
  <si>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</si>
  <si>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</si>
  <si>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</si>
  <si>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</si>
  <si>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</si>
  <si>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</si>
  <si>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</si>
  <si>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</si>
  <si>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</si>
  <si>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</si>
  <si>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</si>
  <si>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</si>
  <si>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</si>
  <si>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</si>
  <si>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</si>
  <si>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</si>
  <si>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</si>
  <si>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</si>
  <si>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</si>
  <si>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</si>
  <si>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</si>
  <si>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</si>
  <si>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</si>
  <si>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</si>
  <si>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</si>
  <si>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</si>
  <si>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</si>
  <si>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</si>
  <si>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</si>
  <si>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</si>
  <si>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</si>
  <si>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</si>
  <si>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</si>
  <si>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</si>
  <si>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</si>
  <si>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</si>
  <si>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</si>
  <si>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</si>
  <si>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</si>
  <si>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</si>
  <si>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</si>
  <si>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</si>
  <si>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</si>
  <si>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</si>
  <si>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</si>
  <si>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</si>
  <si>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</si>
  <si>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</si>
  <si>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</si>
  <si>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</si>
  <si>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</si>
  <si>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</si>
  <si>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</si>
  <si>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</si>
  <si>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</si>
  <si>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</si>
  <si>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</si>
  <si>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</si>
  <si>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</si>
  <si>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</si>
  <si>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</si>
  <si>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</si>
  <si>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</si>
  <si>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</si>
  <si>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</si>
  <si>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</si>
  <si>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</si>
  <si>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</si>
  <si>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</si>
  <si>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</si>
  <si>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</si>
  <si>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</si>
  <si>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</si>
  <si>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</si>
  <si>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</si>
  <si>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</si>
  <si>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</si>
  <si>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</si>
  <si>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</si>
  <si>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</si>
  <si>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</si>
  <si>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</si>
  <si>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</si>
  <si>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</si>
  <si>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</si>
  <si>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</si>
  <si>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</si>
  <si>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</si>
  <si>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</si>
  <si>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</si>
  <si>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</si>
  <si>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</si>
  <si>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</si>
  <si>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</si>
  <si>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</si>
  <si>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</si>
  <si>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</si>
  <si>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</si>
  <si>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</si>
  <si>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</si>
  <si>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</si>
  <si>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</si>
  <si>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</si>
  <si>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</si>
  <si>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</si>
  <si>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</si>
  <si>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</si>
  <si>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</si>
  <si>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</si>
  <si>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</si>
  <si>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</si>
  <si>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</si>
  <si>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</si>
  <si>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</si>
  <si>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</si>
  <si>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</si>
  <si>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</si>
  <si>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</si>
  <si>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</si>
  <si>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</si>
  <si>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</si>
  <si>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</si>
  <si>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</si>
  <si>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</si>
  <si>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</si>
  <si>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</si>
  <si>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</si>
  <si>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</si>
  <si>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</si>
  <si>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</si>
  <si>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</si>
  <si>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</si>
  <si>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</si>
  <si>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</si>
  <si>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</si>
  <si>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</si>
  <si>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</si>
  <si>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</si>
  <si>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</si>
  <si>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</si>
  <si>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</si>
  <si>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</si>
  <si>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</si>
  <si>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</si>
  <si>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</si>
  <si>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</si>
  <si>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</si>
  <si>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</si>
  <si>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</si>
  <si>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</si>
  <si>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</si>
  <si>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</si>
  <si>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</si>
  <si>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</si>
  <si>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</si>
  <si>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</si>
  <si>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</si>
  <si>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</si>
  <si>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</si>
  <si>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</si>
  <si>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</si>
  <si>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</si>
  <si>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</si>
  <si>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</si>
  <si>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</si>
  <si>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</si>
  <si>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</si>
  <si>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</si>
  <si>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</si>
  <si>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</si>
  <si>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</si>
  <si>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</si>
  <si>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</si>
  <si>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</si>
  <si>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</si>
  <si>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</si>
  <si>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</si>
  <si>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</si>
  <si>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</si>
  <si>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</si>
  <si>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</si>
  <si>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</si>
  <si>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</si>
  <si>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</si>
  <si>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</si>
  <si>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</si>
  <si>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</si>
  <si>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</si>
  <si>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</si>
  <si>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</si>
  <si>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</si>
  <si>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</si>
  <si>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</si>
  <si>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</si>
  <si>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</si>
  <si>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</si>
  <si>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</si>
  <si>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</si>
  <si>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</si>
  <si>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</si>
  <si>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</si>
  <si>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</si>
  <si>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</si>
  <si>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</si>
  <si>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</si>
  <si>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</si>
  <si>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</si>
  <si>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</si>
  <si>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</si>
  <si>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</si>
  <si>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</si>
  <si>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</si>
  <si>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</si>
  <si>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</si>
  <si>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</si>
  <si>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</si>
  <si>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</si>
  <si>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</si>
  <si>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</si>
  <si>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</si>
  <si>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</si>
  <si>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</si>
  <si>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</si>
  <si>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</si>
  <si>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</si>
  <si>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</si>
  <si>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</si>
  <si>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</si>
  <si>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</si>
  <si>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</si>
  <si>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</si>
  <si>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</si>
  <si>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</si>
  <si>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</si>
  <si>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</si>
  <si>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</si>
  <si>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</si>
  <si>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</si>
  <si>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</si>
  <si>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</si>
  <si>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</si>
  <si>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</si>
  <si>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</si>
  <si>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</si>
  <si>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</si>
  <si>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</si>
  <si>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</si>
  <si>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</si>
  <si>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</si>
  <si>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</si>
  <si>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</si>
  <si>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</si>
  <si>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</si>
  <si>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</si>
  <si>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</si>
  <si>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</si>
  <si>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</si>
  <si>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</si>
  <si>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</si>
  <si>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</si>
  <si>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</si>
  <si>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</si>
  <si>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</si>
  <si>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</si>
  <si>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</si>
  <si>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</si>
  <si>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</si>
  <si>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</si>
  <si>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</si>
  <si>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</si>
  <si>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</si>
  <si>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</si>
  <si>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</si>
  <si>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</si>
  <si>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</si>
  <si>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</si>
  <si>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</si>
  <si>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</si>
  <si>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</si>
  <si>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</si>
  <si>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</si>
  <si>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</si>
  <si>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</si>
  <si>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</si>
  <si>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</si>
  <si>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</si>
  <si>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</si>
  <si>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</si>
  <si>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</si>
  <si>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</si>
  <si>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</si>
  <si>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</si>
  <si>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</si>
  <si>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</si>
  <si>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</si>
  <si>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</si>
  <si>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</si>
  <si>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</si>
  <si>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</si>
  <si>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</si>
  <si>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</si>
  <si>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</si>
  <si>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</si>
  <si>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</si>
  <si>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</si>
  <si>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</si>
  <si>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</si>
  <si>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</si>
  <si>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</si>
  <si>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</si>
  <si>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</si>
  <si>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</si>
  <si>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</si>
  <si>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</si>
  <si>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</si>
  <si>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</si>
  <si>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</si>
  <si>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</si>
  <si>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</si>
  <si>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</si>
  <si>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</si>
  <si>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</si>
  <si>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</si>
  <si>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</si>
  <si>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</si>
  <si>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</si>
  <si>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</si>
  <si>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</si>
  <si>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</si>
  <si>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</si>
  <si>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</si>
  <si>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</si>
  <si>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</si>
  <si>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</si>
  <si>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</si>
  <si>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</si>
  <si>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</si>
  <si>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</si>
  <si>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</si>
  <si>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</si>
  <si>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</si>
  <si>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</si>
  <si>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</si>
  <si>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</si>
  <si>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</si>
  <si>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</si>
  <si>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</si>
  <si>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</si>
  <si>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</si>
  <si>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</si>
  <si>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</si>
  <si>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</si>
  <si>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</si>
  <si>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</si>
  <si>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</si>
  <si>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</si>
  <si>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</si>
  <si>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</si>
  <si>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</si>
  <si>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</si>
  <si>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</si>
  <si>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</si>
  <si>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</si>
  <si>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</si>
  <si>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</si>
  <si>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</si>
  <si>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</si>
  <si>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</si>
  <si>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</si>
  <si>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</si>
  <si>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</si>
  <si>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</si>
  <si>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</si>
  <si>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</si>
  <si>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</si>
  <si>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</si>
  <si>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</si>
  <si>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</si>
  <si>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</si>
  <si>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</si>
  <si>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</si>
  <si>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</si>
  <si>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</si>
  <si>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</si>
  <si>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</si>
  <si>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</si>
  <si>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</si>
  <si>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</si>
  <si>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</si>
  <si>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</si>
  <si>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</si>
  <si>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</si>
  <si>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</si>
  <si>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</si>
  <si>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</si>
  <si>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</si>
  <si>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</si>
  <si>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</si>
  <si>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</si>
  <si>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</si>
  <si>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</si>
  <si>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</si>
  <si>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</si>
  <si>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</si>
  <si>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</si>
  <si>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</si>
  <si>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</si>
  <si>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</si>
  <si>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</si>
  <si>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</si>
  <si>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</si>
  <si>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</si>
  <si>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</si>
  <si>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</si>
  <si>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</si>
  <si>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</si>
  <si>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</si>
  <si>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</si>
  <si>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</si>
  <si>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</si>
  <si>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</si>
  <si>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</si>
  <si>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</si>
  <si>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</si>
  <si>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</si>
  <si>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</si>
  <si>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</si>
  <si>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</si>
  <si>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</si>
  <si>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</si>
  <si>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</si>
  <si>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</si>
  <si>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</si>
  <si>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</si>
  <si>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</si>
  <si>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</si>
  <si>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</si>
  <si>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</si>
  <si>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</si>
  <si>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</si>
  <si>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</si>
  <si>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</si>
  <si>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</si>
  <si>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</si>
  <si>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</si>
  <si>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</si>
  <si>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</si>
  <si>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</si>
  <si>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</si>
  <si>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</si>
  <si>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</si>
  <si>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</si>
  <si>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</si>
  <si>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</si>
  <si>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</si>
  <si>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</si>
  <si>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</si>
  <si>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</si>
  <si>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</si>
  <si>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</si>
  <si>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</si>
  <si>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</si>
  <si>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</si>
  <si>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</si>
  <si>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</si>
  <si>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</si>
  <si>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</si>
  <si>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</si>
  <si>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</si>
  <si>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</si>
  <si>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</si>
  <si>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</si>
  <si>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</si>
  <si>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</si>
  <si>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</si>
  <si>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</si>
  <si>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</si>
  <si>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</si>
  <si>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</si>
  <si>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</si>
  <si>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</si>
  <si>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</si>
  <si>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</si>
  <si>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</si>
  <si>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</si>
  <si>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</si>
  <si>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</si>
  <si>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</si>
  <si>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</si>
  <si>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</si>
  <si>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</si>
  <si>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</si>
  <si>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</si>
  <si>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</si>
  <si>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</si>
  <si>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</si>
  <si>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</si>
  <si>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</si>
  <si>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</si>
  <si>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</si>
  <si>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</si>
  <si>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</si>
  <si>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</si>
  <si>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</si>
  <si>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</si>
  <si>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</si>
  <si>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</si>
  <si>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</si>
  <si>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</si>
  <si>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</si>
  <si>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</si>
  <si>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</si>
  <si>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</si>
  <si>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</si>
  <si>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</si>
  <si>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</si>
  <si>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</si>
  <si>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</si>
  <si>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</si>
  <si>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</si>
  <si>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</si>
  <si>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</si>
  <si>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</si>
  <si>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</si>
  <si>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</si>
  <si>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</si>
  <si>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</si>
  <si>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</si>
  <si>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</si>
  <si>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</si>
  <si>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</si>
  <si>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</si>
  <si>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</si>
  <si>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</si>
  <si>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</si>
  <si>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</si>
  <si>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</si>
  <si>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</si>
  <si>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</si>
  <si>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</si>
  <si>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</si>
  <si>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</si>
  <si>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</si>
  <si>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</si>
  <si>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</si>
  <si>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</si>
  <si>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</si>
  <si>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</si>
  <si>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</si>
  <si>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</si>
  <si>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</si>
  <si>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</si>
  <si>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</si>
  <si>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</si>
  <si>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</si>
  <si>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</si>
  <si>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</si>
  <si>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</si>
  <si>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</si>
  <si>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</si>
  <si>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</si>
  <si>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</si>
  <si>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</si>
  <si>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</si>
  <si>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</si>
  <si>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</si>
  <si>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</si>
  <si>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</si>
  <si>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</si>
  <si>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</si>
  <si>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</si>
  <si>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</si>
  <si>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</si>
  <si>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</si>
  <si>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</si>
  <si>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</si>
  <si>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</si>
  <si>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</si>
  <si>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</si>
  <si>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</si>
  <si>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</si>
  <si>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</si>
  <si>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</si>
  <si>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</si>
  <si>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</si>
  <si>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</si>
  <si>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</si>
  <si>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</si>
  <si>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</si>
  <si>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</si>
  <si>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</si>
  <si>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</si>
  <si>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</si>
  <si>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</si>
  <si>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</si>
  <si>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</si>
  <si>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</si>
  <si>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</si>
  <si>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</si>
  <si>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</si>
  <si>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</si>
  <si>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</si>
  <si>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</si>
  <si>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</si>
  <si>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</si>
  <si>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</si>
  <si>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</si>
  <si>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</si>
  <si>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</si>
  <si>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</si>
  <si>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</si>
  <si>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</si>
  <si>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</si>
  <si>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</si>
  <si>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</si>
  <si>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</si>
  <si>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</si>
  <si>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</si>
  <si>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</si>
  <si>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</si>
  <si>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</si>
  <si>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</si>
  <si>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</si>
  <si>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</si>
  <si>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</si>
  <si>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</si>
  <si>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</si>
  <si>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</si>
  <si>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</si>
  <si>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</si>
  <si>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</si>
  <si>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</si>
  <si>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</si>
  <si>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</si>
  <si>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</si>
  <si>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</si>
  <si>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</si>
  <si>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</si>
  <si>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</si>
  <si>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</si>
  <si>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</si>
  <si>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</si>
  <si>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</si>
  <si>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</si>
  <si>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</si>
  <si>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</si>
  <si>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</si>
  <si>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</si>
  <si>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</si>
  <si>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</si>
  <si>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</si>
  <si>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</si>
  <si>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</si>
  <si>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</si>
  <si>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</si>
  <si>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</si>
  <si>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</si>
  <si>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</si>
  <si>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</si>
  <si>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</si>
  <si>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</si>
  <si>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</si>
  <si>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</si>
  <si>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</si>
  <si>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</si>
  <si>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</si>
  <si>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</si>
  <si>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</si>
  <si>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</si>
  <si>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</si>
  <si>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</si>
  <si>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</si>
  <si>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</si>
  <si>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</si>
  <si>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</si>
  <si>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</si>
  <si>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</si>
  <si>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</si>
  <si>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</si>
  <si>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</si>
  <si>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</si>
  <si>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</si>
  <si>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</si>
  <si>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</si>
  <si>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</si>
  <si>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</si>
  <si>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</si>
  <si>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</si>
  <si>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</si>
  <si>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</si>
  <si>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</si>
  <si>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</si>
  <si>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</si>
  <si>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</si>
  <si>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</si>
  <si>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</si>
  <si>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</si>
  <si>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</si>
  <si>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</si>
  <si>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</si>
  <si>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</si>
  <si>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</si>
  <si>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</si>
  <si>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</si>
  <si>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</si>
  <si>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</si>
  <si>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</si>
  <si>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</si>
  <si>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</si>
  <si>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</si>
  <si>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</si>
  <si>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</si>
  <si>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</si>
  <si>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</si>
  <si>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</si>
  <si>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</si>
  <si>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</si>
  <si>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</si>
  <si>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</si>
  <si>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</si>
  <si>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</si>
  <si>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</si>
  <si>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</si>
  <si>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</si>
  <si>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</si>
  <si>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</si>
  <si>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</si>
  <si>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</si>
  <si>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</si>
  <si>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</si>
  <si>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</si>
  <si>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</si>
  <si>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</si>
  <si>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</si>
  <si>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</si>
  <si>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</si>
  <si>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</si>
  <si>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</si>
  <si>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</si>
  <si>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</si>
  <si>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</si>
  <si>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</si>
  <si>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</si>
  <si>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</si>
  <si>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</si>
  <si>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</si>
  <si>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</si>
  <si>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</si>
  <si>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</si>
  <si>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</si>
  <si>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</si>
  <si>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</si>
  <si>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</si>
  <si>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</si>
  <si>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</si>
  <si>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</si>
  <si>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</si>
  <si>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</si>
  <si>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</si>
  <si>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</si>
  <si>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</si>
  <si>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</si>
  <si>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</si>
  <si>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</si>
  <si>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</si>
  <si>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</si>
  <si>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</si>
  <si>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</si>
  <si>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</si>
  <si>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</si>
  <si>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</si>
  <si>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</si>
  <si>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</si>
  <si>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</si>
  <si>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</si>
  <si>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</si>
  <si>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</si>
  <si>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</si>
  <si>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</si>
  <si>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</si>
  <si>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</si>
  <si>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</si>
  <si>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</si>
  <si>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</si>
  <si>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</si>
  <si>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</si>
  <si>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</si>
  <si>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</si>
  <si>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</si>
  <si>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</si>
  <si>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</si>
  <si>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</si>
  <si>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</si>
  <si>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</si>
  <si>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</si>
  <si>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</si>
  <si>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</si>
  <si>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</si>
  <si>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</si>
  <si>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</si>
  <si>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</si>
  <si>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</si>
  <si>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</si>
  <si>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</si>
  <si>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</si>
  <si>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</si>
  <si>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</si>
  <si>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</si>
  <si>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</si>
  <si>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</si>
  <si>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</si>
  <si>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</si>
  <si>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</si>
  <si>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</si>
  <si>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</si>
  <si>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</si>
  <si>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</si>
  <si>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</si>
  <si>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</si>
  <si>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</si>
  <si>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</si>
  <si>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</si>
  <si>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</si>
  <si>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</si>
  <si>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</si>
  <si>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</si>
  <si>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</si>
  <si>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</si>
  <si>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</si>
  <si>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</si>
  <si>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</si>
  <si>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</si>
  <si>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</si>
  <si>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</si>
  <si>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</si>
  <si>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</si>
  <si>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</si>
  <si>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</si>
  <si>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</si>
  <si>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</si>
  <si>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</si>
  <si>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</si>
  <si>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</si>
  <si>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</si>
  <si>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</si>
  <si>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</si>
  <si>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</si>
  <si>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</si>
  <si>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</si>
  <si>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</si>
  <si>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</si>
  <si>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</si>
  <si>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</si>
  <si>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</si>
  <si>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</si>
  <si>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</si>
  <si>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</si>
  <si>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</si>
  <si>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</si>
  <si>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</si>
  <si>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</si>
  <si>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</si>
  <si>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</si>
  <si>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</si>
  <si>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</si>
  <si>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</si>
  <si>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</si>
  <si>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</si>
  <si>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</si>
  <si>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</si>
  <si>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</si>
  <si>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</si>
  <si>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</si>
  <si>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</si>
  <si>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</si>
  <si>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</si>
  <si>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</si>
  <si>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</si>
  <si>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</si>
  <si>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</si>
  <si>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</si>
  <si>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</si>
  <si>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</si>
  <si>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</si>
  <si>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</si>
  <si>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</si>
  <si>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</si>
  <si>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</si>
  <si>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</si>
  <si>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</si>
  <si>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</si>
  <si>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</si>
  <si>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</si>
  <si>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</si>
  <si>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</si>
  <si>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</si>
  <si>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</si>
  <si>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</si>
  <si>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</si>
  <si>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</si>
  <si>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</si>
  <si>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</si>
  <si>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</si>
  <si>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</si>
  <si>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</si>
  <si>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</si>
  <si>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</si>
  <si>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</si>
  <si>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</si>
  <si>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</si>
  <si>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</si>
  <si>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</si>
  <si>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</si>
  <si>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</si>
  <si>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</si>
  <si>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</si>
  <si>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</si>
  <si>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</si>
  <si>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</si>
  <si>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>CM2-11M</t>
  </si>
  <si>
    <t xml:space="preserve">Pemasangan APP </t>
  </si>
  <si>
    <t>CJ6-T</t>
  </si>
  <si>
    <t>Pemasangan APP 1 Fasa Di Bangunan</t>
  </si>
  <si>
    <t>Daya 11.000 VA</t>
  </si>
  <si>
    <t>CJ5-T</t>
  </si>
  <si>
    <t>C12-200</t>
  </si>
  <si>
    <t>CA1</t>
  </si>
  <si>
    <t>CG105</t>
  </si>
  <si>
    <t>B2</t>
  </si>
  <si>
    <t>KONSTRUKSI JARINGAN</t>
  </si>
  <si>
    <t>KOORDINAT : -6.7975212,110.6120317</t>
  </si>
  <si>
    <t>MASJID AL-FALAH</t>
  </si>
  <si>
    <t>DS WEDUNG KEC WEDUNG</t>
  </si>
  <si>
    <t>Trafo 1 Fasa CSP 50 KVA (G105, G106, G136)</t>
  </si>
  <si>
    <t xml:space="preserve">Jumper Wire : </t>
  </si>
  <si>
    <t>X1:96,8</t>
  </si>
  <si>
    <t>X2: 188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</si>
</sst>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43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43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168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8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81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6" fillId="0" borderId="0" applyFont="0" applyFill="0" applyBorder="0" applyAlignment="0" applyProtection="0"/>
    <xf numFmtId="18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204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5" fontId="35" fillId="0" borderId="3"/>
    <xf numFmtId="185" fontId="21" fillId="0" borderId="3"/>
    <xf numFmtId="42" fontId="22" fillId="0" borderId="0" applyFont="0" applyFill="0" applyBorder="0" applyAlignment="0" applyProtection="0"/>
    <xf numFmtId="42" fontId="47" fillId="0" borderId="0" applyFont="0" applyFill="0" applyBorder="0" applyAlignment="0" applyProtection="0"/>
    <xf numFmtId="172" fontId="35" fillId="0" borderId="0" applyFont="0" applyFill="0" applyBorder="0" applyAlignment="0" applyProtection="0"/>
    <xf numFmtId="172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69" fillId="0" borderId="0" applyFont="0" applyFill="0" applyBorder="0" applyAlignment="0" applyProtection="0"/>
    <xf numFmtId="187" fontId="71" fillId="0" borderId="0">
      <protection locked="0"/>
    </xf>
    <xf numFmtId="14" fontId="63" fillId="0" borderId="0" applyFill="0" applyBorder="0" applyAlignment="0"/>
    <xf numFmtId="188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89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0" fontId="76" fillId="0" borderId="0">
      <protection locked="0"/>
    </xf>
    <xf numFmtId="190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1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2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21" fillId="0" borderId="0"/>
    <xf numFmtId="192" fontId="35" fillId="0" borderId="0"/>
    <xf numFmtId="171" fontId="82" fillId="0" borderId="0"/>
    <xf numFmtId="171" fontId="83" fillId="0" borderId="0"/>
    <xf numFmtId="171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3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1" fontId="83" fillId="0" borderId="0"/>
    <xf numFmtId="0" fontId="83" fillId="0" borderId="0"/>
    <xf numFmtId="194" fontId="83" fillId="0" borderId="0"/>
    <xf numFmtId="195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4" fontId="83" fillId="0" borderId="0"/>
    <xf numFmtId="0" fontId="83" fillId="0" borderId="0"/>
    <xf numFmtId="0" fontId="35" fillId="0" borderId="0"/>
    <xf numFmtId="0" fontId="21" fillId="0" borderId="0"/>
    <xf numFmtId="181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7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6" fontId="83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3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3" fontId="42" fillId="0" borderId="0"/>
    <xf numFmtId="193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5" fontId="35" fillId="0" borderId="0" applyFont="0" applyFill="0" applyBorder="0" applyAlignment="0" applyProtection="0"/>
    <xf numFmtId="175" fontId="21" fillId="0" borderId="0" applyFont="0" applyFill="0" applyBorder="0" applyAlignment="0" applyProtection="0"/>
    <xf numFmtId="199" fontId="35" fillId="0" borderId="0" applyFont="0" applyFill="0" applyBorder="0" applyAlignment="0" applyProtection="0"/>
    <xf numFmtId="199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3" fillId="0" borderId="0"/>
    <xf numFmtId="200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1" fontId="35" fillId="0" borderId="0" applyFill="0" applyBorder="0" applyAlignment="0"/>
    <xf numFmtId="201" fontId="21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8" fillId="0" borderId="0"/>
    <xf numFmtId="165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165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4" fillId="0" borderId="0"/>
    <xf numFmtId="165" fontId="21" fillId="0" borderId="0" applyFont="0" applyFill="0" applyBorder="0" applyAlignment="0" applyProtection="0"/>
    <xf numFmtId="0" fontId="4" fillId="0" borderId="0"/>
    <xf numFmtId="166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15" fillId="0" borderId="0" applyFont="0" applyFill="0" applyBorder="0" applyAlignment="0" applyProtection="0"/>
    <xf numFmtId="42" fontId="15" fillId="0" borderId="0" applyFont="0" applyFill="0" applyBorder="0" applyAlignment="0" applyProtection="0"/>
    <xf numFmtId="42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166" fontId="21" fillId="0" borderId="0" applyFont="0" applyFill="0" applyBorder="0" applyAlignment="0" applyProtection="0"/>
  </cellStyleXfs>
  <cellXfs count="706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41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41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41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43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8" fontId="44" fillId="0" borderId="0" xfId="714" applyFont="1" applyFill="1" applyAlignment="1">
      <alignment horizontal="center" wrapText="1"/>
    </xf>
    <xf numFmtId="168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8" fontId="44" fillId="0" borderId="21" xfId="715" applyNumberFormat="1" applyFont="1" applyFill="1" applyBorder="1" applyAlignment="1">
      <alignment horizontal="center" vertical="center" wrapText="1"/>
    </xf>
    <xf numFmtId="168" fontId="44" fillId="0" borderId="21" xfId="714" applyFont="1" applyFill="1" applyBorder="1" applyAlignment="1">
      <alignment horizontal="center" vertical="center" wrapText="1"/>
    </xf>
    <xf numFmtId="168" fontId="44" fillId="0" borderId="33" xfId="714" applyFont="1" applyFill="1" applyBorder="1" applyAlignment="1">
      <alignment horizontal="center" vertical="center" wrapText="1"/>
    </xf>
    <xf numFmtId="43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43" fontId="43" fillId="0" borderId="0" xfId="1615" applyNumberFormat="1" applyFont="1" applyAlignment="1">
      <alignment horizontal="left" vertical="center"/>
    </xf>
    <xf numFmtId="43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6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41" fontId="95" fillId="0" borderId="0" xfId="1448" applyNumberFormat="1" applyFont="1" applyAlignment="1">
      <alignment wrapText="1"/>
    </xf>
    <xf numFmtId="41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8" fontId="44" fillId="0" borderId="21" xfId="717" applyNumberFormat="1" applyFont="1" applyFill="1" applyBorder="1" applyAlignment="1" applyProtection="1">
      <alignment horizontal="center" vertical="center" wrapText="1"/>
    </xf>
    <xf numFmtId="41" fontId="44" fillId="0" borderId="21" xfId="1451" applyNumberFormat="1" applyFont="1" applyBorder="1" applyAlignment="1">
      <alignment horizontal="center" vertical="center" wrapText="1"/>
    </xf>
    <xf numFmtId="168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8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8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8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43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41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8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2" fillId="0" borderId="0" xfId="1538"/>
    <xf numFmtId="43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43" fontId="0" fillId="0" borderId="3" xfId="1026" applyFont="1" applyFill="1" applyBorder="1" applyProtection="1"/>
    <xf numFmtId="43" fontId="112" fillId="0" borderId="3" xfId="1538" applyNumberFormat="1" applyBorder="1"/>
    <xf numFmtId="43" fontId="140" fillId="0" borderId="3" xfId="1026" applyFont="1" applyBorder="1" applyProtection="1"/>
    <xf numFmtId="43" fontId="0" fillId="0" borderId="3" xfId="1026" applyFont="1" applyBorder="1" applyProtection="1"/>
    <xf numFmtId="43" fontId="128" fillId="0" borderId="3" xfId="1538" applyNumberFormat="1" applyFont="1" applyBorder="1"/>
    <xf numFmtId="0" fontId="61" fillId="0" borderId="3" xfId="1538" applyFont="1" applyBorder="1"/>
    <xf numFmtId="41" fontId="112" fillId="0" borderId="3" xfId="1538" applyNumberFormat="1" applyBorder="1"/>
    <xf numFmtId="43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43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43" fontId="49" fillId="0" borderId="0" xfId="1538" applyNumberFormat="1" applyFont="1"/>
    <xf numFmtId="0" fontId="112" fillId="29" borderId="3" xfId="1538" applyFill="1" applyBorder="1"/>
    <xf numFmtId="168" fontId="112" fillId="29" borderId="3" xfId="1538" applyNumberFormat="1" applyFill="1" applyBorder="1" applyAlignment="1">
      <alignment horizontal="right"/>
    </xf>
    <xf numFmtId="166" fontId="112" fillId="0" borderId="0" xfId="1538" applyNumberFormat="1"/>
    <xf numFmtId="43" fontId="112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43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6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41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43" fontId="141" fillId="40" borderId="85" xfId="2672" applyFont="1" applyFill="1" applyBorder="1" applyAlignment="1" applyProtection="1">
      <alignment horizontal="right" vertical="center" wrapText="1"/>
      <protection locked="0"/>
    </xf>
    <xf numFmtId="43" fontId="141" fillId="40" borderId="87" xfId="2672" applyFont="1" applyFill="1" applyBorder="1" applyAlignment="1" applyProtection="1">
      <alignment horizontal="right" vertical="center"/>
      <protection locked="0"/>
    </xf>
    <xf numFmtId="168" fontId="141" fillId="40" borderId="87" xfId="2672" applyNumberFormat="1" applyFont="1" applyFill="1" applyBorder="1" applyAlignment="1" applyProtection="1">
      <alignment horizontal="right" vertical="center"/>
      <protection locked="0"/>
    </xf>
    <xf numFmtId="168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165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6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8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28" fillId="0" borderId="21" xfId="1652" applyFont="1" applyBorder="1" applyAlignment="1">
      <alignment vertical="center" wrapText="1"/>
    </xf>
    <xf numFmtId="0" fontId="10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76" fillId="33" borderId="0" xfId="0" applyFont="1" applyFill="1" applyAlignment="1">
      <alignment horizontal="left"/>
    </xf>
    <xf numFmtId="0" fontId="1" fillId="0" borderId="21" xfId="1652" applyFont="1" applyBorder="1" applyAlignment="1">
      <alignment horizontal="left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168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166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166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166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112" fillId="38" borderId="3" xfId="1538" applyFill="1" applyBorder="1" applyAlignment="1">
      <alignment horizontal="center" vertical="center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 wrapText="1"/>
    </xf>
    <xf numFmtId="0" fontId="52" fillId="0" borderId="44" xfId="1538" applyFont="1" applyBorder="1" applyAlignment="1">
      <alignment horizontal="left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6" fillId="35" borderId="3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0" fontId="115" fillId="33" borderId="64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49" fontId="115" fillId="33" borderId="50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7" fontId="120" fillId="0" borderId="73" xfId="1450" applyNumberFormat="1" applyFont="1" applyBorder="1" applyAlignment="1">
      <alignment horizontal="left" vertical="center"/>
    </xf>
    <xf numFmtId="207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jpe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0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0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72</xdr:row>
      <xdr:rowOff>81642</xdr:rowOff>
    </xdr:from>
    <xdr:to>
      <xdr:col>12</xdr:col>
      <xdr:colOff>41108</xdr:colOff>
      <xdr:row>75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108857</xdr:colOff>
      <xdr:row>27</xdr:row>
      <xdr:rowOff>144518</xdr:rowOff>
    </xdr:from>
    <xdr:to>
      <xdr:col>14</xdr:col>
      <xdr:colOff>170793</xdr:colOff>
      <xdr:row>28</xdr:row>
      <xdr:rowOff>5443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55663F0D-54C9-48A3-9BDA-485C0206CA10}"/>
            </a:ext>
          </a:extLst>
        </xdr:cNvPr>
        <xdr:cNvCxnSpPr>
          <a:cxnSpLocks/>
        </xdr:cNvCxnSpPr>
      </xdr:nvCxnSpPr>
      <xdr:spPr>
        <a:xfrm flipH="1">
          <a:off x="1943100" y="4291975"/>
          <a:ext cx="3109936" cy="1332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0869" y="819122"/>
          <a:ext cx="1487373" cy="1789974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6</xdr:col>
      <xdr:colOff>98535</xdr:colOff>
      <xdr:row>26</xdr:row>
      <xdr:rowOff>73909</xdr:rowOff>
    </xdr:from>
    <xdr:to>
      <xdr:col>13</xdr:col>
      <xdr:colOff>146831</xdr:colOff>
      <xdr:row>26</xdr:row>
      <xdr:rowOff>91966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583AFF61-733A-B7CF-0C54-EF04A0C68D3E}"/>
            </a:ext>
          </a:extLst>
        </xdr:cNvPr>
        <xdr:cNvCxnSpPr>
          <a:endCxn id="63" idx="2"/>
        </xdr:cNvCxnSpPr>
      </xdr:nvCxnSpPr>
      <xdr:spPr>
        <a:xfrm flipV="1">
          <a:off x="1927335" y="4070599"/>
          <a:ext cx="2715296" cy="18057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146831</xdr:colOff>
      <xdr:row>26</xdr:row>
      <xdr:rowOff>21198</xdr:rowOff>
    </xdr:from>
    <xdr:to>
      <xdr:col>13</xdr:col>
      <xdr:colOff>232729</xdr:colOff>
      <xdr:row>26</xdr:row>
      <xdr:rowOff>126620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926B344-BD56-C85C-AFC0-3C8C6EA3F3C9}"/>
            </a:ext>
          </a:extLst>
        </xdr:cNvPr>
        <xdr:cNvGrpSpPr/>
      </xdr:nvGrpSpPr>
      <xdr:grpSpPr>
        <a:xfrm>
          <a:off x="4642631" y="4012173"/>
          <a:ext cx="85898" cy="10542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BAEA9263-A487-E17A-2FC7-FD919826637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83295401-B9B5-8C94-78B8-F47069292D71}"/>
              </a:ext>
            </a:extLst>
          </xdr:cNvPr>
          <xdr:cNvCxnSpPr>
            <a:stCxn id="63" idx="1"/>
            <a:endCxn id="6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2D2606B5-ADA4-B18F-2C67-6DB3CD53513C}"/>
              </a:ext>
            </a:extLst>
          </xdr:cNvPr>
          <xdr:cNvCxnSpPr>
            <a:stCxn id="63" idx="3"/>
            <a:endCxn id="6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122109</xdr:colOff>
      <xdr:row>26</xdr:row>
      <xdr:rowOff>36913</xdr:rowOff>
    </xdr:from>
    <xdr:to>
      <xdr:col>9</xdr:col>
      <xdr:colOff>210475</xdr:colOff>
      <xdr:row>26</xdr:row>
      <xdr:rowOff>135295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0BEB2CA7-FAE1-4216-B454-86D95AB96ED1}"/>
            </a:ext>
          </a:extLst>
        </xdr:cNvPr>
        <xdr:cNvGrpSpPr/>
      </xdr:nvGrpSpPr>
      <xdr:grpSpPr>
        <a:xfrm>
          <a:off x="3093909" y="4027888"/>
          <a:ext cx="88366" cy="9838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3A9A7417-3DE1-1256-91DF-135137BC7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ED734F8D-B90C-2365-AE95-08F088C83F07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5735C1E-0C63-10F6-9744-924DD2840E7C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365689</xdr:colOff>
      <xdr:row>26</xdr:row>
      <xdr:rowOff>43234</xdr:rowOff>
    </xdr:from>
    <xdr:to>
      <xdr:col>7</xdr:col>
      <xdr:colOff>73055</xdr:colOff>
      <xdr:row>26</xdr:row>
      <xdr:rowOff>144929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63D31E2A-D9A9-4E69-8CE3-B5863046C98F}"/>
            </a:ext>
          </a:extLst>
        </xdr:cNvPr>
        <xdr:cNvGrpSpPr/>
      </xdr:nvGrpSpPr>
      <xdr:grpSpPr>
        <a:xfrm>
          <a:off x="2194489" y="4034209"/>
          <a:ext cx="88366" cy="10169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9" name="Oval 198">
            <a:extLst>
              <a:ext uri="{FF2B5EF4-FFF2-40B4-BE49-F238E27FC236}">
                <a16:creationId xmlns:a16="http://schemas.microsoft.com/office/drawing/2014/main" id="{8551EEA2-4C4B-1784-1403-223454D00F0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82E12FE7-548B-914B-262F-A60D3E4DF8DA}"/>
              </a:ext>
            </a:extLst>
          </xdr:cNvPr>
          <xdr:cNvCxnSpPr>
            <a:stCxn id="199" idx="1"/>
            <a:endCxn id="1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F3F35516-3744-9567-70C6-1F8DA6F5AF23}"/>
              </a:ext>
            </a:extLst>
          </xdr:cNvPr>
          <xdr:cNvCxnSpPr>
            <a:stCxn id="199" idx="3"/>
            <a:endCxn id="1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363934</xdr:colOff>
      <xdr:row>20</xdr:row>
      <xdr:rowOff>32517</xdr:rowOff>
    </xdr:from>
    <xdr:to>
      <xdr:col>12</xdr:col>
      <xdr:colOff>326806</xdr:colOff>
      <xdr:row>24</xdr:row>
      <xdr:rowOff>74100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497D337A-9E1B-41D1-9E74-D357397C2AA4}"/>
            </a:ext>
          </a:extLst>
        </xdr:cNvPr>
        <xdr:cNvSpPr/>
      </xdr:nvSpPr>
      <xdr:spPr>
        <a:xfrm>
          <a:off x="3335734" y="3109092"/>
          <a:ext cx="1105872" cy="651183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chemeClr val="tx1"/>
              </a:solidFill>
            </a:rPr>
            <a:t>MASJID</a:t>
          </a:r>
        </a:p>
      </xdr:txBody>
    </xdr:sp>
    <xdr:clientData/>
  </xdr:twoCellAnchor>
  <xdr:twoCellAnchor>
    <xdr:from>
      <xdr:col>14</xdr:col>
      <xdr:colOff>94174</xdr:colOff>
      <xdr:row>22</xdr:row>
      <xdr:rowOff>79577</xdr:rowOff>
    </xdr:from>
    <xdr:to>
      <xdr:col>14</xdr:col>
      <xdr:colOff>113361</xdr:colOff>
      <xdr:row>41</xdr:row>
      <xdr:rowOff>93469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366AC9EE-CE5E-2F59-B62D-1CA2C2C9FF75}"/>
            </a:ext>
          </a:extLst>
        </xdr:cNvPr>
        <xdr:cNvCxnSpPr>
          <a:cxnSpLocks/>
        </xdr:cNvCxnSpPr>
      </xdr:nvCxnSpPr>
      <xdr:spPr>
        <a:xfrm flipV="1">
          <a:off x="4976417" y="3465034"/>
          <a:ext cx="19187" cy="2920378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140970</xdr:colOff>
      <xdr:row>25</xdr:row>
      <xdr:rowOff>49530</xdr:rowOff>
    </xdr:from>
    <xdr:to>
      <xdr:col>9</xdr:col>
      <xdr:colOff>224790</xdr:colOff>
      <xdr:row>26</xdr:row>
      <xdr:rowOff>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1086CF8C-8A7B-4B25-B7F3-1FCD280DA540}"/>
            </a:ext>
          </a:extLst>
        </xdr:cNvPr>
        <xdr:cNvSpPr/>
      </xdr:nvSpPr>
      <xdr:spPr>
        <a:xfrm>
          <a:off x="3112770" y="3893820"/>
          <a:ext cx="83820" cy="10287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27078</xdr:colOff>
      <xdr:row>25</xdr:row>
      <xdr:rowOff>50051</xdr:rowOff>
    </xdr:from>
    <xdr:to>
      <xdr:col>9</xdr:col>
      <xdr:colOff>115358</xdr:colOff>
      <xdr:row>25</xdr:row>
      <xdr:rowOff>151342</xdr:rowOff>
    </xdr:to>
    <xdr:sp macro="" textlink="">
      <xdr:nvSpPr>
        <xdr:cNvPr id="6" name="Isosceles Triangle 5">
          <a:extLst>
            <a:ext uri="{FF2B5EF4-FFF2-40B4-BE49-F238E27FC236}">
              <a16:creationId xmlns:a16="http://schemas.microsoft.com/office/drawing/2014/main" id="{8FFD550B-2F04-4EC9-B953-828170717B7F}"/>
            </a:ext>
          </a:extLst>
        </xdr:cNvPr>
        <xdr:cNvSpPr/>
      </xdr:nvSpPr>
      <xdr:spPr>
        <a:xfrm>
          <a:off x="3000239" y="3907676"/>
          <a:ext cx="88280" cy="101291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86591</xdr:colOff>
      <xdr:row>24</xdr:row>
      <xdr:rowOff>60614</xdr:rowOff>
    </xdr:from>
    <xdr:to>
      <xdr:col>10</xdr:col>
      <xdr:colOff>112568</xdr:colOff>
      <xdr:row>25</xdr:row>
      <xdr:rowOff>77932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5D35E36-A359-95F3-6D30-85CFD6ADF285}"/>
            </a:ext>
          </a:extLst>
        </xdr:cNvPr>
        <xdr:cNvSpPr txBox="1"/>
      </xdr:nvSpPr>
      <xdr:spPr>
        <a:xfrm>
          <a:off x="3056659" y="3723409"/>
          <a:ext cx="406977" cy="1688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>
              <a:solidFill>
                <a:srgbClr val="FF0000"/>
              </a:solidFill>
            </a:rPr>
            <a:t>50 KVA</a:t>
          </a:r>
        </a:p>
      </xdr:txBody>
    </xdr:sp>
    <xdr:clientData/>
  </xdr:twoCellAnchor>
  <xdr:twoCellAnchor>
    <xdr:from>
      <xdr:col>8</xdr:col>
      <xdr:colOff>155864</xdr:colOff>
      <xdr:row>24</xdr:row>
      <xdr:rowOff>60614</xdr:rowOff>
    </xdr:from>
    <xdr:to>
      <xdr:col>9</xdr:col>
      <xdr:colOff>181841</xdr:colOff>
      <xdr:row>25</xdr:row>
      <xdr:rowOff>77932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BB27A33-CC61-B991-FF97-4441C60B45C8}"/>
            </a:ext>
          </a:extLst>
        </xdr:cNvPr>
        <xdr:cNvSpPr txBox="1"/>
      </xdr:nvSpPr>
      <xdr:spPr>
        <a:xfrm>
          <a:off x="2744932" y="3723409"/>
          <a:ext cx="406977" cy="1688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50 KVA</a:t>
          </a:r>
        </a:p>
      </xdr:txBody>
    </xdr:sp>
    <xdr:clientData/>
  </xdr:twoCellAnchor>
  <xdr:twoCellAnchor>
    <xdr:from>
      <xdr:col>14</xdr:col>
      <xdr:colOff>238271</xdr:colOff>
      <xdr:row>29</xdr:row>
      <xdr:rowOff>2148</xdr:rowOff>
    </xdr:from>
    <xdr:to>
      <xdr:col>14</xdr:col>
      <xdr:colOff>324169</xdr:colOff>
      <xdr:row>29</xdr:row>
      <xdr:rowOff>107570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46BFB84A-365F-A415-3C9C-25D0BDC9E736}"/>
            </a:ext>
          </a:extLst>
        </xdr:cNvPr>
        <xdr:cNvGrpSpPr/>
      </xdr:nvGrpSpPr>
      <xdr:grpSpPr>
        <a:xfrm>
          <a:off x="5115071" y="4450323"/>
          <a:ext cx="85898" cy="10542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0ABF314D-CDDF-3C92-1DAC-AC07F045549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18A46094-0AD9-A25F-BDB3-816B56C9B9F2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D9EBAA2E-D655-00D9-6A39-5645268C90D4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189780</xdr:colOff>
      <xdr:row>26</xdr:row>
      <xdr:rowOff>126620</xdr:rowOff>
    </xdr:from>
    <xdr:to>
      <xdr:col>14</xdr:col>
      <xdr:colOff>250850</xdr:colOff>
      <xdr:row>29</xdr:row>
      <xdr:rowOff>17587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56ED42E2-DD4D-E32A-5B60-E404C46E764F}"/>
            </a:ext>
          </a:extLst>
        </xdr:cNvPr>
        <xdr:cNvCxnSpPr>
          <a:stCxn id="63" idx="4"/>
          <a:endCxn id="13" idx="1"/>
        </xdr:cNvCxnSpPr>
      </xdr:nvCxnSpPr>
      <xdr:spPr>
        <a:xfrm>
          <a:off x="4685580" y="4123310"/>
          <a:ext cx="442070" cy="348167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197534</xdr:colOff>
      <xdr:row>24</xdr:row>
      <xdr:rowOff>74100</xdr:rowOff>
    </xdr:from>
    <xdr:to>
      <xdr:col>11</xdr:col>
      <xdr:colOff>154870</xdr:colOff>
      <xdr:row>26</xdr:row>
      <xdr:rowOff>51321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AF41AB12-3318-33DD-80E5-5D9186103202}"/>
            </a:ext>
          </a:extLst>
        </xdr:cNvPr>
        <xdr:cNvCxnSpPr>
          <a:stCxn id="195" idx="7"/>
          <a:endCxn id="51" idx="2"/>
        </xdr:cNvCxnSpPr>
      </xdr:nvCxnSpPr>
      <xdr:spPr>
        <a:xfrm flipV="1">
          <a:off x="3169334" y="3765990"/>
          <a:ext cx="719336" cy="282021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148864</xdr:colOff>
      <xdr:row>25</xdr:row>
      <xdr:rowOff>12290</xdr:rowOff>
    </xdr:from>
    <xdr:to>
      <xdr:col>10</xdr:col>
      <xdr:colOff>196644</xdr:colOff>
      <xdr:row>25</xdr:row>
      <xdr:rowOff>106259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9FDE3E63-E618-1736-ADDC-A2F2DA8916F6}"/>
            </a:ext>
          </a:extLst>
        </xdr:cNvPr>
        <xdr:cNvGrpSpPr/>
      </xdr:nvGrpSpPr>
      <xdr:grpSpPr>
        <a:xfrm>
          <a:off x="3501664" y="3850865"/>
          <a:ext cx="47780" cy="93969"/>
          <a:chOff x="2155259" y="3170903"/>
          <a:chExt cx="47780" cy="93969"/>
        </a:xfrm>
      </xdr:grpSpPr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FA16619E-A7E6-F279-B861-7F26F4C13920}"/>
              </a:ext>
            </a:extLst>
          </xdr:cNvPr>
          <xdr:cNvCxnSpPr/>
        </xdr:nvCxnSpPr>
        <xdr:spPr>
          <a:xfrm flipV="1">
            <a:off x="2155259" y="3170903"/>
            <a:ext cx="32418" cy="84751"/>
          </a:xfrm>
          <a:prstGeom prst="line">
            <a:avLst/>
          </a:prstGeom>
          <a:ln w="6350">
            <a:solidFill>
              <a:schemeClr val="tx1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A2E339B5-C2E6-2E42-0F22-2DB7F266163E}"/>
              </a:ext>
            </a:extLst>
          </xdr:cNvPr>
          <xdr:cNvCxnSpPr/>
        </xdr:nvCxnSpPr>
        <xdr:spPr>
          <a:xfrm flipV="1">
            <a:off x="2170621" y="3180121"/>
            <a:ext cx="32418" cy="84751"/>
          </a:xfrm>
          <a:prstGeom prst="line">
            <a:avLst/>
          </a:prstGeom>
          <a:ln w="6350">
            <a:solidFill>
              <a:schemeClr val="tx1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11</xdr:col>
      <xdr:colOff>56902</xdr:colOff>
      <xdr:row>8</xdr:row>
      <xdr:rowOff>34390</xdr:rowOff>
    </xdr:from>
    <xdr:to>
      <xdr:col>13</xdr:col>
      <xdr:colOff>239486</xdr:colOff>
      <xdr:row>14</xdr:row>
      <xdr:rowOff>43544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C1793D-DC6D-9915-8375-84BBF8F52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6145" y="1275361"/>
          <a:ext cx="944584" cy="934440"/>
        </a:xfrm>
        <a:prstGeom prst="rect">
          <a:avLst/>
        </a:prstGeom>
      </xdr:spPr>
    </xdr:pic>
    <xdr:clientData/>
  </xdr:twoCellAnchor>
  <xdr:twoCellAnchor editAs="oneCell">
    <xdr:from>
      <xdr:col>13</xdr:col>
      <xdr:colOff>308884</xdr:colOff>
      <xdr:row>8</xdr:row>
      <xdr:rowOff>28578</xdr:rowOff>
    </xdr:from>
    <xdr:to>
      <xdr:col>16</xdr:col>
      <xdr:colOff>19050</xdr:colOff>
      <xdr:row>14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FE324BD-E25D-0AF0-97C0-869AF47F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4684" y="1266828"/>
          <a:ext cx="853166" cy="95249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362445</xdr:colOff>
      <xdr:row>9</xdr:row>
      <xdr:rowOff>53193</xdr:rowOff>
    </xdr:from>
    <xdr:to>
      <xdr:col>22</xdr:col>
      <xdr:colOff>588818</xdr:colOff>
      <xdr:row>51</xdr:row>
      <xdr:rowOff>103909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51B430-F157-8543-B7A0-86BAE76B13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6974" t="22092" r="42442" b="10647"/>
        <a:stretch/>
      </xdr:blipFill>
      <xdr:spPr>
        <a:xfrm>
          <a:off x="483672" y="1611829"/>
          <a:ext cx="12591555" cy="659698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  <sheetName val="prod03"/>
      <sheetName val="C"/>
      <sheetName val="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  <sheetName val="Resume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  <sheetName val="LISDES"/>
      <sheetName val="Currency Rate"/>
      <sheetName val="SEX"/>
      <sheetName val="CPI"/>
      <sheetName val="KURS"/>
      <sheetName val="IKK 2018"/>
      <sheetName val="INKINDO 2018"/>
      <sheetName val="IKK 2017"/>
      <sheetName val="Hg.Sat"/>
      <sheetName val="Upah"/>
      <sheetName val="PRK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Material"/>
      <sheetName val="Section 2 MastlisteRev02"/>
      <sheetName val="TAP"/>
      <sheetName val="Overview"/>
      <sheetName val="divI"/>
      <sheetName val="divII"/>
      <sheetName val="new kinerja"/>
      <sheetName val="Data Kit"/>
      <sheetName val="Data Kit Kaltim"/>
      <sheetName val="Upah Bahan"/>
      <sheetName val="Daftar Peserta"/>
      <sheetName val="Simulasi SPPD"/>
      <sheetName val="Data asli"/>
      <sheetName val="Database SPPD ke JK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VALIDASI PRK"/>
      <sheetName val="DAF- PEG"/>
      <sheetName val="I.5 ADDITION"/>
      <sheetName val="chemcal"/>
      <sheetName val="2008_rev1"/>
      <sheetName val="R_SM_KIN"/>
      <sheetName val="SAPITO"/>
      <sheetName val="SALDO PERSEDIAAN"/>
      <sheetName val="JOURNAL"/>
      <sheetName val="JOURNAL2"/>
      <sheetName val="JURNAL JAN'98"/>
      <sheetName val="grafi kesiapan versi p3b dan pe"/>
      <sheetName val="WP"/>
      <sheetName val="LISTS"/>
      <sheetName val="RKS"/>
      <sheetName val="Rekap rutin psb"/>
      <sheetName val="BAG-2"/>
      <sheetName val="Formula"/>
      <sheetName val="Macro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LOAD"/>
      <sheetName val="TUL III-09 UNIT"/>
      <sheetName val="LK-1"/>
      <sheetName val="USAHA"/>
      <sheetName val="Hal-1"/>
      <sheetName val="aruskas"/>
      <sheetName val="06b"/>
      <sheetName val="WBS 2"/>
      <sheetName val="DATA PENGUSAHAAN"/>
      <sheetName val="R_ccode"/>
      <sheetName val="StU"/>
      <sheetName val="D7(1)"/>
      <sheetName val="PDPT - BL"/>
      <sheetName val="AHS "/>
      <sheetName val="pricing"/>
      <sheetName val="01 A"/>
      <sheetName val="5-Peralatan"/>
      <sheetName val="000000"/>
      <sheetName val="2013"/>
      <sheetName val="dataKIT"/>
      <sheetName val="dataPHT"/>
      <sheetName val="dataIBT"/>
      <sheetName val="Sheet42"/>
      <sheetName val="Sentra"/>
      <sheetName val="POWER"/>
      <sheetName val="For Report-Akum"/>
      <sheetName val="TOP"/>
      <sheetName val="Input"/>
      <sheetName val="WIL"/>
      <sheetName val="Amr"/>
      <sheetName val="GAJI"/>
      <sheetName val="bakup1"/>
      <sheetName val="Prod~Alt"/>
      <sheetName val="Shedule"/>
      <sheetName val="Posisi"/>
      <sheetName val="Adj"/>
      <sheetName val="Valuation"/>
      <sheetName val="DESEMBER"/>
      <sheetName val="Resource Plan (2)"/>
      <sheetName val="Pengalaman Per"/>
      <sheetName val="SITE-E"/>
      <sheetName val="QlocSgl"/>
      <sheetName val="Hitung_Energi"/>
      <sheetName val="Marshal"/>
      <sheetName val="GeneralInfo"/>
      <sheetName val="NERACA SESUAI PROGRAM GL MAGIC"/>
      <sheetName val="Links"/>
      <sheetName val="Lead"/>
      <sheetName val="MAIN"/>
      <sheetName val="Data Penyulang"/>
      <sheetName val="AKTIVA TETAP"/>
      <sheetName val="anal"/>
      <sheetName val="uba"/>
      <sheetName val="Galian 1"/>
      <sheetName val="KH"/>
      <sheetName val="AkumAT"/>
      <sheetName val="Daftar Tabel"/>
      <sheetName val="analhps"/>
      <sheetName val="Energi Disalurkan"/>
      <sheetName val="Umum"/>
      <sheetName val="KWH_RPJual"/>
      <sheetName val="Invoice"/>
      <sheetName val="URA E450"/>
      <sheetName val="2-JTW"/>
      <sheetName val="Konstruksi"/>
      <sheetName val="mob (2)"/>
      <sheetName val="LOADDAT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PESANTREN"/>
      <sheetName val="G"/>
      <sheetName val="Curup"/>
      <sheetName val="Prabu"/>
      <sheetName val="On Time"/>
      <sheetName val="BQ"/>
      <sheetName val="Progress"/>
      <sheetName val="Mobilisasi-pnw"/>
      <sheetName val="Land Clearing-pnw"/>
      <sheetName val="BiPinjaman(15)"/>
      <sheetName val="LabaRugi Fungsi th (t-1)(21B)"/>
      <sheetName val="LabaRugi Lainnya(20)"/>
      <sheetName val="LabaRugi Unsur th(t-1)(21A)"/>
      <sheetName val="PembelianTL(12A1)"/>
      <sheetName val="Permanent info"/>
      <sheetName val="Ex-Rate"/>
      <sheetName val="AKTIVA"/>
      <sheetName val="Bln3_4"/>
      <sheetName val="Akun"/>
      <sheetName val="DataReferensi"/>
      <sheetName val="ProdSendiri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K.6DEPOSIT"/>
      <sheetName val="Contract &amp; Assumptions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Download_Data"/>
      <sheetName val="Grf Pedp Lain2"/>
      <sheetName val="L20Keu"/>
      <sheetName val="Komposisi"/>
      <sheetName val="BBM-03"/>
      <sheetName val="Note"/>
      <sheetName val="KWH 12BL (2)"/>
      <sheetName val="Isian"/>
      <sheetName val="Gangg_PL"/>
      <sheetName val="Du_lieu"/>
      <sheetName val="daftar harga dan upah"/>
      <sheetName val="ANALISA SNI'13 "/>
      <sheetName val="Mobilisasi div-1"/>
      <sheetName val="BOQ Rekap"/>
      <sheetName val="D-Bahan &amp; Upah"/>
      <sheetName val="div-6"/>
      <sheetName val="div-7"/>
      <sheetName val="drawing"/>
      <sheetName val="AnConW"/>
      <sheetName val="AnEarthW"/>
      <sheetName val="AnLandW"/>
      <sheetName val="BasicPrice"/>
      <sheetName val="AnStoneW"/>
      <sheetName val="SWENG_Risk"/>
      <sheetName val="TRA_TS"/>
      <sheetName val="Price_List"/>
      <sheetName val="Estimate"/>
      <sheetName val="NAMES"/>
      <sheetName val="HBU"/>
      <sheetName val="Input GENERATION-DATA"/>
      <sheetName val="D2 BOQ LE TWR"/>
      <sheetName val="Ea. ANA POND"/>
      <sheetName val="UK110301"/>
      <sheetName val="ADM_TEK_TP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  <sheetName val="JAN07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antu"/>
      <sheetName val="Monitoring_Harian"/>
      <sheetName val="bantu_rec"/>
      <sheetName val="KINERJA_PMT"/>
      <sheetName val="RincianPMG"/>
      <sheetName val="Rincian HTT"/>
      <sheetName val="Rekap HTT"/>
      <sheetName val="Rincian AT"/>
      <sheetName val="Rekap AT"/>
      <sheetName val="PUNCAK-89"/>
      <sheetName val="KUMULATI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9">
          <cell r="B9" t="str">
            <v>Perkiraan HSS 2016 = harga pasar 2015 * (100% + sasaran inflasi 2016)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  <sheetName val="Assumptions (2)"/>
      <sheetName val="Usulan"/>
      <sheetName val="JAN07"/>
      <sheetName val="graf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  <sheetName val="FORM-B"/>
      <sheetName val="MASTER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>
        <row r="2">
          <cell r="J2">
            <v>420</v>
          </cell>
        </row>
      </sheetData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6">
          <cell r="C6">
            <v>0</v>
          </cell>
        </row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67">
          <cell r="C67" t="str">
            <v>Switch Gear 20kV Maintenance</v>
          </cell>
        </row>
        <row r="68">
          <cell r="C68" t="str">
            <v>Battery 20kV Maintenance</v>
          </cell>
        </row>
        <row r="69">
          <cell r="C69" t="str">
            <v>New Connection Single Phase - Direct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48">
          <cell r="C148" t="str">
            <v>New Connection Single Phase - Direct</v>
          </cell>
        </row>
        <row r="149">
          <cell r="C149" t="str">
            <v>New Connection Single Phase - Indirect</v>
          </cell>
        </row>
        <row r="150">
          <cell r="C150" t="str">
            <v>New Connection Three Phase - Direct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53">
          <cell r="C53" t="str">
            <v>Business Volume in region</v>
          </cell>
        </row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>
        <row r="381">
          <cell r="C381">
            <v>0</v>
          </cell>
        </row>
      </sheetData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>
        <row r="7">
          <cell r="D7" t="str">
            <v>Regional Manager</v>
          </cell>
        </row>
      </sheetData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>
        <row r="8">
          <cell r="B8" t="str">
            <v>West Sumatera</v>
          </cell>
        </row>
      </sheetData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  <sheetName val="CashFlow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  <sheetName val="REAL-L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  <sheetName val="JAN07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  <sheetName val="Uraian"/>
      <sheetName val="LK2004"/>
      <sheetName val="W-NAD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  <sheetName val="JAN07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  <sheetName val="Harga BBM Indonesia"/>
      <sheetName val="RAB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  <sheetName val="UshDeb00"/>
      <sheetName val="Format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  <sheetName val="Format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  <sheetName val="Asumsi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  <sheetName val="D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>
        <row r="120">
          <cell r="H120">
            <v>9000</v>
          </cell>
        </row>
      </sheetData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>
        <row r="120">
          <cell r="H120">
            <v>9000</v>
          </cell>
        </row>
      </sheetData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  <sheetName val="D2. ANALISA HS INSHAR"/>
      <sheetName val="Resume"/>
      <sheetName val="DTU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  <sheetName val="Jasa"/>
      <sheetName val="Mat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  <sheetName val="KKO"/>
      <sheetName val="PDL"/>
      <sheetName val="HARGA 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  <sheetName val="Forma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Data Pelanggan TM"/>
      <sheetName val="Menu"/>
      <sheetName val="Paramete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INPBA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  <sheetName val="KKO"/>
      <sheetName val="PDL"/>
      <sheetName val="NerSubsis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  <sheetName val="RAB"/>
      <sheetName val="DTU"/>
      <sheetName val="aruskas"/>
      <sheetName val="Hal-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  <sheetName val="Format"/>
      <sheetName val="W-NAD"/>
      <sheetName val="Standar Konstruksi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  <sheetName val="E3. ANALISA HS HAR TEK SUTM"/>
      <sheetName val="E6. ANALISA HS HAR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  <sheetName val="master rab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LAIN2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  <sheetName val="harga"/>
      <sheetName val="Jatim LKAI2007  16062006 0"/>
      <sheetName val="analis"/>
      <sheetName val="Analisis"/>
      <sheetName val="AHS-JTR"/>
      <sheetName val="laporan pemakaian blangko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  <sheetName val="Asumsi"/>
      <sheetName val="UshDeb00"/>
      <sheetName val="Resum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  <sheetName val="aruskas"/>
      <sheetName val="Hal-1"/>
      <sheetName val="Sudah Berjalan"/>
      <sheetName val="pemel2012"/>
      <sheetName val="Submission Form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Sudah Berjalan"/>
      <sheetName val="PMT"/>
      <sheetName val="W-NAD"/>
      <sheetName val="INPBA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  <sheetName val="LR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  <sheetName val="ca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  <sheetName val="JURNAL"/>
      <sheetName val="BB PUSAT"/>
      <sheetName val="DTstok"/>
      <sheetName val="toip"/>
      <sheetName val="Widodo (2)"/>
      <sheetName val="Widodo"/>
      <sheetName val="HB LAMA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  <sheetName val="HB BARU"/>
      <sheetName val="Resume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  <sheetName val="Dasar Pemadaman"/>
      <sheetName val="Supl.X"/>
      <sheetName val="Harga bahan &amp; upah"/>
      <sheetName val="profil 202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  <sheetName val="SuMBER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bantu"/>
      <sheetName val="x"/>
      <sheetName val="HB BARU"/>
      <sheetName val="JAN07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6" t="s">
        <v>1134</v>
      </c>
      <c r="C4" s="516"/>
      <c r="D4" s="516"/>
      <c r="E4" s="516"/>
      <c r="F4" s="516"/>
      <c r="G4" s="516"/>
      <c r="H4" s="51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7" t="s">
        <v>0</v>
      </c>
      <c r="C7" s="517" t="s">
        <v>1</v>
      </c>
      <c r="D7" s="518" t="s">
        <v>42</v>
      </c>
      <c r="E7" s="518" t="s">
        <v>43</v>
      </c>
      <c r="F7" s="518" t="s">
        <v>1135</v>
      </c>
      <c r="G7" s="519" t="s">
        <v>41</v>
      </c>
      <c r="H7" s="515" t="s">
        <v>1042</v>
      </c>
      <c r="I7" s="515" t="s">
        <v>1137</v>
      </c>
      <c r="J7" s="515" t="s">
        <v>1026</v>
      </c>
      <c r="K7" s="509" t="s">
        <v>1024</v>
      </c>
      <c r="L7" s="510"/>
    </row>
    <row r="8" spans="1:12" ht="15" customHeight="1">
      <c r="B8" s="517"/>
      <c r="C8" s="517"/>
      <c r="D8" s="518"/>
      <c r="E8" s="518"/>
      <c r="F8" s="518"/>
      <c r="G8" s="519"/>
      <c r="H8" s="515"/>
      <c r="I8" s="515"/>
      <c r="J8" s="515"/>
      <c r="K8" s="511"/>
      <c r="L8" s="512"/>
    </row>
    <row r="9" spans="1:12" ht="15" customHeight="1">
      <c r="B9" s="517"/>
      <c r="C9" s="517"/>
      <c r="D9" s="518"/>
      <c r="E9" s="518"/>
      <c r="F9" s="518"/>
      <c r="G9" s="519"/>
      <c r="H9" s="515"/>
      <c r="I9" s="515"/>
      <c r="J9" s="515"/>
      <c r="K9" s="513"/>
      <c r="L9" s="51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</v>
      </c>
      <c r="G15" s="41">
        <f ca="1">IF(ISERROR(OFFSET('HARGA SATUAN'!$I$6,MATCH(C15,'HARGA SATUAN'!$C$7:$C$1492,0),0)),"",OFFSET('HARGA SATUAN'!$I$6,MATCH(C15,'HARGA SATUAN'!$C$7:$C$1492,0),0))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2</v>
      </c>
      <c r="G16" s="41">
        <f ca="1">IF(ISERROR(OFFSET('HARGA SATUAN'!$I$6,MATCH(C16,'HARGA SATUAN'!$C$7:$C$1492,0),0)),"",OFFSET('HARGA SATUAN'!$I$6,MATCH(C16,'HARGA SATUAN'!$C$7:$C$1492,0),0))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35</v>
      </c>
      <c r="G17" s="41">
        <f ca="1">IF(ISERROR(OFFSET('HARGA SATUAN'!$I$6,MATCH(C17,'HARGA SATUAN'!$C$7:$C$1492,0),0)),"",OFFSET('HARGA SATUAN'!$I$6,MATCH(C17,'HARGA SATUAN'!$C$7:$C$1492,0),0))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SUMIFS(RAB!$F$14:$F$56,RAB!$C$14:$C$56,C714)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SUMIFS(RAB!$F$14:$F$56,RAB!$C$14:$C$56,C715)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SUMIFS(RAB!$F$14:$F$56,RAB!$C$14:$C$56,C716)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SUMIFS(RAB!$F$14:$F$56,RAB!$C$14:$C$56,C717)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SUMIFS(RAB!$F$14:$F$56,RAB!$C$14:$C$56,C718)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SUMIFS(RAB!$F$14:$F$56,RAB!$C$14:$C$56,C719)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SUMIFS(RAB!$F$14:$F$56,RAB!$C$14:$C$56,C720)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SUMIFS(RAB!$F$14:$F$56,RAB!$C$14:$C$56,C721)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SUMIFS(RAB!$F$14:$F$56,RAB!$C$14:$C$56,C722)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SUMIFS(RAB!$F$14:$F$56,RAB!$C$14:$C$56,C723)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SUMIFS(RAB!$F$14:$F$56,RAB!$C$14:$C$56,C724)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SUMIFS(RAB!$F$14:$F$56,RAB!$C$14:$C$56,C725)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SUMIFS(RAB!$F$14:$F$56,RAB!$C$14:$C$56,C726)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SUMIFS(RAB!$F$14:$F$56,RAB!$C$14:$C$56,C727)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SUMIFS(RAB!$F$14:$F$56,RAB!$C$14:$C$56,C728)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SUMIFS(RAB!$F$14:$F$56,RAB!$C$14:$C$56,C729)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SUMIFS(RAB!$F$14:$F$56,RAB!$C$14:$C$56,C730)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SUMIFS(RAB!$F$14:$F$56,RAB!$C$14:$C$56,C731)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SUMIFS(RAB!$F$14:$F$56,RAB!$C$14:$C$56,C732)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SUMIFS(RAB!$F$14:$F$56,RAB!$C$14:$C$56,C733)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SUMIFS(RAB!$F$14:$F$56,RAB!$C$14:$C$56,C734)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SUMIFS(RAB!$F$14:$F$56,RAB!$C$14:$C$56,C735)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SUMIFS(RAB!$F$14:$F$56,RAB!$C$14:$C$56,C736)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SUMIFS(RAB!$F$14:$F$56,RAB!$C$14:$C$56,C737)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SUMIFS(RAB!$F$14:$F$56,RAB!$C$14:$C$56,C738)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SUMIFS(RAB!$F$14:$F$56,RAB!$C$14:$C$56,C739)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SUMIFS(RAB!$F$14:$F$56,RAB!$C$14:$C$56,C740)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SUMIFS(RAB!$F$14:$F$56,RAB!$C$14:$C$56,C741)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SUMIFS(RAB!$F$14:$F$56,RAB!$C$14:$C$56,C742)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SUMIFS(RAB!$F$14:$F$56,RAB!$C$14:$C$56,C743)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SUMIFS(RAB!$F$14:$F$56,RAB!$C$14:$C$56,C744)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SUMIFS(RAB!$F$14:$F$56,RAB!$C$14:$C$56,C745)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SUMIFS(RAB!$F$14:$F$56,RAB!$C$14:$C$56,C746)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SUMIFS(RAB!$F$14:$F$56,RAB!$C$14:$C$56,C747)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SUMIFS(RAB!$F$14:$F$56,RAB!$C$14:$C$56,C748)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SUMIFS(RAB!$F$14:$F$56,RAB!$C$14:$C$56,C749)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SUMIFS(RAB!$F$14:$F$56,RAB!$C$14:$C$56,C750)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SUMIFS(RAB!$F$14:$F$56,RAB!$C$14:$C$56,C751)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SUMIFS(RAB!$F$14:$F$56,RAB!$C$14:$C$56,C752)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SUMIFS(RAB!$F$14:$F$56,RAB!$C$14:$C$56,C753)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SUMIFS(RAB!$F$14:$F$56,RAB!$C$14:$C$56,C754)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SUMIFS(RAB!$F$14:$F$56,RAB!$C$14:$C$56,C755)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SUMIFS(RAB!$F$14:$F$56,RAB!$C$14:$C$56,C756)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SUMIFS(RAB!$F$14:$F$56,RAB!$C$14:$C$56,C757)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SUMIFS(RAB!$F$14:$F$56,RAB!$C$14:$C$56,C758)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SUMIFS(RAB!$F$14:$F$56,RAB!$C$14:$C$56,C759)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SUMIFS(RAB!$F$14:$F$56,RAB!$C$14:$C$56,C760)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SUMIFS(RAB!$F$14:$F$56,RAB!$C$14:$C$56,C761)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SUMIFS(RAB!$F$14:$F$56,RAB!$C$14:$C$56,C762)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SUMIFS(RAB!$F$14:$F$56,RAB!$C$14:$C$56,C763)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SUMIFS(RAB!$F$14:$F$56,RAB!$C$14:$C$56,C764)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SUMIFS(RAB!$F$14:$F$56,RAB!$C$14:$C$56,C765)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SUMIFS(RAB!$F$14:$F$56,RAB!$C$14:$C$56,C766)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SUMIFS(RAB!$F$14:$F$56,RAB!$C$14:$C$56,C767)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SUMIFS(RAB!$F$14:$F$56,RAB!$C$14:$C$56,C768)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SUMIFS(RAB!$F$14:$F$56,RAB!$C$14:$C$56,C769)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SUMIFS(RAB!$F$14:$F$56,RAB!$C$14:$C$56,C770)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SUMIFS(RAB!$F$14:$F$56,RAB!$C$14:$C$56,C771)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SUMIFS(RAB!$F$14:$F$56,RAB!$C$14:$C$56,C772)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SUMIFS(RAB!$F$14:$F$56,RAB!$C$14:$C$56,C773)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SUMIFS(RAB!$F$14:$F$56,RAB!$C$14:$C$56,C774)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SUMIFS(RAB!$F$14:$F$56,RAB!$C$14:$C$56,C775)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SUMIFS(RAB!$F$14:$F$56,RAB!$C$14:$C$56,C776)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SUMIFS(RAB!$F$14:$F$56,RAB!$C$14:$C$56,C777)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SUMIFS(RAB!$F$14:$F$56,RAB!$C$14:$C$56,C778)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SUMIFS(RAB!$F$14:$F$56,RAB!$C$14:$C$56,C779)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SUMIFS(RAB!$F$14:$F$56,RAB!$C$14:$C$56,C780)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SUMIFS(RAB!$F$14:$F$56,RAB!$C$14:$C$56,C781)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SUMIFS(RAB!$F$14:$F$56,RAB!$C$14:$C$56,C782)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SUMIFS(RAB!$F$14:$F$56,RAB!$C$14:$C$56,C783)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SUMIFS(RAB!$F$14:$F$56,RAB!$C$14:$C$56,C784)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SUMIFS(RAB!$F$14:$F$56,RAB!$C$14:$C$56,C785)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SUMIFS(RAB!$F$14:$F$56,RAB!$C$14:$C$56,C786)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SUMIFS(RAB!$F$14:$F$56,RAB!$C$14:$C$56,C787)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SUMIFS(RAB!$F$14:$F$56,RAB!$C$14:$C$56,C788)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SUMIFS(RAB!$F$14:$F$56,RAB!$C$14:$C$56,C789)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SUMIFS(RAB!$F$14:$F$56,RAB!$C$14:$C$56,C790)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SUMIFS(RAB!$F$14:$F$56,RAB!$C$14:$C$56,C791)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SUMIFS(RAB!$F$14:$F$56,RAB!$C$14:$C$56,C792)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SUMIFS(RAB!$F$14:$F$56,RAB!$C$14:$C$56,C793)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SUMIFS(RAB!$F$14:$F$56,RAB!$C$14:$C$56,C794)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SUMIFS(RAB!$F$14:$F$56,RAB!$C$14:$C$56,C795)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SUMIFS(RAB!$F$14:$F$56,RAB!$C$14:$C$56,C796)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SUMIFS(RAB!$F$14:$F$56,RAB!$C$14:$C$56,C797)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SUMIFS(RAB!$F$14:$F$56,RAB!$C$14:$C$56,C798)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SUMIFS(RAB!$F$14:$F$56,RAB!$C$14:$C$56,C799)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SUMIFS(RAB!$F$14:$F$56,RAB!$C$14:$C$56,C800)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SUMIFS(RAB!$F$14:$F$56,RAB!$C$14:$C$56,C801)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SUMIFS(RAB!$F$14:$F$56,RAB!$C$14:$C$56,C802)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SUMIFS(RAB!$F$14:$F$56,RAB!$C$14:$C$56,C803)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SUMIFS(RAB!$F$14:$F$56,RAB!$C$14:$C$56,C804)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SUMIFS(RAB!$F$14:$F$56,RAB!$C$14:$C$56,C805)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SUMIFS(RAB!$F$14:$F$56,RAB!$C$14:$C$56,C806)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SUMIFS(RAB!$F$14:$F$56,RAB!$C$14:$C$56,C807)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SUMIFS(RAB!$F$14:$F$56,RAB!$C$14:$C$56,C808)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SUMIFS(RAB!$F$14:$F$56,RAB!$C$14:$C$56,C809)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SUMIFS(RAB!$F$14:$F$56,RAB!$C$14:$C$56,C810)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SUMIFS(RAB!$F$14:$F$56,RAB!$C$14:$C$56,C811)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SUMIFS(RAB!$F$14:$F$56,RAB!$C$14:$C$56,C812)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SUMIFS(RAB!$F$14:$F$56,RAB!$C$14:$C$56,C813)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SUMIFS(RAB!$F$14:$F$56,RAB!$C$14:$C$56,C814)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SUMIFS(RAB!$F$14:$F$56,RAB!$C$14:$C$56,C815)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SUMIFS(RAB!$F$14:$F$56,RAB!$C$14:$C$56,C816)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SUMIFS(RAB!$F$14:$F$56,RAB!$C$14:$C$56,C817)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SUMIFS(RAB!$F$14:$F$56,RAB!$C$14:$C$56,C818)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SUMIFS(RAB!$F$14:$F$56,RAB!$C$14:$C$56,C819)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SUMIFS(RAB!$F$14:$F$56,RAB!$C$14:$C$56,C820)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SUMIFS(RAB!$F$14:$F$56,RAB!$C$14:$C$56,C821)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SUMIFS(RAB!$F$14:$F$56,RAB!$C$14:$C$56,C822)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SUMIFS(RAB!$F$14:$F$56,RAB!$C$14:$C$56,C823)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SUMIFS(RAB!$F$14:$F$56,RAB!$C$14:$C$56,C824)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SUMIFS(RAB!$F$14:$F$56,RAB!$C$14:$C$56,C825)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SUMIFS(RAB!$F$14:$F$56,RAB!$C$14:$C$56,C826)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SUMIFS(RAB!$F$14:$F$56,RAB!$C$14:$C$56,C827)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SUMIFS(RAB!$F$14:$F$56,RAB!$C$14:$C$56,C828)</f>
        <v>2</v>
      </c>
      <c r="E828" s="26">
        <f t="shared" ca="1" si="34"/>
        <v>1</v>
      </c>
      <c r="F828" s="26">
        <f ca="1">IF(D828=0,0,SUM($E$713:E828))</f>
        <v>4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SUMIFS(RAB!$F$14:$F$56,RAB!$C$14:$C$56,C829)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SUMIFS(RAB!$F$14:$F$56,RAB!$C$14:$C$56,C830)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SUMIFS(RAB!$F$14:$F$56,RAB!$C$14:$C$56,C831)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SUMIFS(RAB!$F$14:$F$56,RAB!$C$14:$C$56,C832)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SUMIFS(RAB!$F$14:$F$56,RAB!$C$14:$C$56,C833)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SUMIFS(RAB!$F$14:$F$56,RAB!$C$14:$C$56,C834)</f>
        <v>2</v>
      </c>
      <c r="E834" s="26">
        <f t="shared" ca="1" si="34"/>
        <v>1</v>
      </c>
      <c r="F834" s="26">
        <f ca="1">IF(D834=0,0,SUM($E$713:E834))</f>
        <v>5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SUMIFS(RAB!$F$14:$F$56,RAB!$C$14:$C$56,C835)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SUMIFS(RAB!$F$14:$F$56,RAB!$C$14:$C$56,C836)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SUMIFS(RAB!$F$14:$F$56,RAB!$C$14:$C$56,C837)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SUMIFS(RAB!$F$14:$F$56,RAB!$C$14:$C$56,C838)</f>
        <v>35</v>
      </c>
      <c r="E838" s="26">
        <f t="shared" ca="1" si="34"/>
        <v>1</v>
      </c>
      <c r="F838" s="26">
        <f ca="1">IF(D838=0,0,SUM($E$713:E838))</f>
        <v>6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SUMIFS(RAB!$F$14:$F$56,RAB!$C$14:$C$56,C839)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SUMIFS(RAB!$F$14:$F$56,RAB!$C$14:$C$56,C840)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SUMIFS(RAB!$F$14:$F$56,RAB!$C$14:$C$56,C841)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SUMIFS(RAB!$F$14:$F$56,RAB!$C$14:$C$56,C842)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SUMIFS(RAB!$F$14:$F$56,RAB!$C$14:$C$56,C843)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SUMIFS(RAB!$F$14:$F$56,RAB!$C$14:$C$56,C844)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SUMIFS(RAB!$F$14:$F$56,RAB!$C$14:$C$56,C845)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SUMIFS(RAB!$F$14:$F$56,RAB!$C$14:$C$56,C846)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SUMIFS(RAB!$F$14:$F$56,RAB!$C$14:$C$56,C847)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SUMIFS(RAB!$F$14:$F$56,RAB!$C$14:$C$56,C848)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SUMIFS(RAB!$F$14:$F$56,RAB!$C$14:$C$56,C849)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SUMIFS(RAB!$F$14:$F$56,RAB!$C$14:$C$56,C850)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SUMIFS(RAB!$F$14:$F$56,RAB!$C$14:$C$56,C851)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SUMIFS(RAB!$F$14:$F$56,RAB!$C$14:$C$56,C852)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SUMIFS(RAB!$F$14:$F$56,RAB!$C$14:$C$56,C853)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SUMIFS(RAB!$F$14:$F$56,RAB!$C$14:$C$56,C854)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SUMIFS(RAB!$F$14:$F$56,RAB!$C$14:$C$56,C855)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SUMIFS(RAB!$F$14:$F$56,RAB!$C$14:$C$56,C856)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SUMIFS(RAB!$F$14:$F$56,RAB!$C$14:$C$56,C857)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SUMIFS(RAB!$F$14:$F$56,RAB!$C$14:$C$56,C858)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SUMIFS(RAB!$F$14:$F$56,RAB!$C$14:$C$56,C859)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SUMIFS(RAB!$F$14:$F$56,RAB!$C$14:$C$56,C860)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SUMIFS(RAB!$F$14:$F$56,RAB!$C$14:$C$56,C861)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SUMIFS(RAB!$F$14:$F$56,RAB!$C$14:$C$56,C862)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SUMIFS(RAB!$F$14:$F$56,RAB!$C$14:$C$56,C863)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SUMIFS(RAB!$F$14:$F$56,RAB!$C$14:$C$56,C864)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SUMIFS(RAB!$F$14:$F$56,RAB!$C$14:$C$56,C865)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SUMIFS(RAB!$F$14:$F$56,RAB!$C$14:$C$56,C866)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SUMIFS(RAB!$F$14:$F$56,RAB!$C$14:$C$56,C867)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SUMIFS(RAB!$F$14:$F$56,RAB!$C$14:$C$56,C868)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SUMIFS(RAB!$F$14:$F$56,RAB!$C$14:$C$56,C869)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SUMIFS(RAB!$F$14:$F$56,RAB!$C$14:$C$56,C870)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SUMIFS(RAB!$F$14:$F$56,RAB!$C$14:$C$56,C871)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SUMIFS(RAB!$F$14:$F$56,RAB!$C$14:$C$56,C872)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SUMIFS(RAB!$F$14:$F$56,RAB!$C$14:$C$56,C873)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SUMIFS(RAB!$F$14:$F$56,RAB!$C$14:$C$56,C874)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SUMIFS(RAB!$F$14:$F$56,RAB!$C$14:$C$56,C875)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SUMIFS(RAB!$F$14:$F$56,RAB!$C$14:$C$56,C876)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SUMIFS(RAB!$F$14:$F$56,RAB!$C$14:$C$56,C877)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SUMIFS(RAB!$F$14:$F$56,RAB!$C$14:$C$56,C878)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SUMIFS(RAB!$F$14:$F$56,RAB!$C$14:$C$56,C879)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SUMIFS(RAB!$F$14:$F$56,RAB!$C$14:$C$56,C880)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SUMIFS(RAB!$F$14:$F$56,RAB!$C$14:$C$56,C881)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SUMIFS(RAB!$F$14:$F$56,RAB!$C$14:$C$56,C882)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SUMIFS(RAB!$F$14:$F$56,RAB!$C$14:$C$56,C883)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SUMIFS(RAB!$F$14:$F$56,RAB!$C$14:$C$56,C884)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SUMIFS(RAB!$F$14:$F$56,RAB!$C$14:$C$56,C885)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SUMIFS(RAB!$F$14:$F$56,RAB!$C$14:$C$56,C886)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SUMIFS(RAB!$F$14:$F$56,RAB!$C$14:$C$56,C887)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SUMIFS(RAB!$F$14:$F$56,RAB!$C$14:$C$56,C888)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SUMIFS(RAB!$F$14:$F$56,RAB!$C$14:$C$56,C889)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SUMIFS(RAB!$F$14:$F$56,RAB!$C$14:$C$56,C890)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SUMIFS(RAB!$F$14:$F$56,RAB!$C$14:$C$56,C891)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SUMIFS(RAB!$F$14:$F$56,RAB!$C$14:$C$56,C892)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SUMIFS(RAB!$F$14:$F$56,RAB!$C$14:$C$56,C893)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SUMIFS(RAB!$F$14:$F$56,RAB!$C$14:$C$56,C894)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SUMIFS(RAB!$F$14:$F$56,RAB!$C$14:$C$56,C895)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SUMIFS(RAB!$F$14:$F$56,RAB!$C$14:$C$56,C896)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SUMIFS(RAB!$F$14:$F$56,RAB!$C$14:$C$56,C897)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SUMIFS(RAB!$F$14:$F$56,RAB!$C$14:$C$56,C898)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SUMIFS(RAB!$F$14:$F$56,RAB!$C$14:$C$56,C899)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SUMIFS(RAB!$F$14:$F$56,RAB!$C$14:$C$56,C900)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SUMIFS(RAB!$F$14:$F$56,RAB!$C$14:$C$56,C901)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SUMIFS(RAB!$F$14:$F$56,RAB!$C$14:$C$56,C902)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SUMIFS(RAB!$F$14:$F$56,RAB!$C$14:$C$56,C903)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SUMIFS(RAB!$F$14:$F$56,RAB!$C$14:$C$56,C904)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SUMIFS(RAB!$F$14:$F$56,RAB!$C$14:$C$56,C905)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SUMIFS(RAB!$F$14:$F$56,RAB!$C$14:$C$56,C906)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SUMIFS(RAB!$F$14:$F$56,RAB!$C$14:$C$56,C907)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SUMIFS(RAB!$F$14:$F$56,RAB!$C$14:$C$56,C908)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SUMIFS(RAB!$F$14:$F$56,RAB!$C$14:$C$56,C909)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SUMIFS(RAB!$F$14:$F$56,RAB!$C$14:$C$56,C910)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SUMIFS(RAB!$F$14:$F$56,RAB!$C$14:$C$56,C911)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SUMIFS(RAB!$F$14:$F$56,RAB!$C$14:$C$56,C912)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SUMIFS(RAB!$F$14:$F$56,RAB!$C$14:$C$56,C913)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SUMIFS(RAB!$F$14:$F$56,RAB!$C$14:$C$56,C914)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SUMIFS(RAB!$F$14:$F$56,RAB!$C$14:$C$56,C915)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SUMIFS(RAB!$F$14:$F$56,RAB!$C$14:$C$56,C916)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SUMIFS(RAB!$F$14:$F$56,RAB!$C$14:$C$56,C917)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SUMIFS(RAB!$F$14:$F$56,RAB!$C$14:$C$56,C918)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SUMIFS(RAB!$F$14:$F$56,RAB!$C$14:$C$56,C919)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SUMIFS(RAB!$F$14:$F$56,RAB!$C$14:$C$56,C920)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SUMIFS(RAB!$F$14:$F$56,RAB!$C$14:$C$56,C921)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SUMIFS(RAB!$F$14:$F$56,RAB!$C$14:$C$56,C922)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SUMIFS(RAB!$F$14:$F$56,RAB!$C$14:$C$56,C923)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SUMIFS(RAB!$F$14:$F$56,RAB!$C$14:$C$56,C924)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SUMIFS(RAB!$F$14:$F$56,RAB!$C$14:$C$56,C925)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SUMIFS(RAB!$F$14:$F$56,RAB!$C$14:$C$56,C926)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SUMIFS(RAB!$F$14:$F$56,RAB!$C$14:$C$56,C927)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SUMIFS(RAB!$F$14:$F$56,RAB!$C$14:$C$56,C928)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SUMIFS(RAB!$F$14:$F$56,RAB!$C$14:$C$56,C929)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SUMIFS(RAB!$F$14:$F$56,RAB!$C$14:$C$56,C930)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SUMIFS(RAB!$F$14:$F$56,RAB!$C$14:$C$56,C931)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SUMIFS(RAB!$F$14:$F$56,RAB!$C$14:$C$56,C932)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SUMIFS(RAB!$F$14:$F$56,RAB!$C$14:$C$56,C933)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SUMIFS(RAB!$F$14:$F$56,RAB!$C$14:$C$56,C934)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SUMIFS(RAB!$F$14:$F$56,RAB!$C$14:$C$56,C935)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SUMIFS(RAB!$F$14:$F$56,RAB!$C$14:$C$56,C936)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SUMIFS(RAB!$F$14:$F$56,RAB!$C$14:$C$56,C937)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SUMIFS(RAB!$F$14:$F$56,RAB!$C$14:$C$56,C938)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SUMIFS(RAB!$F$14:$F$56,RAB!$C$14:$C$56,C939)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SUMIFS(RAB!$F$14:$F$56,RAB!$C$14:$C$56,C940)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SUMIFS(RAB!$F$14:$F$56,RAB!$C$14:$C$56,C941)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SUMIFS(RAB!$F$14:$F$56,RAB!$C$14:$C$56,C942)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SUMIFS(RAB!$F$14:$F$56,RAB!$C$14:$C$56,C943)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SUMIFS(RAB!$F$14:$F$56,RAB!$C$14:$C$56,C944)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SUMIFS(RAB!$F$14:$F$56,RAB!$C$14:$C$56,C945)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SUMIFS(RAB!$F$14:$F$56,RAB!$C$14:$C$56,C946)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SUMIFS(RAB!$F$14:$F$56,RAB!$C$14:$C$56,C947)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SUMIFS(RAB!$F$14:$F$56,RAB!$C$14:$C$56,C948)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SUMIFS(RAB!$F$14:$F$56,RAB!$C$14:$C$56,C949)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SUMIFS(RAB!$F$14:$F$56,RAB!$C$14:$C$56,C950)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SUMIFS(RAB!$F$14:$F$56,RAB!$C$14:$C$56,C951)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SUMIFS(RAB!$F$14:$F$56,RAB!$C$14:$C$56,C952)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SUMIFS(RAB!$F$14:$F$56,RAB!$C$14:$C$56,C953)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SUMIFS(RAB!$F$14:$F$56,RAB!$C$14:$C$56,C954)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SUMIFS(RAB!$F$14:$F$56,RAB!$C$14:$C$56,C955)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SUMIFS(RAB!$F$14:$F$56,RAB!$C$14:$C$56,C956)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SUMIFS(RAB!$F$14:$F$56,RAB!$C$14:$C$56,C957)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SUMIFS(RAB!$F$14:$F$56,RAB!$C$14:$C$56,C958)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SUMIFS(RAB!$F$14:$F$56,RAB!$C$14:$C$56,C959)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SUMIFS(RAB!$F$14:$F$56,RAB!$C$14:$C$56,C960)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SUMIFS(RAB!$F$14:$F$56,RAB!$C$14:$C$56,C961)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SUMIFS(RAB!$F$14:$F$56,RAB!$C$14:$C$56,C962)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SUMIFS(RAB!$F$14:$F$56,RAB!$C$14:$C$56,C963)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SUMIFS(RAB!$F$14:$F$56,RAB!$C$14:$C$56,C964)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SUMIFS(RAB!$F$14:$F$56,RAB!$C$14:$C$56,C965)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SUMIFS(RAB!$F$14:$F$56,RAB!$C$14:$C$56,C966)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SUMIFS(RAB!$F$14:$F$56,RAB!$C$14:$C$56,C967)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SUMIFS(RAB!$F$14:$F$56,RAB!$C$14:$C$56,C968)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SUMIFS(RAB!$F$14:$F$56,RAB!$C$14:$C$56,C969)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SUMIFS(RAB!$F$14:$F$56,RAB!$C$14:$C$56,C970)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SUMIFS(RAB!$F$14:$F$56,RAB!$C$14:$C$56,C971)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SUMIFS(RAB!$F$14:$F$56,RAB!$C$14:$C$56,C972)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SUMIFS(RAB!$F$14:$F$56,RAB!$C$14:$C$56,C973)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SUMIFS(RAB!$F$14:$F$56,RAB!$C$14:$C$56,C974)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SUMIFS(RAB!$F$14:$F$56,RAB!$C$14:$C$56,C975)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SUMIFS(RAB!$F$14:$F$56,RAB!$C$14:$C$56,C976)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SUMIFS(RAB!$F$14:$F$56,RAB!$C$14:$C$56,C977)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SUMIFS(RAB!$F$14:$F$56,RAB!$C$14:$C$56,C978)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SUMIFS(RAB!$F$14:$F$56,RAB!$C$14:$C$56,C979)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SUMIFS(RAB!$F$14:$F$56,RAB!$C$14:$C$56,C980)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SUMIFS(RAB!$F$14:$F$56,RAB!$C$14:$C$56,C981)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SUMIFS(RAB!$F$14:$F$56,RAB!$C$14:$C$56,C982)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SUMIFS(RAB!$F$14:$F$56,RAB!$C$14:$C$56,C983)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SUMIFS(RAB!$F$14:$F$56,RAB!$C$14:$C$56,C984)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SUMIFS(RAB!$F$14:$F$56,RAB!$C$14:$C$56,C985)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SUMIFS(RAB!$F$14:$F$56,RAB!$C$14:$C$56,C986)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SUMIFS(RAB!$F$14:$F$56,RAB!$C$14:$C$56,C987)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SUMIFS(RAB!$F$14:$F$56,RAB!$C$14:$C$56,C988)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SUMIFS(RAB!$F$14:$F$56,RAB!$C$14:$C$56,C989)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SUMIFS(RAB!$F$14:$F$56,RAB!$C$14:$C$56,C990)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SUMIFS(RAB!$F$14:$F$56,RAB!$C$14:$C$56,C991)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SUMIFS(RAB!$F$14:$F$56,RAB!$C$14:$C$56,C992)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SUMIFS(RAB!$F$14:$F$56,RAB!$C$14:$C$56,C993)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SUMIFS(RAB!$F$14:$F$56,RAB!$C$14:$C$56,C994)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SUMIFS(RAB!$F$14:$F$56,RAB!$C$14:$C$56,C995)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SUMIFS(RAB!$F$14:$F$56,RAB!$C$14:$C$56,C996)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SUMIFS(RAB!$F$14:$F$56,RAB!$C$14:$C$56,C997)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SUMIFS(RAB!$F$14:$F$56,RAB!$C$14:$C$56,C998)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SUMIFS(RAB!$F$14:$F$56,RAB!$C$14:$C$56,C999)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SUMIFS(RAB!$F$14:$F$56,RAB!$C$14:$C$56,C1000)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SUMIFS(RAB!$F$14:$F$56,RAB!$C$14:$C$56,C1001)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SUMIFS(RAB!$F$14:$F$56,RAB!$C$14:$C$56,C1002)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SUMIFS(RAB!$F$14:$F$56,RAB!$C$14:$C$56,C1003)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SUMIFS(RAB!$F$14:$F$56,RAB!$C$14:$C$56,C1004)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SUMIFS(RAB!$F$14:$F$56,RAB!$C$14:$C$56,C1005)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SUMIFS(RAB!$F$14:$F$56,RAB!$C$14:$C$56,C1006)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SUMIFS(RAB!$F$14:$F$56,RAB!$C$14:$C$56,C1007)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SUMIFS(RAB!$F$14:$F$56,RAB!$C$14:$C$56,C1008)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SUMIFS(RAB!$F$14:$F$56,RAB!$C$14:$C$56,C1009)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SUMIFS(RAB!$F$14:$F$56,RAB!$C$14:$C$56,C1010)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SUMIFS(RAB!$F$14:$F$56,RAB!$C$14:$C$56,C1011)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SUMIFS(RAB!$F$14:$F$56,RAB!$C$14:$C$56,C1012)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SUMIFS(RAB!$F$14:$F$56,RAB!$C$14:$C$56,C1013)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SUMIFS(RAB!$F$14:$F$56,RAB!$C$14:$C$56,C1014)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SUMIFS(RAB!$F$14:$F$56,RAB!$C$14:$C$56,C1015)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SUMIFS(RAB!$F$14:$F$56,RAB!$C$14:$C$56,C1016)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SUMIFS(RAB!$F$14:$F$56,RAB!$C$14:$C$56,C1017)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SUMIFS(RAB!$F$14:$F$56,RAB!$C$14:$C$56,C1018)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SUMIFS(RAB!$F$14:$F$56,RAB!$C$14:$C$56,C1019)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SUMIFS(RAB!$F$14:$F$56,RAB!$C$14:$C$56,C1020)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SUMIFS(RAB!$F$14:$F$56,RAB!$C$14:$C$56,C1021)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SUMIFS(RAB!$F$14:$F$56,RAB!$C$14:$C$56,C1022)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SUMIFS(RAB!$F$14:$F$56,RAB!$C$14:$C$56,C1023)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SUMIFS(RAB!$F$14:$F$56,RAB!$C$14:$C$56,C1024)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SUMIFS(RAB!$F$14:$F$56,RAB!$C$14:$C$56,C1025)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SUMIFS(RAB!$F$14:$F$56,RAB!$C$14:$C$56,C1026)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SUMIFS(RAB!$F$14:$F$56,RAB!$C$14:$C$56,C1027)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SUMIFS(RAB!$F$14:$F$56,RAB!$C$14:$C$56,C1028)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SUMIFS(RAB!$F$14:$F$56,RAB!$C$14:$C$56,C1029)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SUMIFS(RAB!$F$14:$F$56,RAB!$C$14:$C$56,C1030)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SUMIFS(RAB!$F$14:$F$56,RAB!$C$14:$C$56,C1031)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SUMIFS(RAB!$F$14:$F$56,RAB!$C$14:$C$56,C1032)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SUMIFS(RAB!$F$14:$F$56,RAB!$C$14:$C$56,C1033)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SUMIFS(RAB!$F$14:$F$56,RAB!$C$14:$C$56,C1034)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SUMIFS(RAB!$F$14:$F$56,RAB!$C$14:$C$56,C1035)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SUMIFS(RAB!$F$14:$F$56,RAB!$C$14:$C$56,C1036)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SUMIFS(RAB!$F$14:$F$56,RAB!$C$14:$C$56,C1037)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SUMIFS(RAB!$F$14:$F$56,RAB!$C$14:$C$56,C1038)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SUMIFS(RAB!$F$14:$F$56,RAB!$C$14:$C$56,C1039)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SUMIFS(RAB!$F$14:$F$56,RAB!$C$14:$C$56,C1040)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SUMIFS(RAB!$F$14:$F$56,RAB!$C$14:$C$56,C1041)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SUMIFS(RAB!$F$14:$F$56,RAB!$C$14:$C$56,C1042)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SUMIFS(RAB!$F$14:$F$56,RAB!$C$14:$C$56,C1043)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SUMIFS(RAB!$F$14:$F$56,RAB!$C$14:$C$56,C1044)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SUMIFS(RAB!$F$14:$F$56,RAB!$C$14:$C$56,C1045)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SUMIFS(RAB!$F$14:$F$56,RAB!$C$14:$C$56,C1046)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SUMIFS(RAB!$F$14:$F$56,RAB!$C$14:$C$56,C1047)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SUMIFS(RAB!$F$14:$F$56,RAB!$C$14:$C$56,C1048)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SUMIFS(RAB!$F$14:$F$56,RAB!$C$14:$C$56,C1049)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SUMIFS(RAB!$F$14:$F$56,RAB!$C$14:$C$56,C1050)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SUMIFS(RAB!$F$14:$F$56,RAB!$C$14:$C$56,C1051)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SUMIFS(RAB!$F$14:$F$56,RAB!$C$14:$C$56,C1052)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SUMIFS(RAB!$F$14:$F$56,RAB!$C$14:$C$56,C1053)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SUMIFS(RAB!$F$14:$F$56,RAB!$C$14:$C$56,C1054)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SUMIFS(RAB!$F$14:$F$56,RAB!$C$14:$C$56,C1055)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SUMIFS(RAB!$F$14:$F$56,RAB!$C$14:$C$56,C1056)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SUMIFS(RAB!$F$14:$F$56,RAB!$C$14:$C$56,C1057)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SUMIFS(RAB!$F$14:$F$56,RAB!$C$14:$C$56,C1058)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SUMIFS(RAB!$F$14:$F$56,RAB!$C$14:$C$56,C1059)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SUMIFS(RAB!$F$14:$F$56,RAB!$C$14:$C$56,C1060)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SUMIFS(RAB!$F$14:$F$56,RAB!$C$14:$C$56,C1061)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SUMIFS(RAB!$F$14:$F$56,RAB!$C$14:$C$56,C1062)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SUMIFS(RAB!$F$14:$F$56,RAB!$C$14:$C$56,C1063)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SUMIFS(RAB!$F$14:$F$56,RAB!$C$14:$C$56,C1064)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SUMIFS(RAB!$F$14:$F$56,RAB!$C$14:$C$56,C1065)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SUMIFS(RAB!$F$14:$F$56,RAB!$C$14:$C$56,C1066)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SUMIFS(RAB!$F$14:$F$56,RAB!$C$14:$C$56,C1067)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SUMIFS(RAB!$F$14:$F$56,RAB!$C$14:$C$56,C1068)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SUMIFS(RAB!$F$14:$F$56,RAB!$C$14:$C$56,C1069)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SUMIFS(RAB!$F$14:$F$56,RAB!$C$14:$C$56,C1070)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SUMIFS(RAB!$F$14:$F$56,RAB!$C$14:$C$56,C1071)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SUMIFS(RAB!$F$14:$F$56,RAB!$C$14:$C$56,C1072)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SUMIFS(RAB!$F$14:$F$56,RAB!$C$14:$C$56,C1073)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SUMIFS(RAB!$F$14:$F$56,RAB!$C$14:$C$56,C1074)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SUMIFS(RAB!$F$14:$F$56,RAB!$C$14:$C$56,C1075)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SUMIFS(RAB!$F$14:$F$56,RAB!$C$14:$C$56,C1076)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SUMIFS(RAB!$F$14:$F$56,RAB!$C$14:$C$56,C1077)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SUMIFS(RAB!$F$14:$F$56,RAB!$C$14:$C$56,C1078)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SUMIFS(RAB!$F$14:$F$56,RAB!$C$14:$C$56,C1079)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SUMIFS(RAB!$F$14:$F$56,RAB!$C$14:$C$56,C1080)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SUMIFS(RAB!$F$14:$F$56,RAB!$C$14:$C$56,C1081)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SUMIFS(RAB!$F$14:$F$56,RAB!$C$14:$C$56,C1082)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SUMIFS(RAB!$F$14:$F$56,RAB!$C$14:$C$56,C1083)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SUMIFS(RAB!$F$14:$F$56,RAB!$C$14:$C$56,C1084)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SUMIFS(RAB!$F$14:$F$56,RAB!$C$14:$C$56,C1085)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SUMIFS(RAB!$F$14:$F$56,RAB!$C$14:$C$56,C1086)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SUMIFS(RAB!$F$14:$F$56,RAB!$C$14:$C$56,C1087)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SUMIFS(RAB!$F$14:$F$56,RAB!$C$14:$C$56,C1088)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SUMIFS(RAB!$F$14:$F$56,RAB!$C$14:$C$56,C1089)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SUMIFS(RAB!$F$14:$F$56,RAB!$C$14:$C$56,C1090)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SUMIFS(RAB!$F$14:$F$56,RAB!$C$14:$C$56,C1091)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SUMIFS(RAB!$F$14:$F$56,RAB!$C$14:$C$56,C1092)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SUMIFS(RAB!$F$14:$F$56,RAB!$C$14:$C$56,C1093)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SUMIFS(RAB!$F$14:$F$56,RAB!$C$14:$C$56,C1094)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SUMIFS(RAB!$F$14:$F$56,RAB!$C$14:$C$56,C1095)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SUMIFS(RAB!$F$14:$F$56,RAB!$C$14:$C$56,C1096)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SUMIFS(RAB!$F$14:$F$56,RAB!$C$14:$C$56,C1097)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SUMIFS(RAB!$F$14:$F$56,RAB!$C$14:$C$56,C1098)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SUMIFS(RAB!$F$14:$F$56,RAB!$C$14:$C$56,C1099)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SUMIFS(RAB!$F$14:$F$56,RAB!$C$14:$C$56,C1100)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SUMIFS(RAB!$F$14:$F$56,RAB!$C$14:$C$56,C1101)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SUMIFS(RAB!$F$14:$F$56,RAB!$C$14:$C$56,C1102)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SUMIFS(RAB!$F$14:$F$56,RAB!$C$14:$C$56,C1103)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SUMIFS(RAB!$F$14:$F$56,RAB!$C$14:$C$56,C1104)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SUMIFS(RAB!$F$14:$F$56,RAB!$C$14:$C$56,C1105)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SUMIFS(RAB!$F$14:$F$56,RAB!$C$14:$C$56,C1106)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SUMIFS(RAB!$F$14:$F$56,RAB!$C$14:$C$56,C1107)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SUMIFS(RAB!$F$14:$F$56,RAB!$C$14:$C$56,C1108)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SUMIFS(RAB!$F$14:$F$56,RAB!$C$14:$C$56,C1109)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SUMIFS(RAB!$F$14:$F$56,RAB!$C$14:$C$56,C1110)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SUMIFS(RAB!$F$14:$F$56,RAB!$C$14:$C$56,C1111)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SUMIFS(RAB!$F$14:$F$56,RAB!$C$14:$C$56,C1112)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SUMIFS(RAB!$F$14:$F$56,RAB!$C$14:$C$56,C1113)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SUMIFS(RAB!$F$14:$F$56,RAB!$C$14:$C$56,C1114)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SUMIFS(RAB!$F$14:$F$56,RAB!$C$14:$C$56,C1115)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SUMIFS(RAB!$F$14:$F$56,RAB!$C$14:$C$56,C1116)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SUMIFS(RAB!$F$14:$F$56,RAB!$C$14:$C$56,C1117)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SUMIFS(RAB!$F$14:$F$56,RAB!$C$14:$C$56,C1118)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SUMIFS(RAB!$F$14:$F$56,RAB!$C$14:$C$56,C1119)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SUMIFS(RAB!$F$14:$F$56,RAB!$C$14:$C$56,C1120)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SUMIFS(RAB!$F$14:$F$56,RAB!$C$14:$C$56,C1121)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SUMIFS(RAB!$F$14:$F$56,RAB!$C$14:$C$56,C1122)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SUMIFS(RAB!$F$14:$F$56,RAB!$C$14:$C$56,C1123)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SUMIFS(RAB!$F$14:$F$56,RAB!$C$14:$C$56,C1124)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SUMIFS(RAB!$F$14:$F$56,RAB!$C$14:$C$56,C1125)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SUMIFS(RAB!$F$14:$F$56,RAB!$C$14:$C$56,C1126)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SUMIFS(RAB!$F$14:$F$56,RAB!$C$14:$C$56,C1127)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SUMIFS(RAB!$F$14:$F$56,RAB!$C$14:$C$56,C1128)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SUMIFS(RAB!$F$14:$F$56,RAB!$C$14:$C$56,C1129)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SUMIFS(RAB!$F$14:$F$56,RAB!$C$14:$C$56,C1130)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SUMIFS(RAB!$F$14:$F$56,RAB!$C$14:$C$56,C1131)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SUMIFS(RAB!$F$14:$F$56,RAB!$C$14:$C$56,C1132)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SUMIFS(RAB!$F$14:$F$56,RAB!$C$14:$C$56,C1133)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SUMIFS(RAB!$F$14:$F$56,RAB!$C$14:$C$56,C1134)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SUMIFS(RAB!$F$14:$F$56,RAB!$C$14:$C$56,C1135)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SUMIFS(RAB!$F$14:$F$56,RAB!$C$14:$C$56,C1136)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SUMIFS(RAB!$F$14:$F$56,RAB!$C$14:$C$56,C1137)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SUMIFS(RAB!$F$14:$F$56,RAB!$C$14:$C$56,C1138)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SUMIFS(RAB!$F$14:$F$56,RAB!$C$14:$C$56,C1139)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SUMIFS(RAB!$F$14:$F$56,RAB!$C$14:$C$56,C1140)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SUMIFS(RAB!$F$14:$F$56,RAB!$C$14:$C$56,C1141)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SUMIFS(RAB!$F$14:$F$56,RAB!$C$14:$C$56,C1142)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SUMIFS(RAB!$F$14:$F$56,RAB!$C$14:$C$56,C1143)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SUMIFS(RAB!$F$14:$F$56,RAB!$C$14:$C$56,C1144)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SUMIFS(RAB!$F$14:$F$56,RAB!$C$14:$C$56,C1145)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SUMIFS(RAB!$F$14:$F$56,RAB!$C$14:$C$56,C1146)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SUMIFS(RAB!$F$14:$F$56,RAB!$C$14:$C$56,C1147)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SUMIFS(RAB!$F$14:$F$56,RAB!$C$14:$C$56,C1148)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SUMIFS(RAB!$F$14:$F$56,RAB!$C$14:$C$56,C1149)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SUMIFS(RAB!$F$14:$F$56,RAB!$C$14:$C$56,C1150)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SUMIFS(RAB!$F$14:$F$56,RAB!$C$14:$C$56,C1151)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SUMIFS(RAB!$F$14:$F$56,RAB!$C$14:$C$56,C1152)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SUMIFS(RAB!$F$14:$F$56,RAB!$C$14:$C$56,C1153)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SUMIFS(RAB!$F$14:$F$56,RAB!$C$14:$C$56,C1154)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SUMIFS(RAB!$F$14:$F$56,RAB!$C$14:$C$56,C1155)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SUMIFS(RAB!$F$14:$F$56,RAB!$C$14:$C$56,C1156)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SUMIFS(RAB!$F$14:$F$56,RAB!$C$14:$C$56,C1157)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SUMIFS(RAB!$F$14:$F$56,RAB!$C$14:$C$56,C1158)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SUMIFS(RAB!$F$14:$F$56,RAB!$C$14:$C$56,C1159)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SUMIFS(RAB!$F$14:$F$56,RAB!$C$14:$C$56,C1160)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SUMIFS(RAB!$F$14:$F$56,RAB!$C$14:$C$56,C1161)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SUMIFS(RAB!$F$14:$F$56,RAB!$C$14:$C$56,C1162)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SUMIFS(RAB!$F$14:$F$56,RAB!$C$14:$C$56,C1163)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SUMIFS(RAB!$F$14:$F$56,RAB!$C$14:$C$56,C1164)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SUMIFS(RAB!$F$14:$F$56,RAB!$C$14:$C$56,C1165)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SUMIFS(RAB!$F$14:$F$56,RAB!$C$14:$C$56,C1166)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SUMIFS(RAB!$F$14:$F$56,RAB!$C$14:$C$56,C1167)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SUMIFS(RAB!$F$14:$F$56,RAB!$C$14:$C$56,C1168)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SUMIFS(RAB!$F$14:$F$56,RAB!$C$14:$C$56,C1169)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SUMIFS(RAB!$F$14:$F$56,RAB!$C$14:$C$56,C1170)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SUMIFS(RAB!$F$14:$F$56,RAB!$C$14:$C$56,C1171)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SUMIFS(RAB!$F$14:$F$56,RAB!$C$14:$C$56,C1172)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SUMIFS(RAB!$F$14:$F$56,RAB!$C$14:$C$56,C1173)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SUMIFS(RAB!$F$14:$F$56,RAB!$C$14:$C$56,C1174)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SUMIFS(RAB!$F$14:$F$56,RAB!$C$14:$C$56,C1175)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SUMIFS(RAB!$F$14:$F$56,RAB!$C$14:$C$56,C1176)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SUMIFS(RAB!$F$14:$F$56,RAB!$C$14:$C$56,C1177)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SUMIFS(RAB!$F$14:$F$56,RAB!$C$14:$C$56,C1178)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SUMIFS(RAB!$F$14:$F$56,RAB!$C$14:$C$56,C1179)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SUMIFS(RAB!$F$14:$F$56,RAB!$C$14:$C$56,C1180)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SUMIFS(RAB!$F$14:$F$56,RAB!$C$14:$C$56,C1181)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SUMIFS(RAB!$F$14:$F$56,RAB!$C$14:$C$56,C1182)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SUMIFS(RAB!$F$14:$F$56,RAB!$C$14:$C$56,C1183)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SUMIFS(RAB!$F$14:$F$56,RAB!$C$14:$C$56,C1184)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SUMIFS(RAB!$F$14:$F$56,RAB!$C$14:$C$56,C1185)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SUMIFS(RAB!$F$14:$F$56,RAB!$C$14:$C$56,C1186)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SUMIFS(RAB!$F$14:$F$56,RAB!$C$14:$C$56,C1187)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SUMIFS(RAB!$F$14:$F$56,RAB!$C$14:$C$56,C1188)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SUMIFS(RAB!$F$14:$F$56,RAB!$C$14:$C$56,C1189)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SUMIFS(RAB!$F$14:$F$56,RAB!$C$14:$C$56,C1190)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SUMIFS(RAB!$F$14:$F$56,RAB!$C$14:$C$56,C1191)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SUMIFS(RAB!$F$14:$F$56,RAB!$C$14:$C$56,C1192)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SUMIFS(RAB!$F$14:$F$56,RAB!$C$14:$C$56,C1193)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SUMIFS(RAB!$F$14:$F$56,RAB!$C$14:$C$56,C1194)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SUMIFS(RAB!$F$14:$F$56,RAB!$C$14:$C$56,C1195)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SUMIFS(RAB!$F$14:$F$56,RAB!$C$14:$C$56,C1196)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SUMIFS(RAB!$F$14:$F$56,RAB!$C$14:$C$56,C1197)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SUMIFS(RAB!$F$14:$F$56,RAB!$C$14:$C$56,C1198)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SUMIFS(RAB!$F$14:$F$56,RAB!$C$14:$C$56,C1199)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SUMIFS(RAB!$F$14:$F$56,RAB!$C$14:$C$56,C1200)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SUMIFS(RAB!$F$14:$F$56,RAB!$C$14:$C$56,C1201)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SUMIFS(RAB!$F$14:$F$56,RAB!$C$14:$C$56,C1202)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SUMIFS(RAB!$F$14:$F$56,RAB!$C$14:$C$56,C1203)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SUMIFS(RAB!$F$14:$F$56,RAB!$C$14:$C$56,C1204)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SUMIFS(RAB!$F$14:$F$56,RAB!$C$14:$C$56,C1205)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SUMIFS(RAB!$F$14:$F$56,RAB!$C$14:$C$56,C1206)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SUMIFS(RAB!$F$14:$F$56,RAB!$C$14:$C$56,C1207)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SUMIFS(RAB!$F$14:$F$56,RAB!$C$14:$C$56,C1208)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SUMIFS(RAB!$F$14:$F$56,RAB!$C$14:$C$56,C1209)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SUMIFS(RAB!$F$14:$F$56,RAB!$C$14:$C$56,C1210)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SUMIFS(RAB!$F$14:$F$56,RAB!$C$14:$C$56,C1211)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SUMIFS(RAB!$F$14:$F$56,RAB!$C$14:$C$56,C1212)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SUMIFS(RAB!$F$14:$F$56,RAB!$C$14:$C$56,C1213)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SUMIFS(RAB!$F$14:$F$56,RAB!$C$14:$C$56,C1214)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SUMIFS(RAB!$F$14:$F$56,RAB!$C$14:$C$56,C1215)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SUMIFS(RAB!$F$14:$F$56,RAB!$C$14:$C$56,C1216)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SUMIFS(RAB!$F$14:$F$56,RAB!$C$14:$C$56,C1217)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SUMIFS(RAB!$F$14:$F$56,RAB!$C$14:$C$56,C1218)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SUMIFS(RAB!$F$14:$F$56,RAB!$C$14:$C$56,C1219)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SUMIFS(RAB!$F$14:$F$56,RAB!$C$14:$C$56,C1220)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SUMIFS(RAB!$F$14:$F$56,RAB!$C$14:$C$56,C1221)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SUMIFS(RAB!$F$14:$F$56,RAB!$C$14:$C$56,C1222)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SUMIFS(RAB!$F$14:$F$56,RAB!$C$14:$C$56,C1223)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SUMIFS(RAB!$F$14:$F$56,RAB!$C$14:$C$56,C1224)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SUMIFS(RAB!$F$14:$F$56,RAB!$C$14:$C$56,C1225)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SUMIFS(RAB!$F$14:$F$56,RAB!$C$14:$C$56,C1226)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SUMIFS(RAB!$F$14:$F$56,RAB!$C$14:$C$56,C1227)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SUMIFS(RAB!$F$14:$F$56,RAB!$C$14:$C$56,C1228)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SUMIFS(RAB!$F$14:$F$56,RAB!$C$14:$C$56,C1229)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SUMIFS(RAB!$F$14:$F$56,RAB!$C$14:$C$56,C1230)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SUMIFS(RAB!$F$14:$F$56,RAB!$C$14:$C$56,C1231)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SUMIFS(RAB!$F$14:$F$56,RAB!$C$14:$C$56,C1232)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SUMIFS(RAB!$F$14:$F$56,RAB!$C$14:$C$56,C1233)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SUMIFS(RAB!$F$14:$F$56,RAB!$C$14:$C$56,C1234)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SUMIFS(RAB!$F$14:$F$56,RAB!$C$14:$C$56,C1235)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SUMIFS(RAB!$F$14:$F$56,RAB!$C$14:$C$56,C1236)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SUMIFS(RAB!$F$14:$F$56,RAB!$C$14:$C$56,C1237)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SUMIFS(RAB!$F$14:$F$56,RAB!$C$14:$C$56,C1238)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SUMIFS(RAB!$F$14:$F$56,RAB!$C$14:$C$56,C1239)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SUMIFS(RAB!$F$14:$F$56,RAB!$C$14:$C$56,C1240)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SUMIFS(RAB!$F$14:$F$56,RAB!$C$14:$C$56,C1241)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SUMIFS(RAB!$F$14:$F$56,RAB!$C$14:$C$56,C1242)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SUMIFS(RAB!$F$14:$F$56,RAB!$C$14:$C$56,C1243)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SUMIFS(RAB!$F$14:$F$56,RAB!$C$14:$C$56,C1244)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SUMIFS(RAB!$F$14:$F$56,RAB!$C$14:$C$56,C1245)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SUMIFS(RAB!$F$14:$F$56,RAB!$C$14:$C$56,C1246)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SUMIFS(RAB!$F$14:$F$56,RAB!$C$14:$C$56,C1247)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SUMIFS(RAB!$F$14:$F$56,RAB!$C$14:$C$56,C1248)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SUMIFS(RAB!$F$14:$F$56,RAB!$C$14:$C$56,C1249)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SUMIFS(RAB!$F$14:$F$56,RAB!$C$14:$C$56,C1250)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SUMIFS(RAB!$F$14:$F$56,RAB!$C$14:$C$56,C1251)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SUMIFS(RAB!$F$14:$F$56,RAB!$C$14:$C$56,C1252)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SUMIFS(RAB!$F$14:$F$56,RAB!$C$14:$C$56,C1253)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SUMIFS(RAB!$F$14:$F$56,RAB!$C$14:$C$56,C1254)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SUMIFS(RAB!$F$14:$F$56,RAB!$C$14:$C$56,C1255)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SUMIFS(RAB!$F$14:$F$56,RAB!$C$14:$C$56,C1256)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SUMIFS(RAB!$F$14:$F$56,RAB!$C$14:$C$56,C1257)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SUMIFS(RAB!$F$14:$F$56,RAB!$C$14:$C$56,C1258)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SUMIFS(RAB!$F$14:$F$56,RAB!$C$14:$C$56,C1259)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SUMIFS(RAB!$F$14:$F$56,RAB!$C$14:$C$56,C1260)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SUMIFS(RAB!$F$14:$F$56,RAB!$C$14:$C$56,C1261)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SUMIFS(RAB!$F$14:$F$56,RAB!$C$14:$C$56,C1262)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SUMIFS(RAB!$F$14:$F$56,RAB!$C$14:$C$56,C1263)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SUMIFS(RAB!$F$14:$F$56,RAB!$C$14:$C$56,C1264)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SUMIFS(RAB!$F$14:$F$56,RAB!$C$14:$C$56,C1265)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SUMIFS(RAB!$F$14:$F$56,RAB!$C$14:$C$56,C1266)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SUMIFS(RAB!$F$14:$F$56,RAB!$C$14:$C$56,C1267)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SUMIFS(RAB!$F$14:$F$56,RAB!$C$14:$C$56,C1268)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SUMIFS(RAB!$F$14:$F$56,RAB!$C$14:$C$56,C1269)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SUMIFS(RAB!$F$14:$F$56,RAB!$C$14:$C$56,C1270)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SUMIFS(RAB!$F$14:$F$56,RAB!$C$14:$C$56,C1271)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SUMIFS(RAB!$F$14:$F$56,RAB!$C$14:$C$56,C1272)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SUMIFS(RAB!$F$14:$F$56,RAB!$C$14:$C$56,C1273)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SUMIFS(RAB!$F$14:$F$56,RAB!$C$14:$C$56,C1274)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SUMIFS(RAB!$F$14:$F$56,RAB!$C$14:$C$56,C1275)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SUMIFS(RAB!$F$14:$F$56,RAB!$C$14:$C$56,C1276)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SUMIFS(RAB!$F$14:$F$56,RAB!$C$14:$C$56,C1277)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SUMIFS(RAB!$F$14:$F$56,RAB!$C$14:$C$56,C1278)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SUMIFS(RAB!$F$14:$F$56,RAB!$C$14:$C$56,C1279)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SUMIFS(RAB!$F$14:$F$56,RAB!$C$14:$C$56,C1280)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SUMIFS(RAB!$F$14:$F$56,RAB!$C$14:$C$56,C1281)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SUMIFS(RAB!$F$14:$F$56,RAB!$C$14:$C$56,C1282)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SUMIFS(RAB!$F$14:$F$56,RAB!$C$14:$C$56,C1283)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SUMIFS(RAB!$F$14:$F$56,RAB!$C$14:$C$56,C1284)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SUMIFS(RAB!$F$14:$F$56,RAB!$C$14:$C$56,C1285)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SUMIFS(RAB!$F$14:$F$56,RAB!$C$14:$C$56,C1286)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SUMIFS(RAB!$F$14:$F$56,RAB!$C$14:$C$56,C1287)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SUMIFS(RAB!$F$14:$F$56,RAB!$C$14:$C$56,C1288)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SUMIFS(RAB!$F$14:$F$56,RAB!$C$14:$C$56,C1289)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SUMIFS(RAB!$F$14:$F$56,RAB!$C$14:$C$56,C1290)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SUMIFS(RAB!$F$14:$F$56,RAB!$C$14:$C$56,C1291)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SUMIFS(RAB!$F$14:$F$56,RAB!$C$14:$C$56,C1292)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SUMIFS(RAB!$F$14:$F$56,RAB!$C$14:$C$56,C1293)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SUMIFS(RAB!$F$14:$F$56,RAB!$C$14:$C$56,C1294)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SUMIFS(RAB!$F$14:$F$56,RAB!$C$14:$C$56,C1295)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SUMIFS(RAB!$F$14:$F$56,RAB!$C$14:$C$56,C1296)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SUMIFS(RAB!$F$14:$F$56,RAB!$C$14:$C$56,C1297)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SUMIFS(RAB!$F$14:$F$56,RAB!$C$14:$C$56,C1298)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SUMIFS(RAB!$F$14:$F$56,RAB!$C$14:$C$56,C1299)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SUMIFS(RAB!$F$14:$F$56,RAB!$C$14:$C$56,C1300)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SUMIFS(RAB!$F$14:$F$56,RAB!$C$14:$C$56,C1301)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SUMIFS(RAB!$F$14:$F$56,RAB!$C$14:$C$56,C1302)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SUMIFS(RAB!$F$14:$F$56,RAB!$C$14:$C$56,C1303)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SUMIFS(RAB!$F$14:$F$56,RAB!$C$14:$C$56,C1304)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SUMIFS(RAB!$F$14:$F$56,RAB!$C$14:$C$56,C1305)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SUMIFS(RAB!$F$14:$F$56,RAB!$C$14:$C$56,C1306)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SUMIFS(RAB!$F$14:$F$56,RAB!$C$14:$C$56,C1307)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SUMIFS(RAB!$F$14:$F$56,RAB!$C$14:$C$56,C1308)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SUMIFS(RAB!$F$14:$F$56,RAB!$C$14:$C$56,C1309)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SUMIFS(RAB!$F$14:$F$56,RAB!$C$14:$C$56,C1310)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SUMIFS(RAB!$F$14:$F$56,RAB!$C$14:$C$56,C1311)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SUMIFS(RAB!$F$14:$F$56,RAB!$C$14:$C$56,C1312)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SUMIFS(RAB!$F$14:$F$56,RAB!$C$14:$C$56,C1313)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SUMIFS(RAB!$F$14:$F$56,RAB!$C$14:$C$56,C1314)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SUMIFS(RAB!$F$14:$F$56,RAB!$C$14:$C$56,C1315)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SUMIFS(RAB!$F$14:$F$56,RAB!$C$14:$C$56,C1316)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SUMIFS(RAB!$F$14:$F$56,RAB!$C$14:$C$56,C1317)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SUMIFS(RAB!$F$14:$F$56,RAB!$C$14:$C$56,C1318)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SUMIFS(RAB!$F$14:$F$56,RAB!$C$14:$C$56,C1319)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SUMIFS(RAB!$F$14:$F$56,RAB!$C$14:$C$56,C1320)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0" t="s">
        <v>1127</v>
      </c>
      <c r="C4" s="520"/>
      <c r="D4" s="520"/>
      <c r="E4" s="520"/>
      <c r="F4" s="520"/>
      <c r="G4" s="520"/>
      <c r="H4" s="520"/>
      <c r="I4" s="520"/>
      <c r="J4" s="520"/>
      <c r="K4" s="52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4" t="str">
        <f>RAB!G6</f>
        <v>MASJID AL-FALAH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WEDUNG KEC WEDUNG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1" t="s">
        <v>0</v>
      </c>
      <c r="C11" s="523" t="s">
        <v>1</v>
      </c>
      <c r="D11" s="526" t="s">
        <v>42</v>
      </c>
      <c r="E11" s="526" t="s">
        <v>43</v>
      </c>
      <c r="F11" s="526" t="s">
        <v>2</v>
      </c>
      <c r="G11" s="528" t="s">
        <v>41</v>
      </c>
      <c r="H11" s="526" t="s">
        <v>3</v>
      </c>
      <c r="I11" s="526"/>
      <c r="J11" s="526"/>
      <c r="K11" s="531"/>
      <c r="M11" s="33"/>
      <c r="N11" s="33"/>
      <c r="O11" s="33"/>
      <c r="P11" s="33"/>
      <c r="R11" s="34"/>
      <c r="S11" s="74"/>
      <c r="T11" s="74"/>
    </row>
    <row r="12" spans="1:21" ht="15" customHeight="1">
      <c r="B12" s="522"/>
      <c r="C12" s="524"/>
      <c r="D12" s="527"/>
      <c r="E12" s="527"/>
      <c r="F12" s="527"/>
      <c r="G12" s="529"/>
      <c r="H12" s="535" t="s">
        <v>46</v>
      </c>
      <c r="I12" s="535" t="s">
        <v>5</v>
      </c>
      <c r="J12" s="527" t="s">
        <v>47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2"/>
      <c r="C13" s="525"/>
      <c r="D13" s="527"/>
      <c r="E13" s="527"/>
      <c r="F13" s="527"/>
      <c r="G13" s="530"/>
      <c r="H13" s="536"/>
      <c r="I13" s="536"/>
      <c r="J13" s="527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5" t="s">
        <v>1008</v>
      </c>
      <c r="D38" s="545"/>
      <c r="E38" s="545"/>
      <c r="F38" s="545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6" t="s">
        <v>462</v>
      </c>
      <c r="D39" s="546"/>
      <c r="E39" s="546"/>
      <c r="F39" s="546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7" t="s">
        <v>463</v>
      </c>
      <c r="D40" s="537"/>
      <c r="E40" s="537"/>
      <c r="F40" s="537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8" t="e">
        <f ca="1">"Terbilang : ( "&amp;L42&amp;" Rupiah )"</f>
        <v>#NAME?</v>
      </c>
      <c r="C41" s="539"/>
      <c r="D41" s="539"/>
      <c r="E41" s="539"/>
      <c r="F41" s="539"/>
      <c r="G41" s="539"/>
      <c r="H41" s="539"/>
      <c r="I41" s="539"/>
      <c r="J41" s="539"/>
      <c r="K41" s="540"/>
      <c r="L41" s="44"/>
      <c r="R41" s="58"/>
      <c r="S41" s="58"/>
      <c r="T41" s="58"/>
    </row>
    <row r="42" spans="1:20" s="36" customFormat="1">
      <c r="A42" s="30"/>
      <c r="B42" s="541"/>
      <c r="C42" s="542"/>
      <c r="D42" s="542"/>
      <c r="E42" s="542"/>
      <c r="F42" s="542"/>
      <c r="G42" s="542"/>
      <c r="H42" s="542"/>
      <c r="I42" s="542"/>
      <c r="J42" s="542"/>
      <c r="K42" s="543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2"/>
      <c r="I45" s="532"/>
      <c r="J45" s="533"/>
      <c r="K45" s="53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2"/>
      <c r="I46" s="532"/>
      <c r="J46" s="533"/>
      <c r="K46" s="53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2"/>
      <c r="I47" s="532"/>
      <c r="J47" s="533"/>
      <c r="K47" s="53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2"/>
      <c r="I52" s="532"/>
      <c r="J52" s="533"/>
      <c r="K52" s="53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SUMIFS(RAB!$F$14:$F$56,RAB!$C$14:$C$56,'REKAP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SUMIFS(RAB!$F$14:$F$56,RAB!$C$14:$C$56,'REKAP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SUMIFS(RAB!$F$14:$F$56,RAB!$C$14:$C$56,'REKAP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SUMIFS(RAB!$F$14:$F$56,RAB!$C$14:$C$56,'REKAP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SUMIFS(RAB!$F$14:$F$56,RAB!$C$14:$C$56,'REKAP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SUMIFS(RAB!$F$14:$F$56,RAB!$C$14:$C$56,'REKAP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SUMIFS(RAB!$F$14:$F$56,RAB!$C$14:$C$56,'REKAP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SUMIFS(RAB!$F$14:$F$56,RAB!$C$14:$C$56,'REKAP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SUMIFS(RAB!$F$14:$F$56,RAB!$C$14:$C$56,'REKAP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SUMIFS(RAB!$F$14:$F$56,RAB!$C$14:$C$56,'REKAP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SUMIFS(RAB!$F$14:$F$56,RAB!$C$14:$C$56,'REKAP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SUMIFS(RAB!$F$14:$F$56,RAB!$C$14:$C$56,'REKAP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SUMIFS(RAB!$F$14:$F$56,RAB!$C$14:$C$56,'REKAP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SUMIFS(RAB!$F$14:$F$56,RAB!$C$14:$C$56,'REKAP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SUMIFS(RAB!$F$14:$F$56,RAB!$C$14:$C$56,'REKAP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SUMIFS(RAB!$F$14:$F$56,RAB!$C$14:$C$56,'REKAP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SUMIFS(RAB!$F$14:$F$56,RAB!$C$14:$C$56,'REKAP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SUMIFS(RAB!$F$14:$F$56,RAB!$C$14:$C$56,'REKAP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SUMIFS(RAB!$F$14:$F$56,RAB!$C$14:$C$56,'REKAP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SUMIFS(RAB!$F$14:$F$56,RAB!$C$14:$C$56,'REKAP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0" t="s">
        <v>1034</v>
      </c>
      <c r="C4" s="520"/>
      <c r="D4" s="520"/>
      <c r="E4" s="520"/>
      <c r="F4" s="520"/>
      <c r="G4" s="520"/>
      <c r="H4" s="520"/>
      <c r="I4" s="520"/>
      <c r="J4" s="520"/>
      <c r="K4" s="52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4" t="str">
        <f>RAB!G6</f>
        <v>MASJID AL-FALAH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WEDUNG KEC WEDUNG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1" t="s">
        <v>0</v>
      </c>
      <c r="C11" s="523" t="s">
        <v>1</v>
      </c>
      <c r="D11" s="526" t="s">
        <v>42</v>
      </c>
      <c r="E11" s="526" t="s">
        <v>43</v>
      </c>
      <c r="F11" s="526" t="s">
        <v>2</v>
      </c>
      <c r="G11" s="528" t="s">
        <v>41</v>
      </c>
      <c r="H11" s="526" t="s">
        <v>3</v>
      </c>
      <c r="I11" s="526"/>
      <c r="J11" s="526"/>
      <c r="K11" s="531"/>
      <c r="M11" s="33"/>
      <c r="N11" s="33"/>
      <c r="O11" s="33"/>
      <c r="P11" s="33"/>
      <c r="R11" s="34"/>
      <c r="S11" s="74"/>
      <c r="T11" s="74"/>
    </row>
    <row r="12" spans="1:21" ht="15" customHeight="1">
      <c r="B12" s="522"/>
      <c r="C12" s="524"/>
      <c r="D12" s="527"/>
      <c r="E12" s="527"/>
      <c r="F12" s="527"/>
      <c r="G12" s="529"/>
      <c r="H12" s="535" t="s">
        <v>46</v>
      </c>
      <c r="I12" s="535" t="s">
        <v>5</v>
      </c>
      <c r="J12" s="527" t="s">
        <v>47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2"/>
      <c r="C13" s="525"/>
      <c r="D13" s="527"/>
      <c r="E13" s="527"/>
      <c r="F13" s="527"/>
      <c r="G13" s="530"/>
      <c r="H13" s="536"/>
      <c r="I13" s="536"/>
      <c r="J13" s="527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</v>
      </c>
      <c r="G19" s="41">
        <f ca="1">IF(ISERROR(OFFSET('HARGA SATUAN'!$I$6,MATCH(C19,'HARGA SATUAN'!$C$7:$C$1492,0),0)),"",OFFSET('HARGA SATUAN'!$I$6,MATCH(C19,'HARGA SATUAN'!$C$7:$C$1492,0),0))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NFA2X-T 2 x 70 + N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2</v>
      </c>
      <c r="G20" s="41">
        <f ca="1">IF(ISERROR(OFFSET('HARGA SATUAN'!$I$6,MATCH(C20,'HARGA SATUAN'!$C$7:$C$1492,0),0)),"",OFFSET('HARGA SATUAN'!$I$6,MATCH(C20,'HARGA SATUAN'!$C$7:$C$1492,0),0))</f>
        <v>53300</v>
      </c>
      <c r="H20" s="42">
        <f t="shared" ca="1" si="1"/>
        <v>106600</v>
      </c>
      <c r="I20" s="42">
        <f t="shared" ca="1" si="2"/>
        <v>0</v>
      </c>
      <c r="J20" s="42">
        <f t="shared" ca="1" si="3"/>
        <v>0</v>
      </c>
      <c r="K20" s="43">
        <f t="shared" ca="1" si="0"/>
        <v>106600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 2 x 16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35</v>
      </c>
      <c r="G21" s="41">
        <f ca="1">IF(ISERROR(OFFSET('HARGA SATUAN'!$I$6,MATCH(C21,'HARGA SATUAN'!$C$7:$C$1492,0),0)),"",OFFSET('HARGA SATUAN'!$I$6,MATCH(C21,'HARGA SATUAN'!$C$7:$C$1492,0),0))</f>
        <v>6600</v>
      </c>
      <c r="H21" s="42">
        <f t="shared" ca="1" si="1"/>
        <v>231000</v>
      </c>
      <c r="I21" s="42">
        <f t="shared" ca="1" si="2"/>
        <v>0</v>
      </c>
      <c r="J21" s="42">
        <f t="shared" ca="1" si="3"/>
        <v>0</v>
      </c>
      <c r="K21" s="43">
        <f t="shared" ca="1" si="0"/>
        <v>231000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5" t="s">
        <v>1008</v>
      </c>
      <c r="D168" s="545"/>
      <c r="E168" s="545"/>
      <c r="F168" s="545"/>
      <c r="G168" s="77" t="s">
        <v>9</v>
      </c>
      <c r="H168" s="55">
        <f ca="1">SUM(H14:H167)</f>
        <v>29991150</v>
      </c>
      <c r="I168" s="55">
        <f ca="1">SUM(I14:I167)</f>
        <v>0</v>
      </c>
      <c r="J168" s="55">
        <f ca="1">SUM(J14:J167)</f>
        <v>0</v>
      </c>
      <c r="K168" s="55">
        <f ca="1">SUM(K14:K167)</f>
        <v>29991150</v>
      </c>
      <c r="L168" s="44"/>
      <c r="R168" s="99"/>
      <c r="S168" s="99"/>
      <c r="T168" s="99"/>
    </row>
    <row r="169" spans="1:20" s="36" customFormat="1">
      <c r="A169" s="30"/>
      <c r="B169" s="56"/>
      <c r="C169" s="546" t="s">
        <v>462</v>
      </c>
      <c r="D169" s="546"/>
      <c r="E169" s="546"/>
      <c r="F169" s="546"/>
      <c r="G169" s="59" t="s">
        <v>9</v>
      </c>
      <c r="H169" s="60">
        <f ca="1">H168*0.1</f>
        <v>2999115</v>
      </c>
      <c r="I169" s="60">
        <f ca="1">I168*0.1</f>
        <v>0</v>
      </c>
      <c r="J169" s="60">
        <f ca="1">J168*0.1</f>
        <v>0</v>
      </c>
      <c r="K169" s="60">
        <f ca="1">K168*0.1</f>
        <v>2999115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7" t="s">
        <v>463</v>
      </c>
      <c r="D170" s="537"/>
      <c r="E170" s="537"/>
      <c r="F170" s="537"/>
      <c r="G170" s="61" t="s">
        <v>9</v>
      </c>
      <c r="H170" s="78">
        <f ca="1">SUM(H168:H169)</f>
        <v>32990265</v>
      </c>
      <c r="I170" s="78">
        <f ca="1">SUM(I168:I169)</f>
        <v>0</v>
      </c>
      <c r="J170" s="61">
        <f ca="1">SUM(J168:J169)</f>
        <v>0</v>
      </c>
      <c r="K170" s="61">
        <f ca="1">SUM(K168:K169)</f>
        <v>32990265</v>
      </c>
      <c r="L170" s="44"/>
      <c r="R170" s="99"/>
      <c r="S170" s="99"/>
      <c r="T170" s="99"/>
    </row>
    <row r="171" spans="1:20" s="36" customFormat="1">
      <c r="A171" s="30"/>
      <c r="B171" s="538" t="e">
        <f ca="1">"Terbilang : ( "&amp;L172&amp;" Rupiah )"</f>
        <v>#NAME?</v>
      </c>
      <c r="C171" s="539"/>
      <c r="D171" s="539"/>
      <c r="E171" s="539"/>
      <c r="F171" s="539"/>
      <c r="G171" s="539"/>
      <c r="H171" s="539"/>
      <c r="I171" s="539"/>
      <c r="J171" s="539"/>
      <c r="K171" s="540"/>
      <c r="L171" s="44"/>
      <c r="R171" s="58"/>
      <c r="S171" s="58"/>
      <c r="T171" s="58"/>
    </row>
    <row r="172" spans="1:20" s="36" customFormat="1">
      <c r="A172" s="30"/>
      <c r="B172" s="541"/>
      <c r="C172" s="542"/>
      <c r="D172" s="542"/>
      <c r="E172" s="542"/>
      <c r="F172" s="542"/>
      <c r="G172" s="542"/>
      <c r="H172" s="542"/>
      <c r="I172" s="542"/>
      <c r="J172" s="542"/>
      <c r="K172" s="543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2"/>
      <c r="I175" s="532"/>
      <c r="J175" s="533"/>
      <c r="K175" s="53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2"/>
      <c r="I176" s="532"/>
      <c r="J176" s="533"/>
      <c r="K176" s="53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2"/>
      <c r="I177" s="532"/>
      <c r="J177" s="533"/>
      <c r="K177" s="53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2"/>
      <c r="I182" s="532"/>
      <c r="J182" s="533"/>
      <c r="K182" s="53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SUMIFS(RAB!$F$14:$F$56,RAB!$C$14:$C$56,C224)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SUMIFS(RAB!$F$14:$F$56,RAB!$C$14:$C$56,C225)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SUMIFS(RAB!$F$14:$F$56,RAB!$C$14:$C$56,C226)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SUMIFS(RAB!$F$14:$F$56,RAB!$C$14:$C$56,C227)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SUMIFS(RAB!$F$14:$F$56,RAB!$C$14:$C$56,C228)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SUMIFS(RAB!$F$14:$F$56,RAB!$C$14:$C$56,C229)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SUMIFS(RAB!$F$14:$F$56,RAB!$C$14:$C$56,C230)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SUMIFS(RAB!$F$14:$F$56,RAB!$C$14:$C$56,C231)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SUMIFS(RAB!$F$14:$F$56,RAB!$C$14:$C$56,C232)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SUMIFS(RAB!$F$14:$F$56,RAB!$C$14:$C$56,C233)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SUMIFS(RAB!$F$14:$F$56,RAB!$C$14:$C$56,C234)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SUMIFS(RAB!$F$14:$F$56,RAB!$C$14:$C$56,C235)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SUMIFS(RAB!$F$14:$F$56,RAB!$C$14:$C$56,C236)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SUMIFS(RAB!$F$14:$F$56,RAB!$C$14:$C$56,C237)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SUMIFS(RAB!$F$14:$F$56,RAB!$C$14:$C$56,C238)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SUMIFS(RAB!$F$14:$F$56,RAB!$C$14:$C$56,C239)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SUMIFS(RAB!$F$14:$F$56,RAB!$C$14:$C$56,C240)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SUMIFS(RAB!$F$14:$F$56,RAB!$C$14:$C$56,C241)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SUMIFS(RAB!$F$14:$F$56,RAB!$C$14:$C$56,C242)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SUMIFS(RAB!$F$14:$F$56,RAB!$C$14:$C$56,C243)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SUMIFS(RAB!$F$14:$F$56,RAB!$C$14:$C$56,C244)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SUMIFS(RAB!$F$14:$F$56,RAB!$C$14:$C$56,C245)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SUMIFS(RAB!$F$14:$F$56,RAB!$C$14:$C$56,C246)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SUMIFS(RAB!$F$14:$F$56,RAB!$C$14:$C$56,C247)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SUMIFS(RAB!$F$14:$F$56,RAB!$C$14:$C$56,C248)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SUMIFS(RAB!$F$14:$F$56,RAB!$C$14:$C$56,C249)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SUMIFS(RAB!$F$14:$F$56,RAB!$C$14:$C$56,C250)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SUMIFS(RAB!$F$14:$F$56,RAB!$C$14:$C$56,C251)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SUMIFS(RAB!$F$14:$F$56,RAB!$C$14:$C$56,C252)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SUMIFS(RAB!$F$14:$F$56,RAB!$C$14:$C$56,C253)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SUMIFS(RAB!$F$14:$F$56,RAB!$C$14:$C$56,C254)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SUMIFS(RAB!$F$14:$F$56,RAB!$C$14:$C$56,C255)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SUMIFS(RAB!$F$14:$F$56,RAB!$C$14:$C$56,C256)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SUMIFS(RAB!$F$14:$F$56,RAB!$C$14:$C$56,C257)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SUMIFS(RAB!$F$14:$F$56,RAB!$C$14:$C$56,C258)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SUMIFS(RAB!$F$14:$F$56,RAB!$C$14:$C$56,C259)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SUMIFS(RAB!$F$14:$F$56,RAB!$C$14:$C$56,C260)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SUMIFS(RAB!$F$14:$F$56,RAB!$C$14:$C$56,C261)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SUMIFS(RAB!$F$14:$F$56,RAB!$C$14:$C$56,C262)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SUMIFS(RAB!$F$14:$F$56,RAB!$C$14:$C$56,C263)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SUMIFS(RAB!$F$14:$F$56,RAB!$C$14:$C$56,C264)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SUMIFS(RAB!$F$14:$F$56,RAB!$C$14:$C$56,C265)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SUMIFS(RAB!$F$14:$F$56,RAB!$C$14:$C$56,C266)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SUMIFS(RAB!$F$14:$F$56,RAB!$C$14:$C$56,C267)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SUMIFS(RAB!$F$14:$F$56,RAB!$C$14:$C$56,C268)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SUMIFS(RAB!$F$14:$F$56,RAB!$C$14:$C$56,C269)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SUMIFS(RAB!$F$14:$F$56,RAB!$C$14:$C$56,C270)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SUMIFS(RAB!$F$14:$F$56,RAB!$C$14:$C$56,C271)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SUMIFS(RAB!$F$14:$F$56,RAB!$C$14:$C$56,C272)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SUMIFS(RAB!$F$14:$F$56,RAB!$C$14:$C$56,C273)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SUMIFS(RAB!$F$14:$F$56,RAB!$C$14:$C$56,C274)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SUMIFS(RAB!$F$14:$F$56,RAB!$C$14:$C$56,C275)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SUMIFS(RAB!$F$14:$F$56,RAB!$C$14:$C$56,C276)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SUMIFS(RAB!$F$14:$F$56,RAB!$C$14:$C$56,C277)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SUMIFS(RAB!$F$14:$F$56,RAB!$C$14:$C$56,C278)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SUMIFS(RAB!$F$14:$F$56,RAB!$C$14:$C$56,C279)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SUMIFS(RAB!$F$14:$F$56,RAB!$C$14:$C$56,C280)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SUMIFS(RAB!$F$14:$F$56,RAB!$C$14:$C$56,C281)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SUMIFS(RAB!$F$14:$F$56,RAB!$C$14:$C$56,C282)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SUMIFS(RAB!$F$14:$F$56,RAB!$C$14:$C$56,C283)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SUMIFS(RAB!$F$14:$F$56,RAB!$C$14:$C$56,C284)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SUMIFS(RAB!$F$14:$F$56,RAB!$C$14:$C$56,C285)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SUMIFS(RAB!$F$14:$F$56,RAB!$C$14:$C$56,C286)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SUMIFS(RAB!$F$14:$F$56,RAB!$C$14:$C$56,C287)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SUMIFS(RAB!$F$14:$F$56,RAB!$C$14:$C$56,C288)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SUMIFS(RAB!$F$14:$F$56,RAB!$C$14:$C$56,C289)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SUMIFS(RAB!$F$14:$F$56,RAB!$C$14:$C$56,C290)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SUMIFS(RAB!$F$14:$F$56,RAB!$C$14:$C$56,C291)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SUMIFS(RAB!$F$14:$F$56,RAB!$C$14:$C$56,C292)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SUMIFS(RAB!$F$14:$F$56,RAB!$C$14:$C$56,C293)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SUMIFS(RAB!$F$14:$F$56,RAB!$C$14:$C$56,C294)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SUMIFS(RAB!$F$14:$F$56,RAB!$C$14:$C$56,C295)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SUMIFS(RAB!$F$14:$F$56,RAB!$C$14:$C$56,C296)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SUMIFS(RAB!$F$14:$F$56,RAB!$C$14:$C$56,C297)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SUMIFS(RAB!$F$14:$F$56,RAB!$C$14:$C$56,C298)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SUMIFS(RAB!$F$14:$F$56,RAB!$C$14:$C$56,C299)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SUMIFS(RAB!$F$14:$F$56,RAB!$C$14:$C$56,C300)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SUMIFS(RAB!$F$14:$F$56,RAB!$C$14:$C$56,C301)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SUMIFS(RAB!$F$14:$F$56,RAB!$C$14:$C$56,C302)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SUMIFS(RAB!$F$14:$F$56,RAB!$C$14:$C$56,C303)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SUMIFS(RAB!$F$14:$F$56,RAB!$C$14:$C$56,C304)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SUMIFS(RAB!$F$14:$F$56,RAB!$C$14:$C$56,C305)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SUMIFS(RAB!$F$14:$F$56,RAB!$C$14:$C$56,C306)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SUMIFS(RAB!$F$14:$F$56,RAB!$C$14:$C$56,C307)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SUMIFS(RAB!$F$14:$F$56,RAB!$C$14:$C$56,C308)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SUMIFS(RAB!$F$14:$F$56,RAB!$C$14:$C$56,C309)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SUMIFS(RAB!$F$14:$F$56,RAB!$C$14:$C$56,C310)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SUMIFS(RAB!$F$14:$F$56,RAB!$C$14:$C$56,C311)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SUMIFS(RAB!$F$14:$F$56,RAB!$C$14:$C$56,C312)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SUMIFS(RAB!$F$14:$F$56,RAB!$C$14:$C$56,C313)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SUMIFS(RAB!$F$14:$F$56,RAB!$C$14:$C$56,C314)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SUMIFS(RAB!$F$14:$F$56,RAB!$C$14:$C$56,C315)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SUMIFS(RAB!$F$14:$F$56,RAB!$C$14:$C$56,C316)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SUMIFS(RAB!$F$14:$F$56,RAB!$C$14:$C$56,C317)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SUMIFS(RAB!$F$14:$F$56,RAB!$C$14:$C$56,C318)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SUMIFS(RAB!$F$14:$F$56,RAB!$C$14:$C$56,C319)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SUMIFS(RAB!$F$14:$F$56,RAB!$C$14:$C$56,C320)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SUMIFS(RAB!$F$14:$F$56,RAB!$C$14:$C$56,C321)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SUMIFS(RAB!$F$14:$F$56,RAB!$C$14:$C$56,C322)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SUMIFS(RAB!$F$14:$F$56,RAB!$C$14:$C$56,C323)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SUMIFS(RAB!$F$14:$F$56,RAB!$C$14:$C$56,C324)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SUMIFS(RAB!$F$14:$F$56,RAB!$C$14:$C$56,C325)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SUMIFS(RAB!$F$14:$F$56,RAB!$C$14:$C$56,C326)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SUMIFS(RAB!$F$14:$F$56,RAB!$C$14:$C$56,C327)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SUMIFS(RAB!$F$14:$F$56,RAB!$C$14:$C$56,C328)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SUMIFS(RAB!$F$14:$F$56,RAB!$C$14:$C$56,C329)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SUMIFS(RAB!$F$14:$F$56,RAB!$C$14:$C$56,C330)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SUMIFS(RAB!$F$14:$F$56,RAB!$C$14:$C$56,C331)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SUMIFS(RAB!$F$14:$F$56,RAB!$C$14:$C$56,C332)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SUMIFS(RAB!$F$14:$F$56,RAB!$C$14:$C$56,C333)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SUMIFS(RAB!$F$14:$F$56,RAB!$C$14:$C$56,C334)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SUMIFS(RAB!$F$14:$F$56,RAB!$C$14:$C$56,C335)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SUMIFS(RAB!$F$14:$F$56,RAB!$C$14:$C$56,C336)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SUMIFS(RAB!$F$14:$F$56,RAB!$C$14:$C$56,C337)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SUMIFS(RAB!$F$14:$F$56,RAB!$C$14:$C$56,C338)</f>
        <v>2</v>
      </c>
      <c r="E338" s="24">
        <f t="shared" ca="1" si="22"/>
        <v>1</v>
      </c>
      <c r="F338" s="24">
        <f ca="1">IF(D338=0,0,SUM($E$223:E338))</f>
        <v>4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SUMIFS(RAB!$F$14:$F$56,RAB!$C$14:$C$56,C339)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SUMIFS(RAB!$F$14:$F$56,RAB!$C$14:$C$56,C340)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SUMIFS(RAB!$F$14:$F$56,RAB!$C$14:$C$56,C341)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SUMIFS(RAB!$F$14:$F$56,RAB!$C$14:$C$56,C342)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SUMIFS(RAB!$F$14:$F$56,RAB!$C$14:$C$56,C343)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SUMIFS(RAB!$F$14:$F$56,RAB!$C$14:$C$56,C344)</f>
        <v>2</v>
      </c>
      <c r="E344" s="24">
        <f t="shared" ca="1" si="22"/>
        <v>1</v>
      </c>
      <c r="F344" s="24">
        <f ca="1">IF(D344=0,0,SUM($E$223:E344))</f>
        <v>5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SUMIFS(RAB!$F$14:$F$56,RAB!$C$14:$C$56,C345)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SUMIFS(RAB!$F$14:$F$56,RAB!$C$14:$C$56,C346)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SUMIFS(RAB!$F$14:$F$56,RAB!$C$14:$C$56,C347)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SUMIFS(RAB!$F$14:$F$56,RAB!$C$14:$C$56,C348)</f>
        <v>35</v>
      </c>
      <c r="E348" s="24">
        <f t="shared" ca="1" si="22"/>
        <v>1</v>
      </c>
      <c r="F348" s="24">
        <f ca="1">IF(D348=0,0,SUM($E$223:E348))</f>
        <v>6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SUMIFS(RAB!$F$14:$F$56,RAB!$C$14:$C$56,C349)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SUMIFS(RAB!$F$14:$F$56,RAB!$C$14:$C$56,C350)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SUMIFS(RAB!$F$14:$F$56,RAB!$C$14:$C$56,C351)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SUMIFS(RAB!$F$14:$F$56,RAB!$C$14:$C$56,C352)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SUMIFS(RAB!$F$14:$F$56,RAB!$C$14:$C$56,C353)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SUMIFS(RAB!$F$14:$F$56,RAB!$C$14:$C$56,C354)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SUMIFS(RAB!$F$14:$F$56,RAB!$C$14:$C$56,C355)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SUMIFS(RAB!$F$14:$F$56,RAB!$C$14:$C$56,C356)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SUMIFS(RAB!$F$14:$F$56,RAB!$C$14:$C$56,C357)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SUMIFS(RAB!$F$14:$F$56,RAB!$C$14:$C$56,C358)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SUMIFS(RAB!$F$14:$F$56,RAB!$C$14:$C$56,C359)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SUMIFS(RAB!$F$14:$F$56,RAB!$C$14:$C$56,C360)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SUMIFS(RAB!$F$14:$F$56,RAB!$C$14:$C$56,C361)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SUMIFS(RAB!$F$14:$F$56,RAB!$C$14:$C$56,C362)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SUMIFS(RAB!$F$14:$F$56,RAB!$C$14:$C$56,C363)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SUMIFS(RAB!$F$14:$F$56,RAB!$C$14:$C$56,C364)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SUMIFS(RAB!$F$14:$F$56,RAB!$C$14:$C$56,C365)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SUMIFS(RAB!$F$14:$F$56,RAB!$C$14:$C$56,C366)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SUMIFS(RAB!$F$14:$F$56,RAB!$C$14:$C$56,C367)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SUMIFS(RAB!$F$14:$F$56,RAB!$C$14:$C$56,C368)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SUMIFS(RAB!$F$14:$F$56,RAB!$C$14:$C$56,C369)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SUMIFS(RAB!$F$14:$F$56,RAB!$C$14:$C$56,C370)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SUMIFS(RAB!$F$14:$F$56,RAB!$C$14:$C$56,C371)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SUMIFS(RAB!$F$14:$F$56,RAB!$C$14:$C$56,C372)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SUMIFS(RAB!$F$14:$F$56,RAB!$C$14:$C$56,C373)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71" activePane="bottomRight" state="frozen"/>
      <selection activeCell="D209" sqref="D209"/>
      <selection pane="topRight" activeCell="D209" sqref="D209"/>
      <selection pane="bottomLeft" activeCell="D209" sqref="D209"/>
      <selection pane="bottomRight" activeCell="C277" sqref="C27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8" t="s">
        <v>41</v>
      </c>
      <c r="C2" s="54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9" t="s">
        <v>23</v>
      </c>
      <c r="C4" s="550" t="s">
        <v>1012</v>
      </c>
      <c r="D4" s="550" t="s">
        <v>42</v>
      </c>
      <c r="E4" s="549" t="s">
        <v>43</v>
      </c>
      <c r="F4" s="108" t="s">
        <v>1609</v>
      </c>
      <c r="G4" s="108" t="s">
        <v>1608</v>
      </c>
      <c r="H4" s="547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9"/>
      <c r="C5" s="550"/>
      <c r="D5" s="550"/>
      <c r="E5" s="549"/>
      <c r="F5" s="93"/>
      <c r="G5" s="93"/>
      <c r="H5" s="547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9" priority="138" operator="equal">
      <formula>0</formula>
    </cfRule>
  </conditionalFormatting>
  <conditionalFormatting sqref="B8:C135">
    <cfRule type="cellIs" dxfId="28" priority="51" operator="equal">
      <formula>0</formula>
    </cfRule>
  </conditionalFormatting>
  <conditionalFormatting sqref="B150:G1493">
    <cfRule type="cellIs" dxfId="27" priority="1" operator="equal">
      <formula>0</formula>
    </cfRule>
  </conditionalFormatting>
  <conditionalFormatting sqref="C143:G149">
    <cfRule type="cellIs" dxfId="26" priority="5" operator="equal">
      <formula>0</formula>
    </cfRule>
  </conditionalFormatting>
  <conditionalFormatting sqref="D9:G142">
    <cfRule type="cellIs" dxfId="25" priority="11" operator="equal">
      <formula>0</formula>
    </cfRule>
  </conditionalFormatting>
  <conditionalFormatting sqref="D1:IV5 A1:C7 D6:K6 H1455:IV1457 H1458:XFD1485 H1486:H1493 I1486:XFD1494 A1494:H1494 A1495:XFD65536">
    <cfRule type="cellIs" dxfId="24" priority="163" operator="equal">
      <formula>0</formula>
    </cfRule>
  </conditionalFormatting>
  <conditionalFormatting sqref="D7:IV8 C136:C142 B136:B149">
    <cfRule type="cellIs" dxfId="23" priority="62" operator="equal">
      <formula>0</formula>
    </cfRule>
  </conditionalFormatting>
  <conditionalFormatting sqref="H9:H1418">
    <cfRule type="cellIs" dxfId="22" priority="129" operator="equal">
      <formula>0</formula>
    </cfRule>
  </conditionalFormatting>
  <conditionalFormatting sqref="H1419:I1454">
    <cfRule type="cellIs" dxfId="21" priority="128" operator="equal">
      <formula>0</formula>
    </cfRule>
  </conditionalFormatting>
  <conditionalFormatting sqref="I108:I1418">
    <cfRule type="cellIs" dxfId="20" priority="125" operator="equal">
      <formula>0</formula>
    </cfRule>
  </conditionalFormatting>
  <conditionalFormatting sqref="J108:IV1454">
    <cfRule type="cellIs" dxfId="19" priority="139" operator="equal">
      <formula>0</formula>
    </cfRule>
  </conditionalFormatting>
  <conditionalFormatting sqref="M6:IV6">
    <cfRule type="cellIs" dxfId="1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2" t="s">
        <v>1454</v>
      </c>
      <c r="C2" s="582"/>
      <c r="D2" s="582"/>
      <c r="E2" s="582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87" t="s">
        <v>1532</v>
      </c>
      <c r="C4" s="588"/>
      <c r="D4" s="588"/>
      <c r="E4" s="589"/>
      <c r="F4" s="442"/>
      <c r="G4" s="442"/>
      <c r="H4" s="443"/>
      <c r="I4" s="551" t="s">
        <v>1533</v>
      </c>
      <c r="J4" s="552"/>
      <c r="K4" s="552"/>
      <c r="L4" s="553"/>
    </row>
    <row r="5" spans="1:12" ht="34.5" customHeight="1">
      <c r="A5" s="204"/>
      <c r="B5" s="445" t="s">
        <v>1379</v>
      </c>
      <c r="C5" s="277" t="s">
        <v>9</v>
      </c>
      <c r="D5" s="583" t="str">
        <f>DATA!D14</f>
        <v>MASJID AL-FALAH</v>
      </c>
      <c r="E5" s="584"/>
      <c r="F5" s="208"/>
      <c r="G5" s="208"/>
      <c r="I5" s="446" t="s">
        <v>1379</v>
      </c>
      <c r="J5" s="277" t="s">
        <v>9</v>
      </c>
      <c r="K5" s="554" t="str">
        <f>D5</f>
        <v>MASJID AL-FALAH</v>
      </c>
      <c r="L5" s="555"/>
    </row>
    <row r="6" spans="1:12" ht="31.5" customHeight="1">
      <c r="A6" s="204"/>
      <c r="B6" s="445" t="s">
        <v>1529</v>
      </c>
      <c r="C6" s="277" t="s">
        <v>9</v>
      </c>
      <c r="D6" s="592">
        <f>DATA!D17*1000</f>
        <v>5500</v>
      </c>
      <c r="E6" s="593"/>
      <c r="F6" s="208"/>
      <c r="G6" s="208"/>
      <c r="I6" s="446" t="s">
        <v>1530</v>
      </c>
      <c r="J6" s="277" t="s">
        <v>9</v>
      </c>
      <c r="K6" s="556">
        <f>DATA!D20*1000</f>
        <v>11000</v>
      </c>
      <c r="L6" s="557"/>
    </row>
    <row r="7" spans="1:12" ht="30.75" customHeight="1">
      <c r="A7" s="204"/>
      <c r="B7" s="445" t="s">
        <v>1441</v>
      </c>
      <c r="C7" s="277" t="s">
        <v>9</v>
      </c>
      <c r="D7" s="590">
        <f>DATA!D18</f>
        <v>1</v>
      </c>
      <c r="E7" s="591"/>
      <c r="F7" s="444" t="s">
        <v>1453</v>
      </c>
      <c r="I7" s="446" t="s">
        <v>1441</v>
      </c>
      <c r="J7" s="277" t="s">
        <v>9</v>
      </c>
      <c r="K7" s="558">
        <f>DATA!D21</f>
        <v>1</v>
      </c>
      <c r="L7" s="559"/>
    </row>
    <row r="8" spans="1:12" ht="51" customHeight="1">
      <c r="A8" s="204"/>
      <c r="B8" s="445" t="s">
        <v>1442</v>
      </c>
      <c r="C8" s="277" t="s">
        <v>9</v>
      </c>
      <c r="D8" s="590">
        <f>DATA!D19</f>
        <v>220</v>
      </c>
      <c r="E8" s="591"/>
      <c r="F8" s="444" t="s">
        <v>1453</v>
      </c>
      <c r="G8" s="439">
        <v>220</v>
      </c>
      <c r="I8" s="446" t="s">
        <v>1442</v>
      </c>
      <c r="J8" s="277" t="s">
        <v>9</v>
      </c>
      <c r="K8" s="558">
        <f>DATA!D22</f>
        <v>220</v>
      </c>
      <c r="L8" s="559"/>
    </row>
    <row r="9" spans="1:12" ht="30" customHeight="1" thickBot="1">
      <c r="A9" s="204"/>
      <c r="B9" s="451" t="s">
        <v>1541</v>
      </c>
      <c r="C9" s="441" t="s">
        <v>9</v>
      </c>
      <c r="D9" s="585">
        <f>IF(D7=1,D6/(380/3^0.5),(D6/(380*3^0.5)))</f>
        <v>25.069156425339013</v>
      </c>
      <c r="E9" s="586"/>
      <c r="F9" s="207"/>
      <c r="G9" s="440">
        <v>380</v>
      </c>
      <c r="I9" s="452" t="s">
        <v>1541</v>
      </c>
      <c r="J9" s="441" t="s">
        <v>9</v>
      </c>
      <c r="K9" s="562">
        <f>IF(K7=1,K6/(380/3^0.5),(K6/(380*3^0.5)))</f>
        <v>50.138312850678027</v>
      </c>
      <c r="L9" s="563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94"/>
      <c r="E12" s="595"/>
      <c r="F12" s="208"/>
      <c r="G12" s="208"/>
      <c r="I12" s="468" t="s">
        <v>1534</v>
      </c>
      <c r="J12" s="469" t="s">
        <v>9</v>
      </c>
      <c r="K12" s="594"/>
      <c r="L12" s="595"/>
    </row>
    <row r="13" spans="1:12" ht="31.5" customHeight="1">
      <c r="A13" s="204"/>
      <c r="B13" s="476" t="s">
        <v>1380</v>
      </c>
      <c r="C13" s="456" t="s">
        <v>9</v>
      </c>
      <c r="D13" s="560"/>
      <c r="E13" s="561"/>
      <c r="F13" s="208"/>
      <c r="G13" s="208"/>
      <c r="I13" s="470" t="s">
        <v>1380</v>
      </c>
      <c r="J13" s="456" t="s">
        <v>9</v>
      </c>
      <c r="K13" s="560"/>
      <c r="L13" s="561"/>
    </row>
    <row r="14" spans="1:12" ht="30.75" customHeight="1">
      <c r="A14" s="204"/>
      <c r="B14" s="476" t="s">
        <v>1535</v>
      </c>
      <c r="C14" s="456" t="s">
        <v>9</v>
      </c>
      <c r="D14" s="564"/>
      <c r="E14" s="565"/>
      <c r="F14" s="444" t="s">
        <v>1453</v>
      </c>
      <c r="G14" s="448">
        <v>50</v>
      </c>
      <c r="I14" s="470" t="s">
        <v>1535</v>
      </c>
      <c r="J14" s="456" t="s">
        <v>9</v>
      </c>
      <c r="K14" s="566"/>
      <c r="L14" s="567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68">
        <v>0</v>
      </c>
      <c r="E16" s="569"/>
      <c r="F16" s="444"/>
      <c r="G16" s="448">
        <v>160</v>
      </c>
      <c r="I16" s="470" t="s">
        <v>1537</v>
      </c>
      <c r="J16" s="456" t="s">
        <v>9</v>
      </c>
      <c r="K16" s="572">
        <f>K9</f>
        <v>50.138312850678027</v>
      </c>
      <c r="L16" s="573"/>
    </row>
    <row r="17" spans="1:12" ht="34.5" customHeight="1">
      <c r="A17" s="204"/>
      <c r="B17" s="476" t="s">
        <v>1538</v>
      </c>
      <c r="C17" s="456" t="s">
        <v>9</v>
      </c>
      <c r="D17" s="570">
        <f>IF(D15=1,D14/(20/3^0.5),(D14/(20*3^0.5)))</f>
        <v>0</v>
      </c>
      <c r="E17" s="571"/>
      <c r="F17" s="444" t="s">
        <v>1453</v>
      </c>
      <c r="G17" s="449">
        <v>200</v>
      </c>
      <c r="I17" s="470" t="s">
        <v>1538</v>
      </c>
      <c r="J17" s="456" t="s">
        <v>9</v>
      </c>
      <c r="K17" s="576">
        <f>IF(K15=1,K14/(20/3^0.5),(K14/(20*3^0.5)))</f>
        <v>0</v>
      </c>
      <c r="L17" s="577"/>
    </row>
    <row r="18" spans="1:12" ht="34.5" customHeight="1">
      <c r="A18" s="204"/>
      <c r="B18" s="476" t="s">
        <v>1539</v>
      </c>
      <c r="C18" s="456" t="s">
        <v>9</v>
      </c>
      <c r="D18" s="570">
        <f>IF(D15=1,D14/(380/3^0.5),(D14/(380*3^0.5)))*1000</f>
        <v>0</v>
      </c>
      <c r="E18" s="571"/>
      <c r="F18" s="444" t="s">
        <v>1453</v>
      </c>
      <c r="G18" s="449">
        <v>250</v>
      </c>
      <c r="I18" s="470" t="s">
        <v>1539</v>
      </c>
      <c r="J18" s="456" t="s">
        <v>9</v>
      </c>
      <c r="K18" s="576">
        <f>IF(K15=1,K14/(380/3^0.5),(K14/(380*3^0.5)))*1000</f>
        <v>0</v>
      </c>
      <c r="L18" s="577"/>
    </row>
    <row r="19" spans="1:12" ht="30" customHeight="1">
      <c r="A19" s="204"/>
      <c r="B19" s="477" t="s">
        <v>1531</v>
      </c>
      <c r="C19" s="455" t="s">
        <v>9</v>
      </c>
      <c r="D19" s="570">
        <f>IF(D15=1,D14/(380/3^0.5),(D14/(380*3^0.5)))</f>
        <v>0</v>
      </c>
      <c r="E19" s="571"/>
      <c r="F19" s="207"/>
      <c r="G19" s="440"/>
      <c r="I19" s="472" t="s">
        <v>1531</v>
      </c>
      <c r="J19" s="455" t="s">
        <v>9</v>
      </c>
      <c r="K19" s="576">
        <f>IF(K15=1,K14/(380/3^0.5),(K14/(380*3^0.5)))</f>
        <v>0</v>
      </c>
      <c r="L19" s="577"/>
    </row>
    <row r="20" spans="1:12" ht="30" customHeight="1" thickBot="1">
      <c r="A20" s="204"/>
      <c r="B20" s="478" t="s">
        <v>1540</v>
      </c>
      <c r="C20" s="474" t="s">
        <v>9</v>
      </c>
      <c r="D20" s="596" t="e">
        <f>D16/D18</f>
        <v>#DIV/0!</v>
      </c>
      <c r="E20" s="597"/>
      <c r="F20" s="207"/>
      <c r="G20" s="440"/>
      <c r="I20" s="473" t="s">
        <v>1531</v>
      </c>
      <c r="J20" s="474" t="s">
        <v>9</v>
      </c>
      <c r="K20" s="574" t="e">
        <f>K16/K18</f>
        <v>#DIV/0!</v>
      </c>
      <c r="L20" s="575"/>
    </row>
    <row r="21" spans="1:12" ht="9.75" customHeight="1">
      <c r="A21" s="204"/>
      <c r="B21" s="463" t="s">
        <v>1540</v>
      </c>
      <c r="C21" s="464" t="s">
        <v>9</v>
      </c>
      <c r="D21" s="581">
        <v>1</v>
      </c>
      <c r="E21" s="581"/>
      <c r="F21" s="465"/>
      <c r="G21" s="466"/>
      <c r="H21" s="467"/>
      <c r="I21" s="463" t="s">
        <v>1531</v>
      </c>
      <c r="J21" s="464" t="s">
        <v>9</v>
      </c>
      <c r="K21" s="581">
        <v>1</v>
      </c>
      <c r="L21" s="581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78"/>
      <c r="C24" s="579"/>
      <c r="D24" s="579"/>
      <c r="E24" s="580"/>
      <c r="I24" s="578"/>
      <c r="J24" s="579"/>
      <c r="K24" s="579"/>
      <c r="L24" s="580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5" zoomScaleNormal="100" workbookViewId="0">
      <selection activeCell="D20" sqref="D20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8"/>
      <c r="C1" s="598"/>
      <c r="D1" s="598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5.5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5329500</v>
      </c>
    </row>
    <row r="10" spans="2:11" ht="20.100000000000001" customHeight="1">
      <c r="B10" s="291" t="s">
        <v>1446</v>
      </c>
      <c r="C10" s="292" t="s">
        <v>9</v>
      </c>
      <c r="D10" s="298">
        <f ca="1">RAB!K62</f>
        <v>35712230.299322829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714244.60598645662</v>
      </c>
    </row>
    <row r="12" spans="2:11" ht="9" customHeight="1">
      <c r="B12" s="599"/>
      <c r="C12" s="599"/>
      <c r="D12" s="599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1630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1627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5.5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11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6" t="s">
        <v>1357</v>
      </c>
      <c r="C3" s="606"/>
      <c r="D3" s="606"/>
      <c r="E3" s="606"/>
      <c r="F3" s="305" t="str">
        <f>DATA!D14</f>
        <v>MASJID AL-FALAH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0" t="s">
        <v>1349</v>
      </c>
      <c r="C5" s="600" t="s">
        <v>1358</v>
      </c>
      <c r="D5" s="605" t="s">
        <v>1359</v>
      </c>
      <c r="E5" s="605" t="s">
        <v>1360</v>
      </c>
      <c r="F5" s="600" t="s">
        <v>1361</v>
      </c>
      <c r="G5" s="600"/>
      <c r="H5" s="600"/>
      <c r="I5" s="600"/>
      <c r="J5" s="600"/>
      <c r="K5" s="600" t="s">
        <v>1362</v>
      </c>
      <c r="L5" s="600"/>
      <c r="M5" s="307"/>
      <c r="N5" s="603" t="s">
        <v>1363</v>
      </c>
      <c r="O5" s="605" t="s">
        <v>1364</v>
      </c>
      <c r="P5" s="605" t="s">
        <v>1365</v>
      </c>
      <c r="Q5" s="605" t="s">
        <v>1366</v>
      </c>
      <c r="R5" s="308"/>
      <c r="S5" s="309"/>
      <c r="T5" s="601" t="s">
        <v>1367</v>
      </c>
      <c r="U5" s="310"/>
    </row>
    <row r="6" spans="1:21" ht="20.100000000000001" customHeight="1">
      <c r="B6" s="600"/>
      <c r="C6" s="600"/>
      <c r="D6" s="600"/>
      <c r="E6" s="600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4"/>
      <c r="O6" s="600"/>
      <c r="P6" s="600"/>
      <c r="Q6" s="600"/>
      <c r="R6" s="308"/>
      <c r="S6" s="309"/>
      <c r="T6" s="600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1760</v>
      </c>
      <c r="D7" s="316">
        <f>C7*4/24</f>
        <v>293.33333333333331</v>
      </c>
      <c r="E7" s="316">
        <f>C7-D7</f>
        <v>1466.6666666666667</v>
      </c>
      <c r="F7" s="317">
        <f ca="1">DATA!D10/1000000</f>
        <v>35.712230299322826</v>
      </c>
      <c r="G7" s="318">
        <f ca="1">DATA!$D$11/1000000</f>
        <v>0.71424460598645667</v>
      </c>
      <c r="H7" s="318">
        <f>C7*DATA!$D$5/1000000</f>
        <v>1.908060080760388</v>
      </c>
      <c r="I7" s="318">
        <f>(C7*DATA!$D$5*DATA!$D$7)/1000000</f>
        <v>4.2931351817108727E-2</v>
      </c>
      <c r="J7" s="316">
        <f ca="1">SUM(F7:I7)</f>
        <v>38.37746633788678</v>
      </c>
      <c r="K7" s="319">
        <f>DATA!D9/1000000</f>
        <v>5.3295000000000003</v>
      </c>
      <c r="L7" s="316">
        <f>((D7*DATA!$D$23)/1000000)+((E7*DATA!$D$24)/1000000)</f>
        <v>2.542672</v>
      </c>
      <c r="M7" s="316">
        <f>K7+L7</f>
        <v>7.8721720000000008</v>
      </c>
      <c r="N7" s="316">
        <f ca="1">M7-J7</f>
        <v>-30.505294337886781</v>
      </c>
      <c r="O7" s="314">
        <v>1</v>
      </c>
      <c r="P7" s="316">
        <f ca="1">O7*N7</f>
        <v>-30.505294337886781</v>
      </c>
      <c r="Q7" s="316">
        <f ca="1">P7</f>
        <v>-30.505294337886781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2640</v>
      </c>
      <c r="D8" s="316">
        <f>C8*4/24</f>
        <v>440</v>
      </c>
      <c r="E8" s="316">
        <f t="shared" ref="E8:E32" si="0">C8-D8</f>
        <v>2200</v>
      </c>
      <c r="F8" s="314"/>
      <c r="G8" s="318">
        <f ca="1">DATA!$D$11/1000000</f>
        <v>0.71424460598645667</v>
      </c>
      <c r="H8" s="318">
        <f>C8*DATA!$D$5/1000000</f>
        <v>2.8620901211405818</v>
      </c>
      <c r="I8" s="318">
        <f>(C8*DATA!$D$5*DATA!$D$7)/1000000</f>
        <v>6.4397027725663095E-2</v>
      </c>
      <c r="J8" s="316">
        <f t="shared" ref="J8:J32" ca="1" si="1">SUM(F8:I8)</f>
        <v>3.6407317548527018</v>
      </c>
      <c r="K8" s="321"/>
      <c r="L8" s="316">
        <f>((D8*DATA!$D$23)/1000000)+((E8*DATA!$D$24)/1000000)</f>
        <v>3.8140079999999998</v>
      </c>
      <c r="M8" s="316">
        <f t="shared" ref="M8:M32" si="2">K8+L8</f>
        <v>3.8140079999999998</v>
      </c>
      <c r="N8" s="316">
        <f ca="1">M8-J8</f>
        <v>0.173276245147298</v>
      </c>
      <c r="O8" s="315">
        <f>1/(1+'[93]Asumsi I'!$C$3)^(KKF!A8)</f>
        <v>0.89285714285714279</v>
      </c>
      <c r="P8" s="316">
        <f ca="1">O8*N8</f>
        <v>0.15471093316723034</v>
      </c>
      <c r="Q8" s="316">
        <f ca="1">Q7+P8</f>
        <v>-30.350583404719551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2640</v>
      </c>
      <c r="D9" s="316">
        <f t="shared" ref="D9:D32" si="5">C9*4/24</f>
        <v>440</v>
      </c>
      <c r="E9" s="316">
        <f t="shared" si="0"/>
        <v>2200</v>
      </c>
      <c r="F9" s="314"/>
      <c r="G9" s="318">
        <f ca="1">DATA!$D$11/1000000</f>
        <v>0.71424460598645667</v>
      </c>
      <c r="H9" s="318">
        <f>C9*DATA!$D$5/1000000</f>
        <v>2.8620901211405818</v>
      </c>
      <c r="I9" s="318">
        <f>(C9*DATA!$D$5*DATA!$D$7)/1000000</f>
        <v>6.4397027725663095E-2</v>
      </c>
      <c r="J9" s="316">
        <f t="shared" ca="1" si="1"/>
        <v>3.6407317548527018</v>
      </c>
      <c r="K9" s="316"/>
      <c r="L9" s="316">
        <f>((D9*DATA!$D$23)/1000000)+((E9*DATA!$D$24)/1000000)</f>
        <v>3.8140079999999998</v>
      </c>
      <c r="M9" s="316">
        <f t="shared" si="2"/>
        <v>3.8140079999999998</v>
      </c>
      <c r="N9" s="316">
        <f t="shared" ref="N9:N32" ca="1" si="6">M9-J9</f>
        <v>0.173276245147298</v>
      </c>
      <c r="O9" s="322">
        <f>1/(1+'[93]Asumsi I'!$C$3)^(KKF!A9)</f>
        <v>0.79719387755102034</v>
      </c>
      <c r="P9" s="316">
        <f t="shared" ref="P9:P32" ca="1" si="7">O9*N9</f>
        <v>0.13813476175645567</v>
      </c>
      <c r="Q9" s="316">
        <f ca="1">Q8+P9</f>
        <v>-30.212448642963096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2640</v>
      </c>
      <c r="D10" s="316">
        <f t="shared" si="5"/>
        <v>440</v>
      </c>
      <c r="E10" s="316">
        <f t="shared" si="0"/>
        <v>2200</v>
      </c>
      <c r="F10" s="314"/>
      <c r="G10" s="318">
        <f ca="1">DATA!$D$11/1000000</f>
        <v>0.71424460598645667</v>
      </c>
      <c r="H10" s="318">
        <f>C10*DATA!$D$5/1000000</f>
        <v>2.8620901211405818</v>
      </c>
      <c r="I10" s="318">
        <f>(C10*DATA!$D$5*DATA!$D$7)/1000000</f>
        <v>6.4397027725663095E-2</v>
      </c>
      <c r="J10" s="316">
        <f t="shared" ca="1" si="1"/>
        <v>3.6407317548527018</v>
      </c>
      <c r="K10" s="314"/>
      <c r="L10" s="316">
        <f>((D10*DATA!$D$23)/1000000)+((E10*DATA!$D$24)/1000000)</f>
        <v>3.8140079999999998</v>
      </c>
      <c r="M10" s="316">
        <f t="shared" si="2"/>
        <v>3.8140079999999998</v>
      </c>
      <c r="N10" s="316">
        <f t="shared" ca="1" si="6"/>
        <v>0.173276245147298</v>
      </c>
      <c r="O10" s="315">
        <f>1/(1+'[93]Asumsi I'!$C$3)^(KKF!A10)</f>
        <v>0.71178024781341087</v>
      </c>
      <c r="P10" s="316">
        <f t="shared" ca="1" si="7"/>
        <v>0.1233346087111211</v>
      </c>
      <c r="Q10" s="316">
        <f t="shared" ref="Q10:Q30" ca="1" si="9">Q9+P10</f>
        <v>-30.089114034251974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2640</v>
      </c>
      <c r="D11" s="316">
        <f t="shared" si="5"/>
        <v>440</v>
      </c>
      <c r="E11" s="316">
        <f t="shared" si="0"/>
        <v>2200</v>
      </c>
      <c r="F11" s="314"/>
      <c r="G11" s="318">
        <f ca="1">DATA!$D$11/1000000</f>
        <v>0.71424460598645667</v>
      </c>
      <c r="H11" s="318">
        <f>C11*DATA!$D$5/1000000</f>
        <v>2.8620901211405818</v>
      </c>
      <c r="I11" s="318">
        <f>(C11*DATA!$D$5*DATA!$D$7)/1000000</f>
        <v>6.4397027725663095E-2</v>
      </c>
      <c r="J11" s="316">
        <f t="shared" ca="1" si="1"/>
        <v>3.6407317548527018</v>
      </c>
      <c r="K11" s="314"/>
      <c r="L11" s="316">
        <f>((D11*DATA!$D$23)/1000000)+((E11*DATA!$D$24)/1000000)</f>
        <v>3.8140079999999998</v>
      </c>
      <c r="M11" s="316">
        <f t="shared" si="2"/>
        <v>3.8140079999999998</v>
      </c>
      <c r="N11" s="316">
        <f t="shared" ca="1" si="6"/>
        <v>0.173276245147298</v>
      </c>
      <c r="O11" s="315">
        <f>1/(1+'[93]Asumsi I'!$C$3)^(KKF!A11)</f>
        <v>0.63551807840483121</v>
      </c>
      <c r="P11" s="316">
        <f t="shared" ca="1" si="7"/>
        <v>0.11012018634921529</v>
      </c>
      <c r="Q11" s="316">
        <f t="shared" ca="1" si="9"/>
        <v>-29.97899384790276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2640</v>
      </c>
      <c r="D12" s="316">
        <f t="shared" si="5"/>
        <v>440</v>
      </c>
      <c r="E12" s="316">
        <f t="shared" si="0"/>
        <v>2200</v>
      </c>
      <c r="F12" s="314"/>
      <c r="G12" s="318">
        <f ca="1">DATA!$D$11/1000000</f>
        <v>0.71424460598645667</v>
      </c>
      <c r="H12" s="318">
        <f>C12*DATA!$D$5/1000000</f>
        <v>2.8620901211405818</v>
      </c>
      <c r="I12" s="318">
        <f>(C12*DATA!$D$5*DATA!$D$7)/1000000</f>
        <v>6.4397027725663095E-2</v>
      </c>
      <c r="J12" s="316">
        <f t="shared" ca="1" si="1"/>
        <v>3.6407317548527018</v>
      </c>
      <c r="K12" s="314"/>
      <c r="L12" s="316">
        <f>((D12*DATA!$D$23)/1000000)+((E12*DATA!$D$24)/1000000)</f>
        <v>3.8140079999999998</v>
      </c>
      <c r="M12" s="316">
        <f t="shared" si="2"/>
        <v>3.8140079999999998</v>
      </c>
      <c r="N12" s="316">
        <f t="shared" ca="1" si="6"/>
        <v>0.173276245147298</v>
      </c>
      <c r="O12" s="315">
        <f>1/(1+'[93]Asumsi I'!$C$3)^(KKF!A12)</f>
        <v>0.56742685571859919</v>
      </c>
      <c r="P12" s="316">
        <f t="shared" ca="1" si="7"/>
        <v>9.8321594954656491E-2</v>
      </c>
      <c r="Q12" s="316">
        <f t="shared" ca="1" si="9"/>
        <v>-29.880672252948106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2640</v>
      </c>
      <c r="D13" s="316">
        <f t="shared" si="5"/>
        <v>440</v>
      </c>
      <c r="E13" s="316">
        <f t="shared" si="0"/>
        <v>2200</v>
      </c>
      <c r="F13" s="314"/>
      <c r="G13" s="318">
        <f ca="1">DATA!$D$11/1000000</f>
        <v>0.71424460598645667</v>
      </c>
      <c r="H13" s="318">
        <f>C13*DATA!$D$5/1000000</f>
        <v>2.8620901211405818</v>
      </c>
      <c r="I13" s="318">
        <f>(C13*DATA!$D$5*DATA!$D$7)/1000000</f>
        <v>6.4397027725663095E-2</v>
      </c>
      <c r="J13" s="316">
        <f t="shared" ca="1" si="1"/>
        <v>3.6407317548527018</v>
      </c>
      <c r="K13" s="314"/>
      <c r="L13" s="316">
        <f>((D13*DATA!$D$23)/1000000)+((E13*DATA!$D$24)/1000000)</f>
        <v>3.8140079999999998</v>
      </c>
      <c r="M13" s="316">
        <f t="shared" si="2"/>
        <v>3.8140079999999998</v>
      </c>
      <c r="N13" s="316">
        <f t="shared" ca="1" si="6"/>
        <v>0.173276245147298</v>
      </c>
      <c r="O13" s="315">
        <f>1/(1+'[93]Asumsi I'!$C$3)^(KKF!A13)</f>
        <v>0.50663112117732068</v>
      </c>
      <c r="P13" s="316">
        <f t="shared" ca="1" si="7"/>
        <v>8.7787138352371855E-2</v>
      </c>
      <c r="Q13" s="316">
        <f t="shared" ca="1" si="9"/>
        <v>-29.792885114595734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2640</v>
      </c>
      <c r="D14" s="316">
        <f t="shared" si="5"/>
        <v>440</v>
      </c>
      <c r="E14" s="316">
        <f t="shared" si="0"/>
        <v>2200</v>
      </c>
      <c r="F14" s="314"/>
      <c r="G14" s="318">
        <f ca="1">DATA!$D$11/1000000</f>
        <v>0.71424460598645667</v>
      </c>
      <c r="H14" s="318">
        <f>C14*DATA!$D$5/1000000</f>
        <v>2.8620901211405818</v>
      </c>
      <c r="I14" s="318">
        <f>(C14*DATA!$D$5*DATA!$D$7)/1000000</f>
        <v>6.4397027725663095E-2</v>
      </c>
      <c r="J14" s="316">
        <f t="shared" ca="1" si="1"/>
        <v>3.6407317548527018</v>
      </c>
      <c r="K14" s="314"/>
      <c r="L14" s="316">
        <f>((D14*DATA!$D$23)/1000000)+((E14*DATA!$D$24)/1000000)</f>
        <v>3.8140079999999998</v>
      </c>
      <c r="M14" s="316">
        <f t="shared" si="2"/>
        <v>3.8140079999999998</v>
      </c>
      <c r="N14" s="316">
        <f t="shared" ca="1" si="6"/>
        <v>0.173276245147298</v>
      </c>
      <c r="O14" s="315">
        <f>1/(1+'[93]Asumsi I'!$C$3)^(KKF!A14)</f>
        <v>0.45234921533689343</v>
      </c>
      <c r="P14" s="316">
        <f t="shared" ca="1" si="7"/>
        <v>7.8381373528903439E-2</v>
      </c>
      <c r="Q14" s="316">
        <f t="shared" ca="1" si="9"/>
        <v>-29.714503741066832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2640</v>
      </c>
      <c r="D15" s="316">
        <f t="shared" si="5"/>
        <v>440</v>
      </c>
      <c r="E15" s="316">
        <f t="shared" si="0"/>
        <v>2200</v>
      </c>
      <c r="F15" s="314"/>
      <c r="G15" s="318">
        <f ca="1">DATA!$D$11/1000000</f>
        <v>0.71424460598645667</v>
      </c>
      <c r="H15" s="318">
        <f>C15*DATA!$D$5/1000000</f>
        <v>2.8620901211405818</v>
      </c>
      <c r="I15" s="318">
        <f>(C15*DATA!$D$5*DATA!$D$7)/1000000</f>
        <v>6.4397027725663095E-2</v>
      </c>
      <c r="J15" s="316">
        <f t="shared" ca="1" si="1"/>
        <v>3.6407317548527018</v>
      </c>
      <c r="K15" s="314"/>
      <c r="L15" s="316">
        <f>((D15*DATA!$D$23)/1000000)+((E15*DATA!$D$24)/1000000)</f>
        <v>3.8140079999999998</v>
      </c>
      <c r="M15" s="316">
        <f t="shared" si="2"/>
        <v>3.8140079999999998</v>
      </c>
      <c r="N15" s="316">
        <f t="shared" ca="1" si="6"/>
        <v>0.173276245147298</v>
      </c>
      <c r="O15" s="315">
        <f>1/(1+'[93]Asumsi I'!$C$3)^(KKF!A15)</f>
        <v>0.4038832279793691</v>
      </c>
      <c r="P15" s="316">
        <f t="shared" ca="1" si="7"/>
        <v>6.9983369222235206E-2</v>
      </c>
      <c r="Q15" s="316">
        <f t="shared" ca="1" si="9"/>
        <v>-29.644520371844596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2640</v>
      </c>
      <c r="D16" s="316">
        <f t="shared" si="5"/>
        <v>440</v>
      </c>
      <c r="E16" s="316">
        <f t="shared" si="0"/>
        <v>2200</v>
      </c>
      <c r="F16" s="314"/>
      <c r="G16" s="318">
        <f ca="1">DATA!$D$11/1000000</f>
        <v>0.71424460598645667</v>
      </c>
      <c r="H16" s="318">
        <f>C16*DATA!$D$5/1000000</f>
        <v>2.8620901211405818</v>
      </c>
      <c r="I16" s="318">
        <f>(C16*DATA!$D$5*DATA!$D$7)/1000000</f>
        <v>6.4397027725663095E-2</v>
      </c>
      <c r="J16" s="316">
        <f t="shared" ca="1" si="1"/>
        <v>3.6407317548527018</v>
      </c>
      <c r="K16" s="314"/>
      <c r="L16" s="316">
        <f>((D16*DATA!$D$23)/1000000)+((E16*DATA!$D$24)/1000000)</f>
        <v>3.8140079999999998</v>
      </c>
      <c r="M16" s="316">
        <f t="shared" si="2"/>
        <v>3.8140079999999998</v>
      </c>
      <c r="N16" s="316">
        <f t="shared" ca="1" si="6"/>
        <v>0.173276245147298</v>
      </c>
      <c r="O16" s="315">
        <f>1/(1+'[93]Asumsi I'!$C$3)^(KKF!A16)</f>
        <v>0.36061002498157957</v>
      </c>
      <c r="P16" s="316">
        <f t="shared" ca="1" si="7"/>
        <v>6.2485151091281436E-2</v>
      </c>
      <c r="Q16" s="316">
        <f t="shared" ca="1" si="9"/>
        <v>-29.582035220753315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2640</v>
      </c>
      <c r="D17" s="316">
        <f t="shared" si="5"/>
        <v>440</v>
      </c>
      <c r="E17" s="316">
        <f t="shared" si="0"/>
        <v>2200</v>
      </c>
      <c r="F17" s="314"/>
      <c r="G17" s="318">
        <f ca="1">DATA!$D$11/1000000</f>
        <v>0.71424460598645667</v>
      </c>
      <c r="H17" s="318">
        <f>C17*DATA!$D$5/1000000</f>
        <v>2.8620901211405818</v>
      </c>
      <c r="I17" s="318">
        <f>(C17*DATA!$D$5*DATA!$D$7)/1000000</f>
        <v>6.4397027725663095E-2</v>
      </c>
      <c r="J17" s="316">
        <f t="shared" ca="1" si="1"/>
        <v>3.6407317548527018</v>
      </c>
      <c r="K17" s="314"/>
      <c r="L17" s="316">
        <f>((D17*DATA!$D$23)/1000000)+((E17*DATA!$D$24)/1000000)</f>
        <v>3.8140079999999998</v>
      </c>
      <c r="M17" s="316">
        <f t="shared" si="2"/>
        <v>3.8140079999999998</v>
      </c>
      <c r="N17" s="316">
        <f t="shared" ca="1" si="6"/>
        <v>0.173276245147298</v>
      </c>
      <c r="O17" s="315">
        <f>1/(1+'[93]Asumsi I'!$C$3)^(KKF!A17)</f>
        <v>0.32197323659069599</v>
      </c>
      <c r="P17" s="316">
        <f t="shared" ca="1" si="7"/>
        <v>5.5790313474358415E-2</v>
      </c>
      <c r="Q17" s="316">
        <f t="shared" ca="1" si="9"/>
        <v>-29.526244907278958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2640</v>
      </c>
      <c r="D18" s="316">
        <f t="shared" si="5"/>
        <v>440</v>
      </c>
      <c r="E18" s="316">
        <f t="shared" si="0"/>
        <v>2200</v>
      </c>
      <c r="F18" s="314"/>
      <c r="G18" s="318">
        <f ca="1">DATA!$D$11/1000000</f>
        <v>0.71424460598645667</v>
      </c>
      <c r="H18" s="318">
        <f>C18*DATA!$D$5/1000000</f>
        <v>2.8620901211405818</v>
      </c>
      <c r="I18" s="318">
        <f>(C18*DATA!$D$5*DATA!$D$7)/1000000</f>
        <v>6.4397027725663095E-2</v>
      </c>
      <c r="J18" s="316">
        <f t="shared" ca="1" si="1"/>
        <v>3.6407317548527018</v>
      </c>
      <c r="K18" s="314"/>
      <c r="L18" s="316">
        <f>((D18*DATA!$D$23)/1000000)+((E18*DATA!$D$24)/1000000)</f>
        <v>3.8140079999999998</v>
      </c>
      <c r="M18" s="316">
        <f t="shared" si="2"/>
        <v>3.8140079999999998</v>
      </c>
      <c r="N18" s="316">
        <f t="shared" ca="1" si="6"/>
        <v>0.173276245147298</v>
      </c>
      <c r="O18" s="315">
        <f>1/(1+'[93]Asumsi I'!$C$3)^(KKF!A18)</f>
        <v>0.28747610409883567</v>
      </c>
      <c r="P18" s="316">
        <f t="shared" ca="1" si="7"/>
        <v>4.9812779887820013E-2</v>
      </c>
      <c r="Q18" s="316">
        <f t="shared" ca="1" si="9"/>
        <v>-29.476432127391138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2640</v>
      </c>
      <c r="D19" s="316">
        <f t="shared" si="5"/>
        <v>440</v>
      </c>
      <c r="E19" s="316">
        <f t="shared" si="0"/>
        <v>2200</v>
      </c>
      <c r="F19" s="314"/>
      <c r="G19" s="318">
        <f ca="1">DATA!$D$11/1000000</f>
        <v>0.71424460598645667</v>
      </c>
      <c r="H19" s="318">
        <f>C19*DATA!$D$5/1000000</f>
        <v>2.8620901211405818</v>
      </c>
      <c r="I19" s="318">
        <f>(C19*DATA!$D$5*DATA!$D$7)/1000000</f>
        <v>6.4397027725663095E-2</v>
      </c>
      <c r="J19" s="316">
        <f t="shared" ca="1" si="1"/>
        <v>3.6407317548527018</v>
      </c>
      <c r="K19" s="314"/>
      <c r="L19" s="316">
        <f>((D19*DATA!$D$23)/1000000)+((E19*DATA!$D$24)/1000000)</f>
        <v>3.8140079999999998</v>
      </c>
      <c r="M19" s="316">
        <f t="shared" si="2"/>
        <v>3.8140079999999998</v>
      </c>
      <c r="N19" s="316">
        <f t="shared" ca="1" si="6"/>
        <v>0.173276245147298</v>
      </c>
      <c r="O19" s="315">
        <f>1/(1+'[93]Asumsi I'!$C$3)^(KKF!A19)</f>
        <v>0.25667509294538904</v>
      </c>
      <c r="P19" s="316">
        <f t="shared" ca="1" si="7"/>
        <v>4.4475696328410731E-2</v>
      </c>
      <c r="Q19" s="316">
        <f t="shared" ca="1" si="9"/>
        <v>-29.431956431062726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2640</v>
      </c>
      <c r="D20" s="316">
        <f t="shared" si="5"/>
        <v>440</v>
      </c>
      <c r="E20" s="316">
        <f t="shared" si="0"/>
        <v>2200</v>
      </c>
      <c r="F20" s="314"/>
      <c r="G20" s="318">
        <f ca="1">DATA!$D$11/1000000</f>
        <v>0.71424460598645667</v>
      </c>
      <c r="H20" s="318">
        <f>C20*DATA!$D$5/1000000</f>
        <v>2.8620901211405818</v>
      </c>
      <c r="I20" s="318">
        <f>(C20*DATA!$D$5*DATA!$D$7)/1000000</f>
        <v>6.4397027725663095E-2</v>
      </c>
      <c r="J20" s="316">
        <f t="shared" ca="1" si="1"/>
        <v>3.6407317548527018</v>
      </c>
      <c r="K20" s="314"/>
      <c r="L20" s="316">
        <f>((D20*DATA!$D$23)/1000000)+((E20*DATA!$D$24)/1000000)</f>
        <v>3.8140079999999998</v>
      </c>
      <c r="M20" s="316">
        <f t="shared" si="2"/>
        <v>3.8140079999999998</v>
      </c>
      <c r="N20" s="316">
        <f t="shared" ca="1" si="6"/>
        <v>0.173276245147298</v>
      </c>
      <c r="O20" s="315">
        <f>1/(1+'[93]Asumsi I'!$C$3)^(KKF!A20)</f>
        <v>0.22917419012981158</v>
      </c>
      <c r="P20" s="316">
        <f t="shared" ca="1" si="7"/>
        <v>3.971044315036671E-2</v>
      </c>
      <c r="Q20" s="316">
        <f t="shared" ca="1" si="9"/>
        <v>-29.392245987912361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2640</v>
      </c>
      <c r="D21" s="316">
        <f t="shared" si="5"/>
        <v>440</v>
      </c>
      <c r="E21" s="316">
        <f t="shared" si="0"/>
        <v>2200</v>
      </c>
      <c r="F21" s="314"/>
      <c r="G21" s="318">
        <f ca="1">DATA!$D$11/1000000</f>
        <v>0.71424460598645667</v>
      </c>
      <c r="H21" s="318">
        <f>C21*DATA!$D$5/1000000</f>
        <v>2.8620901211405818</v>
      </c>
      <c r="I21" s="318">
        <f>(C21*DATA!$D$5*DATA!$D$7)/1000000</f>
        <v>6.4397027725663095E-2</v>
      </c>
      <c r="J21" s="316">
        <f t="shared" ca="1" si="1"/>
        <v>3.6407317548527018</v>
      </c>
      <c r="K21" s="314"/>
      <c r="L21" s="316">
        <f>((D21*DATA!$D$23)/1000000)+((E21*DATA!$D$24)/1000000)</f>
        <v>3.8140079999999998</v>
      </c>
      <c r="M21" s="316">
        <f t="shared" si="2"/>
        <v>3.8140079999999998</v>
      </c>
      <c r="N21" s="316">
        <f t="shared" ca="1" si="6"/>
        <v>0.173276245147298</v>
      </c>
      <c r="O21" s="315">
        <f>1/(1+'[93]Asumsi I'!$C$3)^(KKF!A21)</f>
        <v>0.20461981261590317</v>
      </c>
      <c r="P21" s="316">
        <f t="shared" ca="1" si="7"/>
        <v>3.5455752812827417E-2</v>
      </c>
      <c r="Q21" s="316">
        <f t="shared" ca="1" si="9"/>
        <v>-29.356790235099535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2640</v>
      </c>
      <c r="D22" s="316">
        <f t="shared" si="5"/>
        <v>440</v>
      </c>
      <c r="E22" s="316">
        <f t="shared" si="0"/>
        <v>2200</v>
      </c>
      <c r="F22" s="314"/>
      <c r="G22" s="318">
        <f ca="1">DATA!$D$11/1000000</f>
        <v>0.71424460598645667</v>
      </c>
      <c r="H22" s="318">
        <f>C22*DATA!$D$5/1000000</f>
        <v>2.8620901211405818</v>
      </c>
      <c r="I22" s="318">
        <f>(C22*DATA!$D$5*DATA!$D$7)/1000000</f>
        <v>6.4397027725663095E-2</v>
      </c>
      <c r="J22" s="316">
        <f t="shared" ca="1" si="1"/>
        <v>3.6407317548527018</v>
      </c>
      <c r="K22" s="314"/>
      <c r="L22" s="316">
        <f>((D22*DATA!$D$23)/1000000)+((E22*DATA!$D$24)/1000000)</f>
        <v>3.8140079999999998</v>
      </c>
      <c r="M22" s="316">
        <f t="shared" si="2"/>
        <v>3.8140079999999998</v>
      </c>
      <c r="N22" s="316">
        <f t="shared" ca="1" si="6"/>
        <v>0.173276245147298</v>
      </c>
      <c r="O22" s="315">
        <f>1/(1+'[93]Asumsi I'!$C$3)^(KKF!A22)</f>
        <v>0.18269626126419927</v>
      </c>
      <c r="P22" s="316">
        <f t="shared" ca="1" si="7"/>
        <v>3.1656922154310201E-2</v>
      </c>
      <c r="Q22" s="316">
        <f t="shared" ca="1" si="9"/>
        <v>-29.325133312945223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2640</v>
      </c>
      <c r="D23" s="316">
        <f t="shared" si="5"/>
        <v>440</v>
      </c>
      <c r="E23" s="316">
        <f t="shared" si="0"/>
        <v>2200</v>
      </c>
      <c r="F23" s="314"/>
      <c r="G23" s="318">
        <f ca="1">DATA!$D$11/1000000</f>
        <v>0.71424460598645667</v>
      </c>
      <c r="H23" s="318">
        <f>C23*DATA!$D$5/1000000</f>
        <v>2.8620901211405818</v>
      </c>
      <c r="I23" s="318">
        <f>(C23*DATA!$D$5*DATA!$D$7)/1000000</f>
        <v>6.4397027725663095E-2</v>
      </c>
      <c r="J23" s="316">
        <f t="shared" ca="1" si="1"/>
        <v>3.6407317548527018</v>
      </c>
      <c r="K23" s="314"/>
      <c r="L23" s="316">
        <f>((D23*DATA!$D$23)/1000000)+((E23*DATA!$D$24)/1000000)</f>
        <v>3.8140079999999998</v>
      </c>
      <c r="M23" s="316">
        <f t="shared" si="2"/>
        <v>3.8140079999999998</v>
      </c>
      <c r="N23" s="316">
        <f t="shared" ca="1" si="6"/>
        <v>0.173276245147298</v>
      </c>
      <c r="O23" s="315">
        <f>1/(1+'[93]Asumsi I'!$C$3)^(KKF!A23)</f>
        <v>0.16312166184303503</v>
      </c>
      <c r="P23" s="316">
        <f t="shared" ca="1" si="7"/>
        <v>2.8265109066348385E-2</v>
      </c>
      <c r="Q23" s="316">
        <f t="shared" ca="1" si="9"/>
        <v>-29.296868203878873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2640</v>
      </c>
      <c r="D24" s="316">
        <f t="shared" si="5"/>
        <v>440</v>
      </c>
      <c r="E24" s="316">
        <f t="shared" si="0"/>
        <v>2200</v>
      </c>
      <c r="F24" s="314"/>
      <c r="G24" s="318">
        <f ca="1">DATA!$D$11/1000000</f>
        <v>0.71424460598645667</v>
      </c>
      <c r="H24" s="318">
        <f>C24*DATA!$D$5/1000000</f>
        <v>2.8620901211405818</v>
      </c>
      <c r="I24" s="318">
        <f>(C24*DATA!$D$5*DATA!$D$7)/1000000</f>
        <v>6.4397027725663095E-2</v>
      </c>
      <c r="J24" s="316">
        <f t="shared" ca="1" si="1"/>
        <v>3.6407317548527018</v>
      </c>
      <c r="K24" s="314"/>
      <c r="L24" s="316">
        <f>((D24*DATA!$D$23)/1000000)+((E24*DATA!$D$24)/1000000)</f>
        <v>3.8140079999999998</v>
      </c>
      <c r="M24" s="316">
        <f t="shared" si="2"/>
        <v>3.8140079999999998</v>
      </c>
      <c r="N24" s="316">
        <f t="shared" ca="1" si="6"/>
        <v>0.173276245147298</v>
      </c>
      <c r="O24" s="315">
        <f>1/(1+'[93]Asumsi I'!$C$3)^(KKF!A24)</f>
        <v>0.14564434093128129</v>
      </c>
      <c r="P24" s="316">
        <f t="shared" ca="1" si="7"/>
        <v>2.5236704523525343E-2</v>
      </c>
      <c r="Q24" s="316">
        <f t="shared" ca="1" si="9"/>
        <v>-29.271631499355347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2640</v>
      </c>
      <c r="D25" s="316">
        <f t="shared" si="5"/>
        <v>440</v>
      </c>
      <c r="E25" s="316">
        <f t="shared" si="0"/>
        <v>2200</v>
      </c>
      <c r="F25" s="314"/>
      <c r="G25" s="318">
        <f ca="1">DATA!$D$11/1000000</f>
        <v>0.71424460598645667</v>
      </c>
      <c r="H25" s="318">
        <f>C25*DATA!$D$5/1000000</f>
        <v>2.8620901211405818</v>
      </c>
      <c r="I25" s="318">
        <f>(C25*DATA!$D$5*DATA!$D$7)/1000000</f>
        <v>6.4397027725663095E-2</v>
      </c>
      <c r="J25" s="316">
        <f t="shared" ca="1" si="1"/>
        <v>3.6407317548527018</v>
      </c>
      <c r="K25" s="314"/>
      <c r="L25" s="316">
        <f>((D25*DATA!$D$23)/1000000)+((E25*DATA!$D$24)/1000000)</f>
        <v>3.8140079999999998</v>
      </c>
      <c r="M25" s="316">
        <f t="shared" si="2"/>
        <v>3.8140079999999998</v>
      </c>
      <c r="N25" s="316">
        <f t="shared" ca="1" si="6"/>
        <v>0.173276245147298</v>
      </c>
      <c r="O25" s="315">
        <f>1/(1+'[93]Asumsi I'!$C$3)^(KKF!A25)</f>
        <v>0.13003959011721541</v>
      </c>
      <c r="P25" s="316">
        <f t="shared" ca="1" si="7"/>
        <v>2.253277189600477E-2</v>
      </c>
      <c r="Q25" s="316">
        <f t="shared" ca="1" si="9"/>
        <v>-29.249098727459344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2640</v>
      </c>
      <c r="D26" s="316">
        <f t="shared" si="5"/>
        <v>440</v>
      </c>
      <c r="E26" s="316">
        <f t="shared" si="0"/>
        <v>2200</v>
      </c>
      <c r="F26" s="314"/>
      <c r="G26" s="318">
        <f ca="1">DATA!$D$11/1000000</f>
        <v>0.71424460598645667</v>
      </c>
      <c r="H26" s="318">
        <f>C26*DATA!$D$5/1000000</f>
        <v>2.8620901211405818</v>
      </c>
      <c r="I26" s="318">
        <f>(C26*DATA!$D$5*DATA!$D$7)/1000000</f>
        <v>6.4397027725663095E-2</v>
      </c>
      <c r="J26" s="316">
        <f t="shared" ca="1" si="1"/>
        <v>3.6407317548527018</v>
      </c>
      <c r="K26" s="314"/>
      <c r="L26" s="316">
        <f>((D26*DATA!$D$23)/1000000)+((E26*DATA!$D$24)/1000000)</f>
        <v>3.8140079999999998</v>
      </c>
      <c r="M26" s="316">
        <f t="shared" si="2"/>
        <v>3.8140079999999998</v>
      </c>
      <c r="N26" s="316">
        <f t="shared" ca="1" si="6"/>
        <v>0.173276245147298</v>
      </c>
      <c r="O26" s="315">
        <f>1/(1+'[93]Asumsi I'!$C$3)^(KKF!A26)</f>
        <v>0.1161067768903709</v>
      </c>
      <c r="P26" s="316">
        <f t="shared" ca="1" si="7"/>
        <v>2.0118546335718541E-2</v>
      </c>
      <c r="Q26" s="316">
        <f t="shared" ca="1" si="9"/>
        <v>-29.228980181123625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2640</v>
      </c>
      <c r="D27" s="316">
        <f t="shared" si="5"/>
        <v>440</v>
      </c>
      <c r="E27" s="316">
        <f t="shared" si="0"/>
        <v>2200</v>
      </c>
      <c r="F27" s="314"/>
      <c r="G27" s="318">
        <f ca="1">DATA!$D$11/1000000</f>
        <v>0.71424460598645667</v>
      </c>
      <c r="H27" s="318">
        <f>C27*DATA!$D$5/1000000</f>
        <v>2.8620901211405818</v>
      </c>
      <c r="I27" s="318">
        <f>(C27*DATA!$D$5*DATA!$D$7)/1000000</f>
        <v>6.4397027725663095E-2</v>
      </c>
      <c r="J27" s="316">
        <f t="shared" ca="1" si="1"/>
        <v>3.6407317548527018</v>
      </c>
      <c r="K27" s="314"/>
      <c r="L27" s="316">
        <f>((D27*DATA!$D$23)/1000000)+((E27*DATA!$D$24)/1000000)</f>
        <v>3.8140079999999998</v>
      </c>
      <c r="M27" s="316">
        <f t="shared" si="2"/>
        <v>3.8140079999999998</v>
      </c>
      <c r="N27" s="316">
        <f t="shared" ca="1" si="6"/>
        <v>0.173276245147298</v>
      </c>
      <c r="O27" s="315">
        <f>1/(1+'[93]Asumsi I'!$C$3)^(KKF!A27)</f>
        <v>0.1036667650806883</v>
      </c>
      <c r="P27" s="316">
        <f t="shared" ca="1" si="7"/>
        <v>1.7962987799748698E-2</v>
      </c>
      <c r="Q27" s="316">
        <f t="shared" ca="1" si="9"/>
        <v>-29.211017193323876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2640</v>
      </c>
      <c r="D28" s="316">
        <f t="shared" si="5"/>
        <v>440</v>
      </c>
      <c r="E28" s="316">
        <f t="shared" si="0"/>
        <v>2200</v>
      </c>
      <c r="F28" s="314"/>
      <c r="G28" s="318">
        <f ca="1">DATA!$D$11/1000000</f>
        <v>0.71424460598645667</v>
      </c>
      <c r="H28" s="318">
        <f>C28*DATA!$D$5/1000000</f>
        <v>2.8620901211405818</v>
      </c>
      <c r="I28" s="318">
        <f>(C28*DATA!$D$5*DATA!$D$7)/1000000</f>
        <v>6.4397027725663095E-2</v>
      </c>
      <c r="J28" s="316">
        <f t="shared" ca="1" si="1"/>
        <v>3.6407317548527018</v>
      </c>
      <c r="K28" s="314"/>
      <c r="L28" s="316">
        <f>((D28*DATA!$D$23)/1000000)+((E28*DATA!$D$24)/1000000)</f>
        <v>3.8140079999999998</v>
      </c>
      <c r="M28" s="316">
        <f t="shared" si="2"/>
        <v>3.8140079999999998</v>
      </c>
      <c r="N28" s="316">
        <f t="shared" ca="1" si="6"/>
        <v>0.173276245147298</v>
      </c>
      <c r="O28" s="315">
        <f>1/(1+'[93]Asumsi I'!$C$3)^(KKF!A28)</f>
        <v>9.2559611679185971E-2</v>
      </c>
      <c r="P28" s="316">
        <f t="shared" ca="1" si="7"/>
        <v>1.6038381964061335E-2</v>
      </c>
      <c r="Q28" s="316">
        <f t="shared" ca="1" si="9"/>
        <v>-29.194978811359814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2640</v>
      </c>
      <c r="D29" s="316">
        <f t="shared" si="5"/>
        <v>440</v>
      </c>
      <c r="E29" s="316">
        <f t="shared" si="0"/>
        <v>2200</v>
      </c>
      <c r="F29" s="314"/>
      <c r="G29" s="318">
        <f ca="1">DATA!$D$11/1000000</f>
        <v>0.71424460598645667</v>
      </c>
      <c r="H29" s="318">
        <f>C29*DATA!$D$5/1000000</f>
        <v>2.8620901211405818</v>
      </c>
      <c r="I29" s="318">
        <f>(C29*DATA!$D$5*DATA!$D$7)/1000000</f>
        <v>6.4397027725663095E-2</v>
      </c>
      <c r="J29" s="316">
        <f t="shared" ca="1" si="1"/>
        <v>3.6407317548527018</v>
      </c>
      <c r="K29" s="314"/>
      <c r="L29" s="316">
        <f>((D29*DATA!$D$23)/1000000)+((E29*DATA!$D$24)/1000000)</f>
        <v>3.8140079999999998</v>
      </c>
      <c r="M29" s="316">
        <f t="shared" si="2"/>
        <v>3.8140079999999998</v>
      </c>
      <c r="N29" s="316">
        <f t="shared" ca="1" si="6"/>
        <v>0.173276245147298</v>
      </c>
      <c r="O29" s="315">
        <f>1/(1+'[93]Asumsi I'!$C$3)^(KKF!A29)</f>
        <v>8.2642510427844609E-2</v>
      </c>
      <c r="P29" s="316">
        <f t="shared" ca="1" si="7"/>
        <v>1.4319983896483333E-2</v>
      </c>
      <c r="Q29" s="316">
        <f t="shared" ca="1" si="9"/>
        <v>-29.180658827463329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2640</v>
      </c>
      <c r="D30" s="316">
        <f t="shared" si="5"/>
        <v>440</v>
      </c>
      <c r="E30" s="316">
        <f t="shared" si="0"/>
        <v>2200</v>
      </c>
      <c r="F30" s="314"/>
      <c r="G30" s="318">
        <f ca="1">DATA!$D$11/1000000</f>
        <v>0.71424460598645667</v>
      </c>
      <c r="H30" s="318">
        <f>C30*DATA!$D$5/1000000</f>
        <v>2.8620901211405818</v>
      </c>
      <c r="I30" s="318">
        <f>(C30*DATA!$D$5*DATA!$D$7)/1000000</f>
        <v>6.4397027725663095E-2</v>
      </c>
      <c r="J30" s="316">
        <f t="shared" ca="1" si="1"/>
        <v>3.6407317548527018</v>
      </c>
      <c r="K30" s="314"/>
      <c r="L30" s="316">
        <f>((D30*DATA!$D$23)/1000000)+((E30*DATA!$D$24)/1000000)</f>
        <v>3.8140079999999998</v>
      </c>
      <c r="M30" s="316">
        <f t="shared" si="2"/>
        <v>3.8140079999999998</v>
      </c>
      <c r="N30" s="316">
        <f t="shared" ca="1" si="6"/>
        <v>0.173276245147298</v>
      </c>
      <c r="O30" s="315">
        <f>1/(1+'[93]Asumsi I'!$C$3)^(KKF!A30)</f>
        <v>7.3787955739146982E-2</v>
      </c>
      <c r="P30" s="316">
        <f t="shared" ca="1" si="7"/>
        <v>1.2785699907574407E-2</v>
      </c>
      <c r="Q30" s="316">
        <f t="shared" ca="1" si="9"/>
        <v>-29.167873127555755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2640</v>
      </c>
      <c r="D31" s="316">
        <f t="shared" si="5"/>
        <v>440</v>
      </c>
      <c r="E31" s="316">
        <f t="shared" si="0"/>
        <v>2200</v>
      </c>
      <c r="F31" s="314"/>
      <c r="G31" s="318">
        <f ca="1">DATA!$D$11/1000000</f>
        <v>0.71424460598645667</v>
      </c>
      <c r="H31" s="318">
        <f>C31*DATA!$D$5/1000000</f>
        <v>2.8620901211405818</v>
      </c>
      <c r="I31" s="318">
        <f>(C31*DATA!$D$5*DATA!$D$7)/1000000</f>
        <v>6.4397027725663095E-2</v>
      </c>
      <c r="J31" s="316">
        <f t="shared" ca="1" si="1"/>
        <v>3.6407317548527018</v>
      </c>
      <c r="K31" s="314"/>
      <c r="L31" s="316">
        <f>((D31*DATA!$D$23)/1000000)+((E31*DATA!$D$24)/1000000)</f>
        <v>3.8140079999999998</v>
      </c>
      <c r="M31" s="316">
        <f t="shared" si="2"/>
        <v>3.8140079999999998</v>
      </c>
      <c r="N31" s="316">
        <f t="shared" ca="1" si="6"/>
        <v>0.173276245147298</v>
      </c>
      <c r="O31" s="315">
        <f>1/(1+'[93]Asumsi I'!$C$3)^(KKF!A31)</f>
        <v>6.5882103338524081E-2</v>
      </c>
      <c r="P31" s="316">
        <f t="shared" ca="1" si="7"/>
        <v>1.1415803488905718E-2</v>
      </c>
      <c r="Q31" s="316">
        <f ca="1">Q30+P31</f>
        <v>-29.156457324066849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2640</v>
      </c>
      <c r="D32" s="316">
        <f t="shared" si="5"/>
        <v>440</v>
      </c>
      <c r="E32" s="316">
        <f t="shared" si="0"/>
        <v>2200</v>
      </c>
      <c r="F32" s="314"/>
      <c r="G32" s="318">
        <f ca="1">DATA!$D$11/1000000</f>
        <v>0.71424460598645667</v>
      </c>
      <c r="H32" s="318">
        <f>C32*DATA!$D$5/1000000</f>
        <v>2.8620901211405818</v>
      </c>
      <c r="I32" s="318">
        <f>(C32*DATA!$D$5*DATA!$D$7)/1000000</f>
        <v>6.4397027725663095E-2</v>
      </c>
      <c r="J32" s="316">
        <f t="shared" ca="1" si="1"/>
        <v>3.6407317548527018</v>
      </c>
      <c r="K32" s="314"/>
      <c r="L32" s="316">
        <f>((D32*DATA!$D$23)/1000000)+((E32*DATA!$D$24)/1000000)</f>
        <v>3.8140079999999998</v>
      </c>
      <c r="M32" s="316">
        <f t="shared" si="2"/>
        <v>3.8140079999999998</v>
      </c>
      <c r="N32" s="316">
        <f t="shared" ca="1" si="6"/>
        <v>0.173276245147298</v>
      </c>
      <c r="O32" s="315">
        <f>1/(1+'[93]Asumsi I'!$C$3)^(KKF!A32)</f>
        <v>5.8823306552253637E-2</v>
      </c>
      <c r="P32" s="316">
        <f t="shared" ca="1" si="7"/>
        <v>1.0192681686522962E-2</v>
      </c>
      <c r="Q32" s="316">
        <f ca="1">Q31+P32</f>
        <v>-29.146264642380327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2" t="s">
        <v>1374</v>
      </c>
      <c r="G33" s="602"/>
      <c r="H33" s="602"/>
      <c r="I33" s="324"/>
      <c r="J33" s="325">
        <f ca="1">SUM(J7:J32)</f>
        <v>129.39576020920444</v>
      </c>
      <c r="K33" s="602" t="s">
        <v>1375</v>
      </c>
      <c r="L33" s="602"/>
      <c r="M33" s="325">
        <f>SUM(M7:M32)</f>
        <v>103.22237200000002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221.48140563216273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0.79772607566980702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-26.023450573553863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-0.11509848070439888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77"/>
  <sheetViews>
    <sheetView showGridLines="0" zoomScale="70" zoomScaleNormal="70" zoomScaleSheetLayoutView="70" workbookViewId="0">
      <pane ySplit="13" topLeftCell="A14" activePane="bottomLeft" state="frozen"/>
      <selection activeCell="H1093" sqref="H1093"/>
      <selection pane="bottomLeft" activeCell="G16" sqref="G16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5" t="s">
        <v>1036</v>
      </c>
      <c r="P3" s="625"/>
      <c r="Q3" s="346"/>
      <c r="T3" s="344"/>
      <c r="U3" s="345" t="s">
        <v>1041</v>
      </c>
      <c r="V3" s="344"/>
    </row>
    <row r="4" spans="1:22" ht="15.75" customHeight="1">
      <c r="B4" s="626" t="s">
        <v>1023</v>
      </c>
      <c r="C4" s="626"/>
      <c r="D4" s="626"/>
      <c r="E4" s="626"/>
      <c r="F4" s="626"/>
      <c r="G4" s="626"/>
      <c r="H4" s="626"/>
      <c r="I4" s="626"/>
      <c r="J4" s="626"/>
      <c r="K4" s="626"/>
      <c r="O4" s="625"/>
      <c r="P4" s="625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09" t="str">
        <f>DATA!D14</f>
        <v>MASJID AL-FALAH</v>
      </c>
      <c r="H6" s="609"/>
      <c r="I6" s="609"/>
      <c r="J6" s="609"/>
      <c r="K6" s="609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1631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8" t="s">
        <v>0</v>
      </c>
      <c r="C11" s="630" t="s">
        <v>1</v>
      </c>
      <c r="D11" s="619" t="s">
        <v>42</v>
      </c>
      <c r="E11" s="619" t="s">
        <v>43</v>
      </c>
      <c r="F11" s="619" t="s">
        <v>2</v>
      </c>
      <c r="G11" s="633" t="s">
        <v>41</v>
      </c>
      <c r="H11" s="619" t="s">
        <v>3</v>
      </c>
      <c r="I11" s="619"/>
      <c r="J11" s="619"/>
      <c r="K11" s="620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9"/>
      <c r="C12" s="631"/>
      <c r="D12" s="623"/>
      <c r="E12" s="623"/>
      <c r="F12" s="623"/>
      <c r="G12" s="634"/>
      <c r="H12" s="621" t="s">
        <v>46</v>
      </c>
      <c r="I12" s="621" t="s">
        <v>5</v>
      </c>
      <c r="J12" s="623" t="s">
        <v>47</v>
      </c>
      <c r="K12" s="624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9"/>
      <c r="C13" s="632"/>
      <c r="D13" s="623"/>
      <c r="E13" s="623"/>
      <c r="F13" s="623"/>
      <c r="G13" s="635"/>
      <c r="H13" s="622"/>
      <c r="I13" s="622"/>
      <c r="J13" s="623"/>
      <c r="K13" s="624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1613</v>
      </c>
      <c r="C17" s="367" t="s">
        <v>1628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0</v>
      </c>
      <c r="J17" s="361">
        <f t="shared" ref="J17" ca="1" si="10">IF(D17="JASA",G17*F17,0)</f>
        <v>0</v>
      </c>
      <c r="K17" s="362">
        <f t="shared" ref="K17" ca="1" si="11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65" customFormat="1">
      <c r="A18" s="336"/>
      <c r="B18" s="498"/>
      <c r="C18" s="499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" ca="1" si="12">IF(OR(D18="MDU",D18="MDU-KD"),(IF($O$3="RAB NON MDU","PLN KD",G18*F18)),0)</f>
        <v>0</v>
      </c>
      <c r="I18" s="361">
        <f t="shared" ref="I18" ca="1" si="13">IF(D18="HDW",G18*F18,0)</f>
        <v>0</v>
      </c>
      <c r="J18" s="361">
        <f t="shared" ref="J18" ca="1" si="14">IF(D18="JASA",G18*F18,0)</f>
        <v>0</v>
      </c>
      <c r="K18" s="362">
        <f t="shared" ref="K18" ca="1" si="15">SUM(H18:J18)</f>
        <v>0</v>
      </c>
      <c r="L18" s="342"/>
      <c r="M18" s="342"/>
      <c r="N18" s="369"/>
      <c r="O18" s="344"/>
      <c r="P18" s="397"/>
      <c r="Q18" s="344"/>
    </row>
    <row r="19" spans="1:22">
      <c r="B19" s="366" t="s">
        <v>1614</v>
      </c>
      <c r="C19" s="367" t="s">
        <v>1616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501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ref="H19:H34" ca="1" si="16">IF(OR(D19="MDU",D19="MDU-KD"),(IF($O$3="RAB NON MDU","PLN KD",G19*F19)),0)</f>
        <v>0</v>
      </c>
      <c r="I19" s="361">
        <f t="shared" ref="I19:I34" ca="1" si="17">IF(D19="HDW",G19*F19,0)</f>
        <v>0</v>
      </c>
      <c r="J19" s="361">
        <f t="shared" ref="J19:J34" ca="1" si="18">IF(D19="JASA",G19*F19,0)</f>
        <v>0</v>
      </c>
      <c r="K19" s="362">
        <f t="shared" ref="K19:K34" ca="1" si="19">SUM(H19:J19)</f>
        <v>0</v>
      </c>
    </row>
    <row r="20" spans="1:22">
      <c r="B20" s="494"/>
      <c r="C20" s="497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501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:H27" ca="1" si="20">IF(OR(D20="MDU",D20="MDU-KD"),(IF($O$3="RAB NON MDU","PLN KD",G20*F20)),0)</f>
        <v>0</v>
      </c>
      <c r="I20" s="361">
        <f t="shared" ref="I20:I27" ca="1" si="21">IF(D20="HDW",G20*F20,0)</f>
        <v>0</v>
      </c>
      <c r="J20" s="361">
        <f t="shared" ref="J20:J27" ca="1" si="22">IF(D20="JASA",G20*F20,0)</f>
        <v>0</v>
      </c>
      <c r="K20" s="362">
        <f t="shared" ref="K20:K27" ca="1" si="23">SUM(H20:J20)</f>
        <v>0</v>
      </c>
    </row>
    <row r="21" spans="1:22">
      <c r="B21" s="494" t="s">
        <v>1035</v>
      </c>
      <c r="C21" s="497" t="s">
        <v>1632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501">
        <v>1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20"/>
        <v>0</v>
      </c>
      <c r="I21" s="361">
        <f t="shared" ca="1" si="21"/>
        <v>0</v>
      </c>
      <c r="J21" s="361">
        <f t="shared" ca="1" si="22"/>
        <v>0</v>
      </c>
      <c r="K21" s="362">
        <f t="shared" ca="1" si="23"/>
        <v>0</v>
      </c>
    </row>
    <row r="22" spans="1:22">
      <c r="B22" s="494">
        <v>1</v>
      </c>
      <c r="C22" s="497" t="s">
        <v>532</v>
      </c>
      <c r="D22" s="358" t="str">
        <f ca="1">IF(ISERROR(OFFSET('HARGA SATUAN'!$D$6,MATCH(RAB!C22,'HARGA SATUAN'!$C$7:$C$1492,0),0)),"",OFFSET('HARGA SATUAN'!$D$6,MATCH(RAB!C22,'HARGA SATUAN'!$C$7:$C$1492,0),0))</f>
        <v>MDU-KD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501">
        <f>F21*1</f>
        <v>1</v>
      </c>
      <c r="G22" s="360">
        <f ca="1">IF(ISERROR(OFFSET('HARGA SATUAN'!$I$6,MATCH(RAB!C22,'HARGA SATUAN'!$C$7:$C$1492,0),0)),0,OFFSET('HARGA SATUAN'!$I$6,MATCH(RAB!C22,'HARGA SATUAN'!$C$7:$C$1492,0),0))</f>
        <v>27845400</v>
      </c>
      <c r="H22" s="361">
        <f t="shared" ca="1" si="20"/>
        <v>27845400</v>
      </c>
      <c r="I22" s="361">
        <f t="shared" ca="1" si="21"/>
        <v>0</v>
      </c>
      <c r="J22" s="361">
        <f t="shared" ca="1" si="22"/>
        <v>0</v>
      </c>
      <c r="K22" s="362">
        <f t="shared" ca="1" si="23"/>
        <v>27845400</v>
      </c>
    </row>
    <row r="23" spans="1:22">
      <c r="B23" s="494">
        <v>2</v>
      </c>
      <c r="C23" s="497" t="s">
        <v>1633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1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20"/>
        <v>0</v>
      </c>
      <c r="I23" s="361">
        <f t="shared" ca="1" si="21"/>
        <v>0</v>
      </c>
      <c r="J23" s="361">
        <f t="shared" ca="1" si="22"/>
        <v>0</v>
      </c>
      <c r="K23" s="362">
        <f t="shared" ca="1" si="23"/>
        <v>0</v>
      </c>
    </row>
    <row r="24" spans="1:22">
      <c r="B24" s="494"/>
      <c r="C24" s="497" t="s">
        <v>65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501">
        <f>F21*2</f>
        <v>2</v>
      </c>
      <c r="G24" s="360">
        <f ca="1">IF(ISERROR(OFFSET('HARGA SATUAN'!$I$6,MATCH(RAB!C24,'HARGA SATUAN'!$C$7:$C$1492,0),0)),0,OFFSET('HARGA SATUAN'!$I$6,MATCH(RAB!C24,'HARGA SATUAN'!$C$7:$C$1492,0),0))</f>
        <v>14200</v>
      </c>
      <c r="H24" s="361">
        <f t="shared" ca="1" si="20"/>
        <v>28400</v>
      </c>
      <c r="I24" s="361">
        <f t="shared" ca="1" si="21"/>
        <v>0</v>
      </c>
      <c r="J24" s="361">
        <f t="shared" ca="1" si="22"/>
        <v>0</v>
      </c>
      <c r="K24" s="362">
        <f t="shared" ca="1" si="23"/>
        <v>28400</v>
      </c>
    </row>
    <row r="25" spans="1:22">
      <c r="B25" s="494"/>
      <c r="C25" s="109" t="s">
        <v>1402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501">
        <f>F21*2</f>
        <v>2</v>
      </c>
      <c r="G25" s="360">
        <f ca="1">IF(ISERROR(OFFSET('HARGA SATUAN'!$I$6,MATCH(RAB!C25,'HARGA SATUAN'!$C$7:$C$1492,0),0)),0,OFFSET('HARGA SATUAN'!$I$6,MATCH(RAB!C25,'HARGA SATUAN'!$C$7:$C$1492,0),0))</f>
        <v>53300</v>
      </c>
      <c r="H25" s="361">
        <f t="shared" ca="1" si="20"/>
        <v>106600</v>
      </c>
      <c r="I25" s="361">
        <f t="shared" ca="1" si="21"/>
        <v>0</v>
      </c>
      <c r="J25" s="361">
        <f t="shared" ca="1" si="22"/>
        <v>0</v>
      </c>
      <c r="K25" s="362">
        <f t="shared" ca="1" si="23"/>
        <v>106600</v>
      </c>
    </row>
    <row r="26" spans="1:22">
      <c r="B26" s="494">
        <v>3</v>
      </c>
      <c r="C26" s="497" t="s">
        <v>207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F21*1</f>
        <v>1</v>
      </c>
      <c r="G26" s="360">
        <f ca="1">IF(ISERROR(OFFSET('HARGA SATUAN'!$I$6,MATCH(RAB!C26,'HARGA SATUAN'!$C$7:$C$1492,0),0)),0,OFFSET('HARGA SATUAN'!$I$6,MATCH(RAB!C26,'HARGA SATUAN'!$C$7:$C$1492,0),0))</f>
        <v>87000</v>
      </c>
      <c r="H26" s="361">
        <f t="shared" ca="1" si="20"/>
        <v>0</v>
      </c>
      <c r="I26" s="361">
        <f t="shared" ca="1" si="21"/>
        <v>87000</v>
      </c>
      <c r="J26" s="361">
        <f t="shared" ca="1" si="22"/>
        <v>0</v>
      </c>
      <c r="K26" s="362">
        <f t="shared" ca="1" si="23"/>
        <v>87000</v>
      </c>
    </row>
    <row r="27" spans="1:22">
      <c r="B27" s="494">
        <v>4</v>
      </c>
      <c r="C27" s="497" t="s">
        <v>176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1">
        <f>F21*2</f>
        <v>2</v>
      </c>
      <c r="G27" s="360">
        <f ca="1">IF(ISERROR(OFFSET('HARGA SATUAN'!$I$6,MATCH(RAB!C27,'HARGA SATUAN'!$C$7:$C$1492,0),0)),0,OFFSET('HARGA SATUAN'!$I$6,MATCH(RAB!C27,'HARGA SATUAN'!$C$7:$C$1492,0),0))</f>
        <v>404600</v>
      </c>
      <c r="H27" s="361">
        <f t="shared" ca="1" si="20"/>
        <v>0</v>
      </c>
      <c r="I27" s="361">
        <f t="shared" ca="1" si="21"/>
        <v>809200</v>
      </c>
      <c r="J27" s="361">
        <f t="shared" ca="1" si="22"/>
        <v>0</v>
      </c>
      <c r="K27" s="362">
        <f t="shared" ca="1" si="23"/>
        <v>809200</v>
      </c>
    </row>
    <row r="28" spans="1:22">
      <c r="B28" s="494">
        <v>5</v>
      </c>
      <c r="C28" s="497" t="s">
        <v>184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01">
        <f>F21*3</f>
        <v>3</v>
      </c>
      <c r="G28" s="360">
        <f ca="1">IF(ISERROR(OFFSET('HARGA SATUAN'!$I$6,MATCH(RAB!C28,'HARGA SATUAN'!$C$7:$C$1492,0),0)),0,OFFSET('HARGA SATUAN'!$I$6,MATCH(RAB!C28,'HARGA SATUAN'!$C$7:$C$1492,0),0))</f>
        <v>15900</v>
      </c>
      <c r="H28" s="361">
        <f t="shared" ca="1" si="16"/>
        <v>0</v>
      </c>
      <c r="I28" s="361">
        <f t="shared" ca="1" si="17"/>
        <v>47700</v>
      </c>
      <c r="J28" s="361">
        <f t="shared" ca="1" si="18"/>
        <v>0</v>
      </c>
      <c r="K28" s="362">
        <f t="shared" ca="1" si="19"/>
        <v>47700</v>
      </c>
    </row>
    <row r="29" spans="1:22">
      <c r="B29" s="494">
        <v>6</v>
      </c>
      <c r="C29" s="497" t="s">
        <v>187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01">
        <f>F21*2</f>
        <v>2</v>
      </c>
      <c r="G29" s="360">
        <f ca="1">IF(ISERROR(OFFSET('HARGA SATUAN'!$I$6,MATCH(RAB!C29,'HARGA SATUAN'!$C$7:$C$1492,0),0)),0,OFFSET('HARGA SATUAN'!$I$6,MATCH(RAB!C29,'HARGA SATUAN'!$C$7:$C$1492,0),0))</f>
        <v>17100</v>
      </c>
      <c r="H29" s="361">
        <f t="shared" ca="1" si="16"/>
        <v>0</v>
      </c>
      <c r="I29" s="361">
        <f t="shared" ca="1" si="17"/>
        <v>34200</v>
      </c>
      <c r="J29" s="361">
        <f t="shared" ca="1" si="18"/>
        <v>0</v>
      </c>
      <c r="K29" s="362">
        <f t="shared" ca="1" si="19"/>
        <v>34200</v>
      </c>
    </row>
    <row r="30" spans="1:22">
      <c r="B30" s="494">
        <v>7</v>
      </c>
      <c r="C30" s="109" t="s">
        <v>1569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F21*4</f>
        <v>4</v>
      </c>
      <c r="G30" s="360">
        <f ca="1">IF(ISERROR(OFFSET('HARGA SATUAN'!$I$6,MATCH(RAB!C30,'HARGA SATUAN'!$C$7:$C$1492,0),0)),0,OFFSET('HARGA SATUAN'!$I$6,MATCH(RAB!C30,'HARGA SATUAN'!$C$7:$C$1492,0),0))</f>
        <v>49000</v>
      </c>
      <c r="H30" s="361">
        <f t="shared" ca="1" si="16"/>
        <v>0</v>
      </c>
      <c r="I30" s="361">
        <f t="shared" ca="1" si="17"/>
        <v>196000</v>
      </c>
      <c r="J30" s="361">
        <f t="shared" ca="1" si="18"/>
        <v>0</v>
      </c>
      <c r="K30" s="362">
        <f t="shared" ca="1" si="19"/>
        <v>196000</v>
      </c>
    </row>
    <row r="31" spans="1:22">
      <c r="B31" s="494">
        <v>8</v>
      </c>
      <c r="C31" s="497" t="s">
        <v>149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Set</v>
      </c>
      <c r="F31" s="501">
        <f>F21*1</f>
        <v>1</v>
      </c>
      <c r="G31" s="360">
        <f ca="1">IF(ISERROR(OFFSET('HARGA SATUAN'!$I$6,MATCH(RAB!C31,'HARGA SATUAN'!$C$7:$C$1492,0),0)),0,OFFSET('HARGA SATUAN'!$I$6,MATCH(RAB!C31,'HARGA SATUAN'!$C$7:$C$1492,0),0))</f>
        <v>67800</v>
      </c>
      <c r="H31" s="361">
        <f t="shared" ca="1" si="16"/>
        <v>0</v>
      </c>
      <c r="I31" s="361">
        <f t="shared" ca="1" si="17"/>
        <v>67800</v>
      </c>
      <c r="J31" s="361">
        <f t="shared" ca="1" si="18"/>
        <v>0</v>
      </c>
      <c r="K31" s="362">
        <f t="shared" ca="1" si="19"/>
        <v>67800</v>
      </c>
    </row>
    <row r="32" spans="1:22">
      <c r="B32" s="494">
        <v>9</v>
      </c>
      <c r="C32" s="497" t="s">
        <v>32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Mtr</v>
      </c>
      <c r="F32" s="501">
        <f>F21*2</f>
        <v>2</v>
      </c>
      <c r="G32" s="360">
        <f ca="1">IF(ISERROR(OFFSET('HARGA SATUAN'!$I$6,MATCH(RAB!C32,'HARGA SATUAN'!$C$7:$C$1492,0),0)),0,OFFSET('HARGA SATUAN'!$I$6,MATCH(RAB!C32,'HARGA SATUAN'!$C$7:$C$1492,0),0))</f>
        <v>30000</v>
      </c>
      <c r="H32" s="361">
        <f t="shared" ref="H32:H33" ca="1" si="24">IF(OR(D32="MDU",D32="MDU-KD"),(IF($O$3="RAB NON MDU","PLN KD",G32*F32)),0)</f>
        <v>0</v>
      </c>
      <c r="I32" s="361">
        <f t="shared" ref="I32:I33" ca="1" si="25">IF(D32="HDW",G32*F32,0)</f>
        <v>60000</v>
      </c>
      <c r="J32" s="361">
        <f t="shared" ref="J32:J33" ca="1" si="26">IF(D32="JASA",G32*F32,0)</f>
        <v>0</v>
      </c>
      <c r="K32" s="362">
        <f t="shared" ref="K32:K33" ca="1" si="27">SUM(H32:J32)</f>
        <v>60000</v>
      </c>
    </row>
    <row r="33" spans="2:11">
      <c r="B33" s="494">
        <v>10</v>
      </c>
      <c r="C33" s="497" t="s">
        <v>781</v>
      </c>
      <c r="D33" s="358" t="str">
        <f ca="1">IF(ISERROR(OFFSET('HARGA SATUAN'!$D$6,MATCH(RAB!C33,'HARGA SATUAN'!$C$7:$C$1492,0),0)),"",OFFSET('HARGA SATUAN'!$D$6,MATCH(RAB!C33,'HARGA SATUAN'!$C$7:$C$1492,0),0))</f>
        <v>JASA</v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501">
        <f>F21*1</f>
        <v>1</v>
      </c>
      <c r="G33" s="360">
        <f ca="1">IF(ISERROR(OFFSET('HARGA SATUAN'!$I$6,MATCH(RAB!C33,'HARGA SATUAN'!$C$7:$C$1492,0),0)),0,OFFSET('HARGA SATUAN'!$I$6,MATCH(RAB!C33,'HARGA SATUAN'!$C$7:$C$1492,0),0))</f>
        <v>346400</v>
      </c>
      <c r="H33" s="361">
        <f t="shared" ca="1" si="24"/>
        <v>0</v>
      </c>
      <c r="I33" s="361">
        <f t="shared" ca="1" si="25"/>
        <v>0</v>
      </c>
      <c r="J33" s="361">
        <f t="shared" ca="1" si="26"/>
        <v>346400</v>
      </c>
      <c r="K33" s="362">
        <f t="shared" ca="1" si="27"/>
        <v>346400</v>
      </c>
    </row>
    <row r="34" spans="2:11">
      <c r="B34" s="494"/>
      <c r="C34" s="497"/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/>
      </c>
      <c r="F34" s="501"/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ca="1" si="16"/>
        <v>0</v>
      </c>
      <c r="I34" s="361">
        <f t="shared" ca="1" si="17"/>
        <v>0</v>
      </c>
      <c r="J34" s="361">
        <f t="shared" ca="1" si="18"/>
        <v>0</v>
      </c>
      <c r="K34" s="362">
        <f t="shared" ca="1" si="19"/>
        <v>0</v>
      </c>
    </row>
    <row r="35" spans="2:11">
      <c r="B35" s="495" t="s">
        <v>1615</v>
      </c>
      <c r="C35" s="500" t="s">
        <v>1619</v>
      </c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/>
      </c>
      <c r="F35" s="368"/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ref="H35:H41" ca="1" si="28">IF(OR(D35="MDU",D35="MDU-KD"),(IF($O$3="RAB NON MDU","PLN KD",G35*F35)),0)</f>
        <v>0</v>
      </c>
      <c r="I35" s="361">
        <f t="shared" ref="I35:I41" ca="1" si="29">IF(D35="HDW",G35*F35,0)</f>
        <v>0</v>
      </c>
      <c r="J35" s="361">
        <f t="shared" ref="J35:J41" ca="1" si="30">IF(D35="JASA",G35*F35,0)</f>
        <v>0</v>
      </c>
      <c r="K35" s="362">
        <f t="shared" ref="K35:K41" ca="1" si="31">SUM(H35:J35)</f>
        <v>0</v>
      </c>
    </row>
    <row r="36" spans="2:11">
      <c r="B36" s="495"/>
      <c r="C36" s="496"/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503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28"/>
        <v>0</v>
      </c>
      <c r="I36" s="361">
        <f t="shared" ca="1" si="29"/>
        <v>0</v>
      </c>
      <c r="J36" s="361">
        <f t="shared" ca="1" si="30"/>
        <v>0</v>
      </c>
      <c r="K36" s="362">
        <f t="shared" ca="1" si="31"/>
        <v>0</v>
      </c>
    </row>
    <row r="37" spans="2:11">
      <c r="B37" s="495" t="s">
        <v>1035</v>
      </c>
      <c r="C37" s="496" t="s">
        <v>1622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>Unit</v>
      </c>
      <c r="F37" s="506">
        <v>1</v>
      </c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28"/>
        <v>0</v>
      </c>
      <c r="I37" s="361">
        <f t="shared" ca="1" si="29"/>
        <v>0</v>
      </c>
      <c r="J37" s="361">
        <f t="shared" ca="1" si="30"/>
        <v>0</v>
      </c>
      <c r="K37" s="362">
        <f t="shared" ca="1" si="31"/>
        <v>0</v>
      </c>
    </row>
    <row r="38" spans="2:11" ht="30">
      <c r="B38" s="504">
        <v>1</v>
      </c>
      <c r="C38" s="109" t="s">
        <v>1141</v>
      </c>
      <c r="D38" s="358" t="str">
        <f ca="1">IF(ISERROR(OFFSET('HARGA SATUAN'!$D$6,MATCH(RAB!C38,'HARGA SATUAN'!$C$7:$C$1492,0),0)),"",OFFSET('HARGA SATUAN'!$D$6,MATCH(RAB!C38,'HARGA SATUAN'!$C$7:$C$1492,0),0))</f>
        <v>MDU-KD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6">
        <f>F37*1</f>
        <v>1</v>
      </c>
      <c r="G38" s="360">
        <f ca="1">IF(ISERROR(OFFSET('HARGA SATUAN'!$I$6,MATCH(RAB!C38,'HARGA SATUAN'!$C$7:$C$1492,0),0)),0,OFFSET('HARGA SATUAN'!$I$6,MATCH(RAB!C38,'HARGA SATUAN'!$C$7:$C$1492,0),0))</f>
        <v>1740750</v>
      </c>
      <c r="H38" s="361">
        <f t="shared" ca="1" si="28"/>
        <v>1740750</v>
      </c>
      <c r="I38" s="361">
        <f t="shared" ca="1" si="29"/>
        <v>0</v>
      </c>
      <c r="J38" s="361">
        <f t="shared" ca="1" si="30"/>
        <v>0</v>
      </c>
      <c r="K38" s="362">
        <f t="shared" ca="1" si="31"/>
        <v>1740750</v>
      </c>
    </row>
    <row r="39" spans="2:11">
      <c r="B39" s="504">
        <v>2</v>
      </c>
      <c r="C39" s="505" t="s">
        <v>493</v>
      </c>
      <c r="D39" s="358" t="str">
        <f ca="1">IF(ISERROR(OFFSET('HARGA SATUAN'!$D$6,MATCH(RAB!C39,'HARGA SATUAN'!$C$7:$C$1492,0),0)),"",OFFSET('HARGA SATUAN'!$D$6,MATCH(RAB!C39,'HARGA SATUAN'!$C$7:$C$1492,0),0))</f>
        <v>MDU-KD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6">
        <f>F37*1</f>
        <v>1</v>
      </c>
      <c r="G39" s="360">
        <f ca="1">IF(ISERROR(OFFSET('HARGA SATUAN'!$I$6,MATCH(RAB!C39,'HARGA SATUAN'!$C$7:$C$1492,0),0)),0,OFFSET('HARGA SATUAN'!$I$6,MATCH(RAB!C39,'HARGA SATUAN'!$C$7:$C$1492,0),0))</f>
        <v>39000</v>
      </c>
      <c r="H39" s="361">
        <f t="shared" ca="1" si="28"/>
        <v>39000</v>
      </c>
      <c r="I39" s="361">
        <f t="shared" ca="1" si="29"/>
        <v>0</v>
      </c>
      <c r="J39" s="361">
        <f t="shared" ca="1" si="30"/>
        <v>0</v>
      </c>
      <c r="K39" s="362">
        <f t="shared" ca="1" si="31"/>
        <v>39000</v>
      </c>
    </row>
    <row r="40" spans="2:11">
      <c r="B40" s="504">
        <v>3</v>
      </c>
      <c r="C40" s="505" t="s">
        <v>74</v>
      </c>
      <c r="D40" s="358" t="str">
        <f ca="1">IF(ISERROR(OFFSET('HARGA SATUAN'!$D$6,MATCH(RAB!C40,'HARGA SATUAN'!$C$7:$C$1492,0),0)),"",OFFSET('HARGA SATUAN'!$D$6,MATCH(RAB!C40,'HARGA SATUAN'!$C$7:$C$1492,0),0))</f>
        <v>MDU-KD</v>
      </c>
      <c r="E40" s="359" t="str">
        <f ca="1">IF(B40="+","Unit",IF(ISERROR(OFFSET('HARGA SATUAN'!$E$6,MATCH(RAB!C40,'HARGA SATUAN'!$C$7:$C$1492,0),0)),"",OFFSET('HARGA SATUAN'!$E$6,MATCH(RAB!C40,'HARGA SATUAN'!$C$7:$C$1492,0),0)))</f>
        <v>Mtr</v>
      </c>
      <c r="F40" s="506">
        <f>F37*35</f>
        <v>35</v>
      </c>
      <c r="G40" s="360">
        <f ca="1">IF(ISERROR(OFFSET('HARGA SATUAN'!$I$6,MATCH(RAB!C40,'HARGA SATUAN'!$C$7:$C$1492,0),0)),0,OFFSET('HARGA SATUAN'!$I$6,MATCH(RAB!C40,'HARGA SATUAN'!$C$7:$C$1492,0),0))</f>
        <v>6600</v>
      </c>
      <c r="H40" s="361">
        <f t="shared" ca="1" si="28"/>
        <v>231000</v>
      </c>
      <c r="I40" s="361">
        <f t="shared" ca="1" si="29"/>
        <v>0</v>
      </c>
      <c r="J40" s="361">
        <f t="shared" ca="1" si="30"/>
        <v>0</v>
      </c>
      <c r="K40" s="362">
        <f t="shared" ca="1" si="31"/>
        <v>231000</v>
      </c>
    </row>
    <row r="41" spans="2:11">
      <c r="B41" s="504">
        <v>4</v>
      </c>
      <c r="C41" s="505" t="s">
        <v>798</v>
      </c>
      <c r="D41" s="358" t="str">
        <f ca="1">IF(ISERROR(OFFSET('HARGA SATUAN'!$D$6,MATCH(RAB!C41,'HARGA SATUAN'!$C$7:$C$1492,0),0)),"",OFFSET('HARGA SATUAN'!$D$6,MATCH(RAB!C41,'HARGA SATUAN'!$C$7:$C$1492,0),0))</f>
        <v>JASA</v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506">
        <f>F37*1</f>
        <v>1</v>
      </c>
      <c r="G41" s="360">
        <f ca="1">IF(ISERROR(OFFSET('HARGA SATUAN'!$I$6,MATCH(RAB!C41,'HARGA SATUAN'!$C$7:$C$1492,0),0)),0,OFFSET('HARGA SATUAN'!$I$6,MATCH(RAB!C41,'HARGA SATUAN'!$C$7:$C$1492,0),0))</f>
        <v>54400</v>
      </c>
      <c r="H41" s="361">
        <f t="shared" ca="1" si="28"/>
        <v>0</v>
      </c>
      <c r="I41" s="361">
        <f t="shared" ca="1" si="29"/>
        <v>0</v>
      </c>
      <c r="J41" s="361">
        <f t="shared" ca="1" si="30"/>
        <v>54400</v>
      </c>
      <c r="K41" s="362">
        <f t="shared" ca="1" si="31"/>
        <v>54400</v>
      </c>
    </row>
    <row r="42" spans="2:11">
      <c r="B42" s="504">
        <v>5</v>
      </c>
      <c r="C42" s="109" t="s">
        <v>144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Set</v>
      </c>
      <c r="F42" s="506">
        <v>1</v>
      </c>
      <c r="G42" s="360">
        <f ca="1">IF(ISERROR(OFFSET('HARGA SATUAN'!$I$6,MATCH(RAB!C42,'HARGA SATUAN'!$C$7:$C$1492,0),0)),0,OFFSET('HARGA SATUAN'!$I$6,MATCH(RAB!C42,'HARGA SATUAN'!$C$7:$C$1492,0),0))</f>
        <v>297606.44984038931</v>
      </c>
      <c r="H42" s="361">
        <f t="shared" ref="H42:H43" ca="1" si="32">IF(OR(D42="MDU",D42="MDU-KD"),(IF($O$3="RAB NON MDU","PLN KD",G42*F42)),0)</f>
        <v>0</v>
      </c>
      <c r="I42" s="361">
        <f t="shared" ref="I42:I43" ca="1" si="33">IF(D42="HDW",G42*F42,0)</f>
        <v>297606.44984038931</v>
      </c>
      <c r="J42" s="361">
        <f t="shared" ref="J42:J43" ca="1" si="34">IF(D42="JASA",G42*F42,0)</f>
        <v>0</v>
      </c>
      <c r="K42" s="362">
        <f t="shared" ref="K42:K43" ca="1" si="35">SUM(H42:J42)</f>
        <v>297606.44984038931</v>
      </c>
    </row>
    <row r="43" spans="2:11">
      <c r="B43" s="374">
        <v>6</v>
      </c>
      <c r="C43" s="508" t="s">
        <v>981</v>
      </c>
      <c r="D43" s="358" t="str">
        <f ca="1">IF(ISERROR(OFFSET('HARGA SATUAN'!$D$6,MATCH(RAB!C43,'HARGA SATUAN'!$C$7:$C$1492,0),0)),"",OFFSET('HARGA SATUAN'!$D$6,MATCH(RAB!C43,'HARGA SATUAN'!$C$7:$C$1492,0),0))</f>
        <v>JASA</v>
      </c>
      <c r="E43" s="359" t="str">
        <f ca="1">IF(B43="+","Unit",IF(ISERROR(OFFSET('HARGA SATUAN'!$E$6,MATCH(RAB!C43,'HARGA SATUAN'!$C$7:$C$1492,0),0)),"",OFFSET('HARGA SATUAN'!$E$6,MATCH(RAB!C43,'HARGA SATUAN'!$C$7:$C$1492,0),0)))</f>
        <v>Unit</v>
      </c>
      <c r="F43" s="368">
        <v>1</v>
      </c>
      <c r="G43" s="360">
        <f ca="1">IF(ISERROR(OFFSET('HARGA SATUAN'!$I$6,MATCH(RAB!C43,'HARGA SATUAN'!$C$7:$C$1492,0),0)),0,OFFSET('HARGA SATUAN'!$I$6,MATCH(RAB!C43,'HARGA SATUAN'!$C$7:$C$1492,0),0))</f>
        <v>32640</v>
      </c>
      <c r="H43" s="361">
        <f t="shared" ca="1" si="32"/>
        <v>0</v>
      </c>
      <c r="I43" s="361">
        <f t="shared" ca="1" si="33"/>
        <v>0</v>
      </c>
      <c r="J43" s="361">
        <f t="shared" ca="1" si="34"/>
        <v>32640</v>
      </c>
      <c r="K43" s="362">
        <f t="shared" ca="1" si="35"/>
        <v>32640</v>
      </c>
    </row>
    <row r="44" spans="2:11">
      <c r="B44" s="374"/>
      <c r="C44" s="508"/>
      <c r="D44" s="358"/>
      <c r="E44" s="359"/>
      <c r="F44" s="368"/>
      <c r="G44" s="360"/>
      <c r="H44" s="361"/>
      <c r="I44" s="361"/>
      <c r="J44" s="361"/>
      <c r="K44" s="362"/>
    </row>
    <row r="45" spans="2:11">
      <c r="B45" s="504" t="s">
        <v>1035</v>
      </c>
      <c r="C45" s="505" t="s">
        <v>1621</v>
      </c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>Unit</v>
      </c>
      <c r="F45" s="506">
        <v>1</v>
      </c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ref="H45:H56" ca="1" si="36">IF(OR(D45="MDU",D45="MDU-KD"),(IF($O$3="RAB NON MDU","PLN KD",G45*F45)),0)</f>
        <v>0</v>
      </c>
      <c r="I45" s="361">
        <f t="shared" ref="I45:I56" ca="1" si="37">IF(D45="HDW",G45*F45,0)</f>
        <v>0</v>
      </c>
      <c r="J45" s="361">
        <f t="shared" ref="J45:J56" ca="1" si="38">IF(D45="JASA",G45*F45,0)</f>
        <v>0</v>
      </c>
      <c r="K45" s="362">
        <f t="shared" ref="K45:K56" ca="1" si="39">SUM(H45:J45)</f>
        <v>0</v>
      </c>
    </row>
    <row r="46" spans="2:11">
      <c r="B46" s="504">
        <v>1</v>
      </c>
      <c r="C46" s="505" t="s">
        <v>115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Set</v>
      </c>
      <c r="F46" s="506">
        <f>F45*1</f>
        <v>1</v>
      </c>
      <c r="G46" s="360">
        <f ca="1">IF(ISERROR(OFFSET('HARGA SATUAN'!$I$6,MATCH(RAB!C46,'HARGA SATUAN'!$C$7:$C$1492,0),0)),0,OFFSET('HARGA SATUAN'!$I$6,MATCH(RAB!C46,'HARGA SATUAN'!$C$7:$C$1492,0),0))</f>
        <v>11500</v>
      </c>
      <c r="H46" s="361">
        <f t="shared" ca="1" si="36"/>
        <v>0</v>
      </c>
      <c r="I46" s="361">
        <f t="shared" ca="1" si="37"/>
        <v>11500</v>
      </c>
      <c r="J46" s="361">
        <f t="shared" ca="1" si="38"/>
        <v>0</v>
      </c>
      <c r="K46" s="362">
        <f t="shared" ca="1" si="39"/>
        <v>11500</v>
      </c>
    </row>
    <row r="47" spans="2:11">
      <c r="B47" s="504">
        <v>2</v>
      </c>
      <c r="C47" s="505" t="s">
        <v>145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Set</v>
      </c>
      <c r="F47" s="506">
        <f>F45*1</f>
        <v>1</v>
      </c>
      <c r="G47" s="360">
        <f ca="1">IF(ISERROR(OFFSET('HARGA SATUAN'!$I$6,MATCH(RAB!C47,'HARGA SATUAN'!$C$7:$C$1492,0),0)),0,OFFSET('HARGA SATUAN'!$I$6,MATCH(RAB!C47,'HARGA SATUAN'!$C$7:$C$1492,0),0))</f>
        <v>6200</v>
      </c>
      <c r="H47" s="361">
        <f t="shared" ca="1" si="36"/>
        <v>0</v>
      </c>
      <c r="I47" s="361">
        <f t="shared" ca="1" si="37"/>
        <v>6200</v>
      </c>
      <c r="J47" s="361">
        <f t="shared" ca="1" si="38"/>
        <v>0</v>
      </c>
      <c r="K47" s="362">
        <f t="shared" ca="1" si="39"/>
        <v>6200</v>
      </c>
    </row>
    <row r="48" spans="2:11">
      <c r="B48" s="504">
        <v>3</v>
      </c>
      <c r="C48" s="505" t="s">
        <v>587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Btg</v>
      </c>
      <c r="F48" s="506">
        <f>F45*1</f>
        <v>1</v>
      </c>
      <c r="G48" s="360">
        <f ca="1">IF(ISERROR(OFFSET('HARGA SATUAN'!$I$6,MATCH(RAB!C48,'HARGA SATUAN'!$C$7:$C$1492,0),0)),0,OFFSET('HARGA SATUAN'!$I$6,MATCH(RAB!C48,'HARGA SATUAN'!$C$7:$C$1492,0),0))</f>
        <v>45796</v>
      </c>
      <c r="H48" s="361">
        <f t="shared" ca="1" si="36"/>
        <v>0</v>
      </c>
      <c r="I48" s="361">
        <f t="shared" ca="1" si="37"/>
        <v>45796</v>
      </c>
      <c r="J48" s="361">
        <f t="shared" ca="1" si="38"/>
        <v>0</v>
      </c>
      <c r="K48" s="362">
        <f t="shared" ca="1" si="39"/>
        <v>45796</v>
      </c>
    </row>
    <row r="49" spans="2:13">
      <c r="B49" s="504">
        <v>4</v>
      </c>
      <c r="C49" s="505" t="s">
        <v>118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Set</v>
      </c>
      <c r="F49" s="506">
        <f>F45*1</f>
        <v>1</v>
      </c>
      <c r="G49" s="360">
        <f ca="1">IF(ISERROR(OFFSET('HARGA SATUAN'!$I$6,MATCH(RAB!C49,'HARGA SATUAN'!$C$7:$C$1492,0),0)),0,OFFSET('HARGA SATUAN'!$I$6,MATCH(RAB!C49,'HARGA SATUAN'!$C$7:$C$1492,0),0))</f>
        <v>5300</v>
      </c>
      <c r="H49" s="361">
        <f t="shared" ca="1" si="36"/>
        <v>0</v>
      </c>
      <c r="I49" s="361">
        <f t="shared" ca="1" si="37"/>
        <v>5300</v>
      </c>
      <c r="J49" s="361">
        <f t="shared" ca="1" si="38"/>
        <v>0</v>
      </c>
      <c r="K49" s="362">
        <f t="shared" ca="1" si="39"/>
        <v>5300</v>
      </c>
    </row>
    <row r="50" spans="2:13">
      <c r="B50" s="504">
        <v>5</v>
      </c>
      <c r="C50" s="505" t="s">
        <v>117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6">
        <f>F45*1</f>
        <v>1</v>
      </c>
      <c r="G50" s="360">
        <f ca="1">IF(ISERROR(OFFSET('HARGA SATUAN'!$I$6,MATCH(RAB!C50,'HARGA SATUAN'!$C$7:$C$1492,0),0)),0,OFFSET('HARGA SATUAN'!$I$6,MATCH(RAB!C50,'HARGA SATUAN'!$C$7:$C$1492,0),0))</f>
        <v>58600</v>
      </c>
      <c r="H50" s="361">
        <f t="shared" ca="1" si="36"/>
        <v>0</v>
      </c>
      <c r="I50" s="361">
        <f t="shared" ca="1" si="37"/>
        <v>58600</v>
      </c>
      <c r="J50" s="361">
        <f t="shared" ca="1" si="38"/>
        <v>0</v>
      </c>
      <c r="K50" s="362">
        <f t="shared" ca="1" si="39"/>
        <v>58600</v>
      </c>
    </row>
    <row r="51" spans="2:13">
      <c r="B51" s="504">
        <v>6</v>
      </c>
      <c r="C51" s="109" t="s">
        <v>1154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Set</v>
      </c>
      <c r="F51" s="506">
        <f>F45*1</f>
        <v>1</v>
      </c>
      <c r="G51" s="360">
        <f ca="1">IF(ISERROR(OFFSET('HARGA SATUAN'!$I$6,MATCH(RAB!C51,'HARGA SATUAN'!$C$7:$C$1492,0),0)),0,OFFSET('HARGA SATUAN'!$I$6,MATCH(RAB!C51,'HARGA SATUAN'!$C$7:$C$1492,0),0))</f>
        <v>3888</v>
      </c>
      <c r="H51" s="361">
        <f t="shared" ca="1" si="36"/>
        <v>0</v>
      </c>
      <c r="I51" s="361">
        <f t="shared" ca="1" si="37"/>
        <v>3888</v>
      </c>
      <c r="J51" s="361">
        <f t="shared" ca="1" si="38"/>
        <v>0</v>
      </c>
      <c r="K51" s="362">
        <f t="shared" ca="1" si="39"/>
        <v>3888</v>
      </c>
    </row>
    <row r="52" spans="2:13">
      <c r="B52" s="504">
        <v>7</v>
      </c>
      <c r="C52" s="505" t="s">
        <v>119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Set</v>
      </c>
      <c r="F52" s="506">
        <f>F45*2</f>
        <v>2</v>
      </c>
      <c r="G52" s="360">
        <f ca="1">IF(ISERROR(OFFSET('HARGA SATUAN'!$I$6,MATCH(RAB!C52,'HARGA SATUAN'!$C$7:$C$1492,0),0)),0,OFFSET('HARGA SATUAN'!$I$6,MATCH(RAB!C52,'HARGA SATUAN'!$C$7:$C$1492,0),0))</f>
        <v>8900</v>
      </c>
      <c r="H52" s="361">
        <f t="shared" ca="1" si="36"/>
        <v>0</v>
      </c>
      <c r="I52" s="361">
        <f t="shared" ca="1" si="37"/>
        <v>17800</v>
      </c>
      <c r="J52" s="361">
        <f t="shared" ca="1" si="38"/>
        <v>0</v>
      </c>
      <c r="K52" s="362">
        <f t="shared" ca="1" si="39"/>
        <v>17800</v>
      </c>
    </row>
    <row r="53" spans="2:13">
      <c r="B53" s="374"/>
      <c r="C53" s="502"/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/>
      </c>
      <c r="F53" s="368"/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ca="1" si="36"/>
        <v>0</v>
      </c>
      <c r="I53" s="361">
        <f t="shared" ca="1" si="37"/>
        <v>0</v>
      </c>
      <c r="J53" s="361">
        <f t="shared" ca="1" si="38"/>
        <v>0</v>
      </c>
      <c r="K53" s="362">
        <f t="shared" ca="1" si="39"/>
        <v>0</v>
      </c>
    </row>
    <row r="54" spans="2:13">
      <c r="B54" s="366" t="s">
        <v>22</v>
      </c>
      <c r="C54" s="367" t="s">
        <v>1617</v>
      </c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/>
      </c>
      <c r="F54" s="368"/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36"/>
        <v>0</v>
      </c>
      <c r="I54" s="361">
        <f t="shared" ca="1" si="37"/>
        <v>0</v>
      </c>
      <c r="J54" s="361">
        <f t="shared" ca="1" si="38"/>
        <v>0</v>
      </c>
      <c r="K54" s="362">
        <f t="shared" ca="1" si="39"/>
        <v>0</v>
      </c>
    </row>
    <row r="55" spans="2:13">
      <c r="B55" s="374"/>
      <c r="C55" s="373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368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36"/>
        <v>0</v>
      </c>
      <c r="I55" s="361">
        <f t="shared" ca="1" si="37"/>
        <v>0</v>
      </c>
      <c r="J55" s="361">
        <f t="shared" ca="1" si="38"/>
        <v>0</v>
      </c>
      <c r="K55" s="362">
        <f t="shared" ca="1" si="39"/>
        <v>0</v>
      </c>
    </row>
    <row r="56" spans="2:13">
      <c r="B56" s="375"/>
      <c r="C56" s="376" t="s">
        <v>475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/>
      </c>
      <c r="F56" s="368"/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36"/>
        <v>0</v>
      </c>
      <c r="I56" s="361">
        <f t="shared" ca="1" si="37"/>
        <v>0</v>
      </c>
      <c r="J56" s="361">
        <f t="shared" ca="1" si="38"/>
        <v>0</v>
      </c>
      <c r="K56" s="362">
        <f t="shared" ca="1" si="39"/>
        <v>0</v>
      </c>
    </row>
    <row r="57" spans="2:13">
      <c r="B57" s="378">
        <v>1</v>
      </c>
      <c r="C57" s="379" t="s">
        <v>1091</v>
      </c>
      <c r="D57" s="380" t="str">
        <f ca="1">IF(ISERROR(OFFSET('HARGA SATUAN'!$D$6,MATCH(RAB!C57,'HARGA SATUAN'!$C$7:$C$1492,0),0)),"",OFFSET('HARGA SATUAN'!$D$6,MATCH(RAB!C57,'HARGA SATUAN'!$C$7:$C$1492,0),0))</f>
        <v>JASA</v>
      </c>
      <c r="E57" s="381" t="str">
        <f ca="1">IF(ISERROR(OFFSET('HARGA SATUAN'!$E$6,MATCH(RAB!C57,'HARGA SATUAN'!$C$7:$C$1492,0),0)),"",OFFSET('HARGA SATUAN'!$E$6,MATCH(RAB!C57,'HARGA SATUAN'!$C$7:$C$1492,0),0))</f>
        <v>Lot</v>
      </c>
      <c r="F57" s="382">
        <v>1</v>
      </c>
      <c r="G57" s="383">
        <f ca="1">IF(ISERROR(OFFSET('HARGA SATUAN'!$I$6,MATCH(RAB!C57,'HARGA SATUAN'!$C$7:$C$1492,0),0)),0,OFFSET('HARGA SATUAN'!$I$6,MATCH(RAB!C57,'HARGA SATUAN'!$C$7:$C$1492,0),0))</f>
        <v>2.5000000000000001E-2</v>
      </c>
      <c r="H57" s="384"/>
      <c r="I57" s="384"/>
      <c r="J57" s="384">
        <f ca="1">SUM(K15:K17)*G57</f>
        <v>0</v>
      </c>
      <c r="K57" s="385">
        <f ca="1">SUM(H57:J57)</f>
        <v>0</v>
      </c>
    </row>
    <row r="58" spans="2:13">
      <c r="B58" s="386"/>
      <c r="C58" s="387"/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IF(ISERROR(OFFSET('HARGA SATUAN'!$E$6,MATCH(RAB!C58,'HARGA SATUAN'!$C$7:$C$1492,0),0)),"",OFFSET('HARGA SATUAN'!$E$6,MATCH(RAB!C58,'HARGA SATUAN'!$C$7:$C$1492,0),0))</f>
        <v/>
      </c>
      <c r="F58" s="377"/>
      <c r="G58" s="360" t="str">
        <f ca="1">IF(ISERROR(OFFSET('HARGA SATUAN'!$I$6,MATCH(RAB!C58,'HARGA SATUAN'!$C$7:$C$1492,0),0)),"",OFFSET('HARGA SATUAN'!$I$6,MATCH(RAB!C58,'HARGA SATUAN'!$C$7:$C$1492,0),0))</f>
        <v/>
      </c>
      <c r="H58" s="361">
        <f ca="1">IF(OR(D58="MDU",D58="MDU-KD"),IF(G58="PLN",0,G58*F58),0)</f>
        <v>0</v>
      </c>
      <c r="I58" s="361">
        <f ca="1">IF(D58="HDW",IF(G58="PLN",0,G58*F58),0)</f>
        <v>0</v>
      </c>
      <c r="J58" s="361">
        <f ca="1">IF(D58="JASA",IF(G58="PLN",0,G58*F58),0)</f>
        <v>0</v>
      </c>
      <c r="K58" s="362">
        <f ca="1">SUM(H58:J58)</f>
        <v>0</v>
      </c>
    </row>
    <row r="59" spans="2:13" ht="15.75" thickBot="1">
      <c r="B59" s="388"/>
      <c r="C59" s="389"/>
      <c r="D59" s="390"/>
      <c r="E59" s="391"/>
      <c r="F59" s="391"/>
      <c r="G59" s="391"/>
      <c r="H59" s="392"/>
      <c r="I59" s="392"/>
      <c r="J59" s="392"/>
      <c r="K59" s="393"/>
    </row>
    <row r="60" spans="2:13">
      <c r="B60" s="394"/>
      <c r="C60" s="627" t="s">
        <v>1008</v>
      </c>
      <c r="D60" s="627"/>
      <c r="E60" s="627"/>
      <c r="F60" s="627"/>
      <c r="G60" s="395" t="s">
        <v>9</v>
      </c>
      <c r="H60" s="396">
        <f ca="1">SUM(H14:H58)</f>
        <v>29991150</v>
      </c>
      <c r="I60" s="396">
        <f ca="1">SUM(I14:I58)</f>
        <v>1748590.4498403892</v>
      </c>
      <c r="J60" s="396">
        <f ca="1">SUM(J14:J58)</f>
        <v>433440</v>
      </c>
      <c r="K60" s="396">
        <f ca="1">SUM(K14:K58)</f>
        <v>32173180.449840389</v>
      </c>
    </row>
    <row r="61" spans="2:13">
      <c r="B61" s="398"/>
      <c r="C61" s="610" t="s">
        <v>1457</v>
      </c>
      <c r="D61" s="610"/>
      <c r="E61" s="610"/>
      <c r="F61" s="610"/>
      <c r="G61" s="399" t="s">
        <v>9</v>
      </c>
      <c r="H61" s="400">
        <f ca="1">H60*0.11</f>
        <v>3299026.5</v>
      </c>
      <c r="I61" s="400">
        <f ca="1">I60*0.11</f>
        <v>192344.94948244281</v>
      </c>
      <c r="J61" s="400">
        <f ca="1">J60*0.11</f>
        <v>47678.400000000001</v>
      </c>
      <c r="K61" s="400">
        <f ca="1">K60*0.11</f>
        <v>3539049.8494824427</v>
      </c>
    </row>
    <row r="62" spans="2:13" ht="15.75" thickBot="1">
      <c r="B62" s="398"/>
      <c r="C62" s="608" t="s">
        <v>463</v>
      </c>
      <c r="D62" s="608"/>
      <c r="E62" s="608"/>
      <c r="F62" s="608"/>
      <c r="G62" s="401" t="s">
        <v>9</v>
      </c>
      <c r="H62" s="402">
        <f ca="1">SUM(H60:H61)</f>
        <v>33290176.5</v>
      </c>
      <c r="I62" s="402">
        <f ca="1">SUM(I60:I61)</f>
        <v>1940935.399322832</v>
      </c>
      <c r="J62" s="401">
        <f ca="1">SUM(J60:J61)</f>
        <v>481118.4</v>
      </c>
      <c r="K62" s="401">
        <f ca="1">SUM(K60:K61)</f>
        <v>35712230.299322829</v>
      </c>
      <c r="M62" s="484"/>
    </row>
    <row r="63" spans="2:13">
      <c r="B63" s="611" t="str">
        <f ca="1">"Terbilang : "&amp;PROPER(IF(K62=0,"nol",IF(K62&lt;0,"minus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IF(--MID(TEXT(ABS(K62),"000000000000000"),1,3)=0,"",MID(TEXT(ABS(K62),"000000000000000"),1,1)&amp;" ratus "&amp;MID(TEXT(ABS(K62),"000000000000000"),2,1)&amp;" puluh "&amp;MID(TEXT(ABS(K62),"000000000000000"),3,1)&amp;" trilyun ")&amp; IF(--MID(TEXT(ABS(K62),"000000000000000"),4,3)=0,"",MID(TEXT(ABS(K62),"000000000000000"),4,1)&amp;" ratus "&amp;MID(TEXT(ABS(K62),"000000000000000"),5,1)&amp;" puluh "&amp;MID(TEXT(ABS(K62),"000000000000000"),6,1)&amp;" milyar ")&amp; IF(--MID(TEXT(ABS(K62),"000000000000000"),7,3)=0,"",MID(TEXT(ABS(K62),"000000000000000"),7,1)&amp;" ratus "&amp;MID(TEXT(ABS(K62),"000000000000000"),8,1)&amp;" puluh "&amp;MID(TEXT(ABS(K62),"000000000000000"),9,1)&amp;" juta ")&amp; IF(--MID(TEXT(ABS(K62),"000000000000000"),10,3)=0,"",IF(--MID(TEXT(ABS(K62),"000000000000000"),10,3)=1,"*",MID(TEXT(ABS(K62),"000000000000000"),10,1)&amp;" ratus "&amp;MID(TEXT(ABS(K62),"000000000000000"),11,1)&amp;" puluh ")&amp;MID(TEXT(ABS(K62),"000000000000000"),12,1)&amp;" ribu ")&amp; IF(--MID(TEXT(ABS(K62),"000000000000000"),13,3)=0,"",MID(TEXT(ABS(K62),"000000000000000"),13,1)&amp;" ratus "&amp;MID(TEXT(ABS(K62),"000000000000000"),14,1)&amp;" puluh "&amp;MID(TEXT(ABS(K62),"000000000000000"),15,1)),1,"satu"),2,"dua"),3,"tiga"),4,"empat"),5,"lima"),6,"enam"),7,"tujuh"),8,"delapan"),9,"sembilan"),"0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Lima Juta Tujuh Ratus Dua Belas Ribu Dua Ratus Tiga Puluh Rupiah</v>
      </c>
      <c r="C63" s="612"/>
      <c r="D63" s="612"/>
      <c r="E63" s="612"/>
      <c r="F63" s="612"/>
      <c r="G63" s="612"/>
      <c r="H63" s="612"/>
      <c r="I63" s="612"/>
      <c r="J63" s="612"/>
      <c r="K63" s="613"/>
    </row>
    <row r="64" spans="2:13">
      <c r="B64" s="614"/>
      <c r="C64" s="615"/>
      <c r="D64" s="615"/>
      <c r="E64" s="615"/>
      <c r="F64" s="615"/>
      <c r="G64" s="615"/>
      <c r="H64" s="615"/>
      <c r="I64" s="615"/>
      <c r="J64" s="615"/>
      <c r="K64" s="616"/>
    </row>
    <row r="65" spans="2:11" ht="15.75" thickBot="1">
      <c r="B65" s="403" t="str">
        <f>"Harga yang dipakai adalah "&amp;'HARGA SATUAN'!I5&amp;""</f>
        <v>Harga yang dipakai adalah RAB HSS 2023</v>
      </c>
      <c r="C65" s="404"/>
      <c r="D65" s="405"/>
      <c r="E65" s="405"/>
      <c r="F65" s="405"/>
      <c r="G65" s="406"/>
      <c r="H65" s="406"/>
      <c r="I65" s="406"/>
      <c r="J65" s="406"/>
      <c r="K65" s="407"/>
    </row>
    <row r="66" spans="2:11">
      <c r="C66" s="408"/>
      <c r="E66" s="410"/>
      <c r="F66" s="410"/>
      <c r="G66" s="410"/>
    </row>
    <row r="67" spans="2:11">
      <c r="C67" s="337"/>
      <c r="E67" s="410"/>
      <c r="F67" s="410"/>
      <c r="G67" s="410"/>
      <c r="H67" s="617"/>
      <c r="I67" s="617"/>
      <c r="J67" s="618"/>
      <c r="K67" s="618"/>
    </row>
    <row r="68" spans="2:11">
      <c r="C68" s="337"/>
      <c r="E68" s="410"/>
      <c r="F68" s="410"/>
      <c r="G68" s="410"/>
      <c r="H68" s="411"/>
      <c r="I68" s="607" t="s">
        <v>1610</v>
      </c>
      <c r="J68" s="607"/>
      <c r="K68" s="607"/>
    </row>
    <row r="69" spans="2:11">
      <c r="C69" s="337"/>
      <c r="E69" s="410"/>
      <c r="F69" s="410"/>
      <c r="G69" s="410"/>
      <c r="H69" s="411"/>
      <c r="I69" s="607" t="s">
        <v>1546</v>
      </c>
      <c r="J69" s="607"/>
      <c r="K69" s="607"/>
    </row>
    <row r="70" spans="2:11">
      <c r="C70" s="337"/>
      <c r="E70" s="410"/>
      <c r="F70" s="410"/>
      <c r="G70" s="410"/>
      <c r="H70" s="412"/>
      <c r="I70" s="413"/>
      <c r="J70" s="413"/>
      <c r="K70" s="413"/>
    </row>
    <row r="71" spans="2:11">
      <c r="C71" s="337"/>
      <c r="E71" s="410"/>
      <c r="F71" s="410"/>
      <c r="G71" s="410"/>
      <c r="H71" s="412"/>
      <c r="I71" s="412"/>
      <c r="J71" s="412"/>
      <c r="K71" s="412"/>
    </row>
    <row r="72" spans="2:11">
      <c r="C72" s="337"/>
      <c r="E72" s="410"/>
      <c r="F72" s="410"/>
      <c r="G72" s="410"/>
      <c r="H72" s="412"/>
      <c r="I72" s="412"/>
      <c r="J72" s="412"/>
      <c r="K72" s="412"/>
    </row>
    <row r="73" spans="2:11">
      <c r="C73" s="337"/>
      <c r="E73" s="410"/>
      <c r="F73" s="410"/>
      <c r="G73" s="410"/>
      <c r="H73" s="412"/>
      <c r="I73" s="412"/>
      <c r="J73" s="412"/>
      <c r="K73" s="412"/>
    </row>
    <row r="74" spans="2:11">
      <c r="C74" s="337"/>
      <c r="E74" s="410"/>
      <c r="F74" s="410"/>
      <c r="G74" s="410"/>
      <c r="H74" s="414"/>
      <c r="I74" s="607" t="s">
        <v>1547</v>
      </c>
      <c r="J74" s="607"/>
      <c r="K74" s="607"/>
    </row>
    <row r="75" spans="2:11">
      <c r="C75" s="408"/>
      <c r="E75" s="410"/>
      <c r="F75" s="410"/>
      <c r="G75" s="410"/>
      <c r="H75" s="412"/>
      <c r="I75" s="412"/>
      <c r="J75" s="412"/>
      <c r="K75" s="412"/>
    </row>
    <row r="76" spans="2:11">
      <c r="C76" s="408"/>
      <c r="E76" s="410"/>
      <c r="F76" s="410"/>
      <c r="G76" s="410"/>
      <c r="H76" s="412"/>
      <c r="I76" s="412"/>
      <c r="J76" s="412"/>
      <c r="K76" s="412"/>
    </row>
    <row r="77" spans="2:11">
      <c r="C77" s="408"/>
      <c r="E77" s="410"/>
      <c r="F77" s="410"/>
      <c r="G77" s="410"/>
      <c r="H77" s="412"/>
      <c r="I77" s="412"/>
      <c r="J77" s="412"/>
      <c r="K77" s="412"/>
    </row>
  </sheetData>
  <sheetProtection sort="0" autoFilter="0"/>
  <protectedRanges>
    <protectedRange sqref="B55 B36:B53" name="Range1_1"/>
    <protectedRange sqref="F14:F56" name="Range1_1_2_2"/>
    <protectedRange sqref="C55 C36:C37 C41 C39 C43:C53" name="Range1_1_1"/>
    <protectedRange sqref="C40" name="Range1_1_3_13"/>
    <protectedRange sqref="C38" name="Range1_1_3_4"/>
    <protectedRange sqref="C42" name="Range1_1_3_8"/>
    <protectedRange sqref="C25" name="Range1_1_3_2"/>
    <protectedRange sqref="C30" name="Range1_1_3_3"/>
  </protectedRanges>
  <mergeCells count="22">
    <mergeCell ref="O3:P4"/>
    <mergeCell ref="B4:K4"/>
    <mergeCell ref="C60:F60"/>
    <mergeCell ref="B11:B13"/>
    <mergeCell ref="C11:C13"/>
    <mergeCell ref="D11:D13"/>
    <mergeCell ref="E11:E13"/>
    <mergeCell ref="F11:F13"/>
    <mergeCell ref="G11:G13"/>
    <mergeCell ref="I12:I13"/>
    <mergeCell ref="I69:K69"/>
    <mergeCell ref="I74:K74"/>
    <mergeCell ref="C62:F62"/>
    <mergeCell ref="G6:K6"/>
    <mergeCell ref="I68:K68"/>
    <mergeCell ref="C61:F61"/>
    <mergeCell ref="B63:K64"/>
    <mergeCell ref="H67:K67"/>
    <mergeCell ref="H11:K11"/>
    <mergeCell ref="H12:H13"/>
    <mergeCell ref="J12:J13"/>
    <mergeCell ref="K12:K13"/>
  </mergeCells>
  <phoneticPr fontId="138" type="noConversion"/>
  <conditionalFormatting sqref="C15 C17">
    <cfRule type="cellIs" dxfId="9" priority="501" operator="equal">
      <formula>0</formula>
    </cfRule>
  </conditionalFormatting>
  <conditionalFormatting sqref="C19">
    <cfRule type="cellIs" dxfId="8" priority="126" operator="equal">
      <formula>0</formula>
    </cfRule>
  </conditionalFormatting>
  <conditionalFormatting sqref="C25">
    <cfRule type="cellIs" dxfId="7" priority="2" operator="equal">
      <formula>0</formula>
    </cfRule>
  </conditionalFormatting>
  <conditionalFormatting sqref="C30">
    <cfRule type="cellIs" dxfId="6" priority="1" operator="equal">
      <formula>0</formula>
    </cfRule>
  </conditionalFormatting>
  <conditionalFormatting sqref="C38">
    <cfRule type="cellIs" dxfId="5" priority="6" operator="equal">
      <formula>0</formula>
    </cfRule>
  </conditionalFormatting>
  <conditionalFormatting sqref="C42">
    <cfRule type="cellIs" dxfId="4" priority="3" operator="equal">
      <formula>0</formula>
    </cfRule>
  </conditionalFormatting>
  <conditionalFormatting sqref="C51">
    <cfRule type="cellIs" dxfId="3" priority="17" operator="equal">
      <formula>0</formula>
    </cfRule>
  </conditionalFormatting>
  <conditionalFormatting sqref="C54">
    <cfRule type="cellIs" dxfId="2" priority="124" operator="equal">
      <formula>0</formula>
    </cfRule>
  </conditionalFormatting>
  <conditionalFormatting sqref="E1:E3 G1:G13 E5:E13 H12:I12 O13 S14:V17 E14:K56 E57:G57 H57:K59 E58:H58 E59:F59">
    <cfRule type="cellIs" dxfId="1" priority="1081" stopIfTrue="1" operator="equal">
      <formula>0</formula>
    </cfRule>
  </conditionalFormatting>
  <conditionalFormatting sqref="G58:G65524 E63:E65524">
    <cfRule type="cellIs" dxfId="0" priority="215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9:F34 H14:K5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tabSelected="1" view="pageBreakPreview" zoomScaleNormal="115" zoomScaleSheetLayoutView="100" workbookViewId="0">
      <selection activeCell="R9" sqref="R9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0" t="s">
        <v>1439</v>
      </c>
      <c r="X2" s="691"/>
      <c r="Y2" s="691"/>
      <c r="Z2" s="691"/>
      <c r="AA2" s="691"/>
      <c r="AB2" s="691"/>
      <c r="AC2" s="691"/>
      <c r="AD2" s="692"/>
    </row>
    <row r="3" spans="3:30">
      <c r="C3" s="238"/>
      <c r="W3" s="693"/>
      <c r="X3" s="694"/>
      <c r="Y3" s="694"/>
      <c r="Z3" s="694"/>
      <c r="AA3" s="694"/>
      <c r="AB3" s="694"/>
      <c r="AC3" s="694"/>
      <c r="AD3" s="695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39" t="s">
        <v>990</v>
      </c>
      <c r="Y5" s="639"/>
      <c r="Z5" s="639"/>
      <c r="AA5" s="639" t="s">
        <v>988</v>
      </c>
      <c r="AB5" s="639"/>
      <c r="AC5" s="639" t="s">
        <v>989</v>
      </c>
      <c r="AD5" s="640"/>
    </row>
    <row r="6" spans="3:30">
      <c r="C6" s="238"/>
      <c r="W6" s="241">
        <v>1</v>
      </c>
      <c r="X6" s="639" t="s">
        <v>993</v>
      </c>
      <c r="Y6" s="639"/>
      <c r="Z6" s="639"/>
      <c r="AA6" s="639"/>
      <c r="AB6" s="639"/>
      <c r="AC6" s="639"/>
      <c r="AD6" s="640"/>
    </row>
    <row r="7" spans="3:30">
      <c r="C7" s="238"/>
      <c r="E7" s="490" t="str">
        <f>PETA!C6</f>
        <v>KOORDINAT : -6.7975212,110.6120317</v>
      </c>
      <c r="W7" s="241">
        <v>2</v>
      </c>
      <c r="X7" s="639" t="s">
        <v>994</v>
      </c>
      <c r="Y7" s="639"/>
      <c r="Z7" s="639"/>
      <c r="AA7" s="639"/>
      <c r="AB7" s="639"/>
      <c r="AC7" s="639"/>
      <c r="AD7" s="640"/>
    </row>
    <row r="8" spans="3:30">
      <c r="C8" s="238"/>
      <c r="W8" s="241">
        <v>3</v>
      </c>
      <c r="X8" s="639" t="s">
        <v>995</v>
      </c>
      <c r="Y8" s="639"/>
      <c r="Z8" s="639"/>
      <c r="AA8" s="639"/>
      <c r="AB8" s="639"/>
      <c r="AC8" s="639"/>
      <c r="AD8" s="640"/>
    </row>
    <row r="9" spans="3:30">
      <c r="C9" s="238"/>
      <c r="W9" s="241">
        <v>4</v>
      </c>
      <c r="X9" s="639" t="s">
        <v>996</v>
      </c>
      <c r="Y9" s="639"/>
      <c r="Z9" s="639"/>
      <c r="AA9" s="639"/>
      <c r="AB9" s="639"/>
      <c r="AC9" s="639"/>
      <c r="AD9" s="640"/>
    </row>
    <row r="10" spans="3:30">
      <c r="C10" s="238"/>
      <c r="W10" s="241">
        <v>5</v>
      </c>
      <c r="X10" s="639" t="s">
        <v>997</v>
      </c>
      <c r="Y10" s="639"/>
      <c r="Z10" s="639"/>
      <c r="AA10" s="639"/>
      <c r="AB10" s="639"/>
      <c r="AC10" s="639"/>
      <c r="AD10" s="640"/>
    </row>
    <row r="11" spans="3:30">
      <c r="C11" s="238"/>
      <c r="W11" s="241">
        <v>6</v>
      </c>
      <c r="X11" s="639" t="s">
        <v>998</v>
      </c>
      <c r="Y11" s="639"/>
      <c r="Z11" s="639"/>
      <c r="AA11" s="639"/>
      <c r="AB11" s="639"/>
      <c r="AC11" s="639"/>
      <c r="AD11" s="640"/>
    </row>
    <row r="12" spans="3:30">
      <c r="C12" s="238"/>
      <c r="W12" s="241">
        <v>7</v>
      </c>
      <c r="X12" s="639" t="s">
        <v>999</v>
      </c>
      <c r="Y12" s="639"/>
      <c r="Z12" s="639"/>
      <c r="AA12" s="639"/>
      <c r="AB12" s="639"/>
      <c r="AC12" s="639"/>
      <c r="AD12" s="640"/>
    </row>
    <row r="13" spans="3:30" ht="12.75" customHeight="1">
      <c r="C13" s="238"/>
      <c r="W13" s="241">
        <v>8</v>
      </c>
      <c r="X13" s="639" t="s">
        <v>1000</v>
      </c>
      <c r="Y13" s="639"/>
      <c r="Z13" s="639"/>
      <c r="AA13" s="639"/>
      <c r="AB13" s="639"/>
      <c r="AC13" s="639"/>
      <c r="AD13" s="640"/>
    </row>
    <row r="14" spans="3:30">
      <c r="C14" s="238"/>
      <c r="W14" s="241">
        <v>9</v>
      </c>
      <c r="X14" s="639" t="s">
        <v>1001</v>
      </c>
      <c r="Y14" s="639"/>
      <c r="Z14" s="639"/>
      <c r="AA14" s="639"/>
      <c r="AB14" s="639"/>
      <c r="AC14" s="639"/>
      <c r="AD14" s="640"/>
    </row>
    <row r="15" spans="3:30">
      <c r="C15" s="238"/>
      <c r="W15" s="241">
        <v>10</v>
      </c>
      <c r="X15" s="639" t="s">
        <v>1010</v>
      </c>
      <c r="Y15" s="639"/>
      <c r="Z15" s="639"/>
      <c r="AA15" s="639"/>
      <c r="AB15" s="639"/>
      <c r="AC15" s="639"/>
      <c r="AD15" s="640"/>
    </row>
    <row r="16" spans="3:30">
      <c r="C16" s="238"/>
      <c r="L16" s="235" t="s">
        <v>1634</v>
      </c>
      <c r="O16" s="235" t="s">
        <v>1635</v>
      </c>
      <c r="W16" s="241">
        <v>11</v>
      </c>
      <c r="X16" s="639" t="s">
        <v>1455</v>
      </c>
      <c r="Y16" s="639"/>
      <c r="Z16" s="639"/>
      <c r="AA16" s="639"/>
      <c r="AB16" s="639"/>
      <c r="AC16" s="639"/>
      <c r="AD16" s="640"/>
    </row>
    <row r="17" spans="3:30">
      <c r="C17" s="238"/>
      <c r="S17" s="242"/>
      <c r="W17" s="241">
        <v>12</v>
      </c>
      <c r="X17" s="639" t="s">
        <v>1011</v>
      </c>
      <c r="Y17" s="639"/>
      <c r="Z17" s="639"/>
      <c r="AA17" s="639"/>
      <c r="AB17" s="639"/>
      <c r="AC17" s="639"/>
      <c r="AD17" s="640"/>
    </row>
    <row r="18" spans="3:30">
      <c r="C18" s="243"/>
      <c r="D18" s="244"/>
      <c r="E18" s="244"/>
      <c r="W18" s="241">
        <v>13</v>
      </c>
      <c r="X18" s="639"/>
      <c r="Y18" s="639"/>
      <c r="Z18" s="639"/>
      <c r="AA18" s="639"/>
      <c r="AB18" s="639"/>
      <c r="AC18" s="639"/>
      <c r="AD18" s="640"/>
    </row>
    <row r="19" spans="3:30">
      <c r="C19" s="238"/>
      <c r="W19" s="245"/>
      <c r="X19" s="688"/>
      <c r="Y19" s="688"/>
      <c r="Z19" s="688"/>
      <c r="AA19" s="688"/>
      <c r="AB19" s="688"/>
      <c r="AC19" s="688"/>
      <c r="AD19" s="689"/>
    </row>
    <row r="20" spans="3:30">
      <c r="C20" s="238"/>
      <c r="W20" s="675" t="s">
        <v>992</v>
      </c>
      <c r="X20" s="676"/>
      <c r="Y20" s="676"/>
      <c r="Z20" s="676"/>
      <c r="AA20" s="676"/>
      <c r="AB20" s="676"/>
      <c r="AC20" s="676"/>
      <c r="AD20" s="677"/>
    </row>
    <row r="21" spans="3:30">
      <c r="C21" s="238"/>
      <c r="W21" s="678" t="s">
        <v>985</v>
      </c>
      <c r="X21" s="679"/>
      <c r="Y21" s="679"/>
      <c r="Z21" s="680"/>
      <c r="AA21" s="681" t="s">
        <v>986</v>
      </c>
      <c r="AB21" s="682"/>
      <c r="AC21" s="682"/>
      <c r="AD21" s="683"/>
    </row>
    <row r="22" spans="3:30">
      <c r="C22" s="238"/>
      <c r="W22" s="684" t="s">
        <v>1624</v>
      </c>
      <c r="X22" s="685"/>
      <c r="Y22" s="492">
        <v>1</v>
      </c>
      <c r="Z22" s="493"/>
      <c r="AA22" s="686"/>
      <c r="AB22" s="687"/>
      <c r="AC22" s="248"/>
      <c r="AD22" s="249"/>
    </row>
    <row r="23" spans="3:30">
      <c r="C23" s="238"/>
      <c r="W23" s="684" t="s">
        <v>1625</v>
      </c>
      <c r="X23" s="685"/>
      <c r="Y23" s="492">
        <v>1</v>
      </c>
      <c r="Z23" s="493"/>
      <c r="AA23" s="673"/>
      <c r="AB23" s="674"/>
      <c r="AC23" s="248"/>
      <c r="AD23" s="249"/>
    </row>
    <row r="24" spans="3:30">
      <c r="C24" s="238"/>
      <c r="W24" s="668" t="s">
        <v>1626</v>
      </c>
      <c r="X24" s="670"/>
      <c r="Y24" s="246">
        <v>1</v>
      </c>
      <c r="Z24" s="247"/>
      <c r="AA24" s="671"/>
      <c r="AB24" s="672"/>
      <c r="AC24" s="248"/>
      <c r="AD24" s="249"/>
    </row>
    <row r="25" spans="3:30">
      <c r="C25" s="238"/>
      <c r="W25" s="668" t="s">
        <v>1618</v>
      </c>
      <c r="X25" s="670"/>
      <c r="Y25" s="246">
        <v>2</v>
      </c>
      <c r="Z25" s="247"/>
      <c r="AA25" s="673"/>
      <c r="AB25" s="674"/>
      <c r="AC25" s="248"/>
      <c r="AD25" s="249"/>
    </row>
    <row r="26" spans="3:30">
      <c r="C26" s="238"/>
      <c r="W26" s="480" t="s">
        <v>1623</v>
      </c>
      <c r="X26" s="481"/>
      <c r="Y26" s="246">
        <v>4</v>
      </c>
      <c r="Z26" s="247"/>
      <c r="AA26" s="673"/>
      <c r="AB26" s="674"/>
      <c r="AC26" s="248"/>
      <c r="AD26" s="249"/>
    </row>
    <row r="27" spans="3:30">
      <c r="C27" s="238"/>
      <c r="W27" s="480" t="s">
        <v>1620</v>
      </c>
      <c r="X27" s="481"/>
      <c r="Y27" s="246">
        <v>8</v>
      </c>
      <c r="Z27" s="247"/>
      <c r="AA27" s="667"/>
      <c r="AB27" s="662"/>
      <c r="AC27" s="248"/>
      <c r="AD27" s="249"/>
    </row>
    <row r="28" spans="3:30">
      <c r="C28" s="238"/>
      <c r="W28" s="480"/>
      <c r="X28" s="481"/>
      <c r="Y28" s="246"/>
      <c r="Z28" s="247"/>
      <c r="AA28" s="667"/>
      <c r="AB28" s="662"/>
      <c r="AC28" s="248"/>
      <c r="AD28" s="249"/>
    </row>
    <row r="29" spans="3:30">
      <c r="C29" s="238"/>
      <c r="W29" s="480"/>
      <c r="X29" s="481"/>
      <c r="Y29" s="246"/>
      <c r="Z29" s="247"/>
      <c r="AA29" s="667"/>
      <c r="AB29" s="662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67"/>
      <c r="AB30" s="662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67"/>
      <c r="AB31" s="662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67"/>
      <c r="AB32" s="662"/>
      <c r="AC32" s="248"/>
      <c r="AD32" s="249"/>
    </row>
    <row r="33" spans="3:30">
      <c r="C33" s="238"/>
      <c r="W33" s="480"/>
      <c r="X33" s="481"/>
      <c r="Y33" s="246"/>
      <c r="Z33" s="247"/>
      <c r="AA33" s="667"/>
      <c r="AB33" s="662"/>
      <c r="AC33" s="248"/>
      <c r="AD33" s="249"/>
    </row>
    <row r="34" spans="3:30">
      <c r="C34" s="238"/>
      <c r="W34" s="480"/>
      <c r="X34" s="481"/>
      <c r="Y34" s="246"/>
      <c r="Z34" s="247"/>
      <c r="AA34" s="667"/>
      <c r="AB34" s="662"/>
      <c r="AC34" s="248"/>
      <c r="AD34" s="249"/>
    </row>
    <row r="35" spans="3:30">
      <c r="C35" s="238"/>
      <c r="W35" s="668"/>
      <c r="X35" s="669"/>
      <c r="Y35" s="246"/>
      <c r="Z35" s="247"/>
      <c r="AA35" s="667"/>
      <c r="AB35" s="662"/>
      <c r="AC35" s="248"/>
      <c r="AD35" s="249"/>
    </row>
    <row r="36" spans="3:30">
      <c r="C36" s="238"/>
      <c r="W36" s="659"/>
      <c r="X36" s="660"/>
      <c r="Y36" s="246"/>
      <c r="Z36" s="251"/>
      <c r="AA36" s="661"/>
      <c r="AB36" s="662"/>
      <c r="AC36" s="248"/>
      <c r="AD36" s="249"/>
    </row>
    <row r="37" spans="3:30" ht="12.75" customHeight="1">
      <c r="C37" s="238"/>
      <c r="W37" s="663"/>
      <c r="X37" s="664"/>
      <c r="Y37" s="246"/>
      <c r="Z37" s="251"/>
      <c r="AA37" s="665"/>
      <c r="AB37" s="666"/>
      <c r="AC37" s="252"/>
      <c r="AD37" s="253"/>
    </row>
    <row r="38" spans="3:30" ht="12.75" customHeight="1">
      <c r="C38" s="238"/>
      <c r="W38" s="663"/>
      <c r="X38" s="664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07"/>
      <c r="W39" s="663"/>
      <c r="X39" s="664"/>
      <c r="Y39" s="254"/>
      <c r="Z39" s="257"/>
      <c r="AA39" s="655"/>
      <c r="AB39" s="656"/>
      <c r="AC39" s="252"/>
      <c r="AD39" s="253"/>
    </row>
    <row r="40" spans="3:30" ht="12" customHeight="1">
      <c r="C40" s="238"/>
      <c r="D40" s="507"/>
      <c r="W40" s="651"/>
      <c r="X40" s="652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07"/>
      <c r="W41" s="653"/>
      <c r="X41" s="654"/>
      <c r="Y41" s="260"/>
      <c r="Z41" s="261"/>
      <c r="AA41" s="655"/>
      <c r="AB41" s="656"/>
      <c r="AC41" s="252"/>
      <c r="AD41" s="253"/>
    </row>
    <row r="42" spans="3:30" ht="12" customHeight="1">
      <c r="C42" s="238"/>
      <c r="D42" s="507"/>
      <c r="W42" s="657" t="s">
        <v>1456</v>
      </c>
      <c r="X42" s="658"/>
      <c r="Y42" s="658"/>
      <c r="Z42" s="658"/>
      <c r="AA42" s="262"/>
      <c r="AB42" s="262"/>
      <c r="AC42" s="262"/>
      <c r="AD42" s="263"/>
    </row>
    <row r="43" spans="3:30" ht="12" customHeight="1">
      <c r="C43" s="238"/>
      <c r="D43" s="507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07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36" t="s">
        <v>11</v>
      </c>
      <c r="X44" s="637"/>
      <c r="Y44" s="639"/>
      <c r="Z44" s="639"/>
      <c r="AA44" s="639"/>
      <c r="AB44" s="639"/>
      <c r="AC44" s="639"/>
      <c r="AD44" s="640"/>
    </row>
    <row r="45" spans="3:30">
      <c r="C45" s="268"/>
      <c r="D45" s="507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36" t="s">
        <v>984</v>
      </c>
      <c r="X45" s="637"/>
      <c r="Y45" s="639">
        <v>1</v>
      </c>
      <c r="Z45" s="639"/>
      <c r="AA45" s="639"/>
      <c r="AB45" s="639" t="s">
        <v>12</v>
      </c>
      <c r="AC45" s="639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36" t="s">
        <v>15</v>
      </c>
      <c r="X46" s="637"/>
      <c r="Y46" s="650"/>
      <c r="Z46" s="650"/>
      <c r="AA46" s="650"/>
      <c r="AB46" s="639" t="s">
        <v>16</v>
      </c>
      <c r="AC46" s="639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44" t="s">
        <v>17</v>
      </c>
      <c r="X47" s="644"/>
      <c r="Y47" s="644"/>
      <c r="Z47" s="644"/>
      <c r="AA47" s="644"/>
      <c r="AB47" s="644"/>
      <c r="AC47" s="644"/>
      <c r="AD47" s="645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46" t="str">
        <f>RAB!G6</f>
        <v>MASJID AL-FALAH</v>
      </c>
      <c r="X48" s="646"/>
      <c r="Y48" s="646"/>
      <c r="Z48" s="646"/>
      <c r="AA48" s="646"/>
      <c r="AB48" s="646"/>
      <c r="AC48" s="646"/>
      <c r="AD48" s="647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46"/>
      <c r="X49" s="646"/>
      <c r="Y49" s="646"/>
      <c r="Z49" s="646"/>
      <c r="AA49" s="646"/>
      <c r="AB49" s="646"/>
      <c r="AC49" s="646"/>
      <c r="AD49" s="647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46"/>
      <c r="X50" s="646"/>
      <c r="Y50" s="646"/>
      <c r="Z50" s="646"/>
      <c r="AA50" s="646"/>
      <c r="AB50" s="646"/>
      <c r="AC50" s="646"/>
      <c r="AD50" s="647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48"/>
      <c r="X51" s="648"/>
      <c r="Y51" s="648"/>
      <c r="Z51" s="648"/>
      <c r="AA51" s="648"/>
      <c r="AB51" s="648"/>
      <c r="AC51" s="648"/>
      <c r="AD51" s="649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36" t="s">
        <v>18</v>
      </c>
      <c r="X52" s="637"/>
      <c r="Y52" s="639" t="s">
        <v>1549</v>
      </c>
      <c r="Z52" s="639"/>
      <c r="AA52" s="639"/>
      <c r="AB52" s="639"/>
      <c r="AC52" s="639"/>
      <c r="AD52" s="640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36" t="s">
        <v>19</v>
      </c>
      <c r="X53" s="637"/>
      <c r="Y53" s="639" t="s">
        <v>1549</v>
      </c>
      <c r="Z53" s="639"/>
      <c r="AA53" s="639"/>
      <c r="AB53" s="639"/>
      <c r="AC53" s="639"/>
      <c r="AD53" s="640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36" t="s">
        <v>20</v>
      </c>
      <c r="X54" s="637"/>
      <c r="Y54" s="638" t="s">
        <v>1550</v>
      </c>
      <c r="Z54" s="638"/>
      <c r="AA54" s="638"/>
      <c r="AB54" s="639"/>
      <c r="AC54" s="639"/>
      <c r="AD54" s="640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1" t="s">
        <v>21</v>
      </c>
      <c r="X55" s="642"/>
      <c r="Y55" s="638" t="s">
        <v>1551</v>
      </c>
      <c r="Z55" s="638"/>
      <c r="AA55" s="638"/>
      <c r="AB55" s="638"/>
      <c r="AC55" s="638"/>
      <c r="AD55" s="643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T44" sqref="T4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6" t="s">
        <v>1528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698"/>
      <c r="AD4" s="217"/>
      <c r="AE4" s="216"/>
      <c r="AF4" s="216"/>
    </row>
    <row r="5" spans="2:32" ht="13.5" customHeight="1">
      <c r="B5" s="215"/>
      <c r="C5" s="215"/>
      <c r="D5" s="699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0"/>
      <c r="Z5" s="700"/>
      <c r="AA5" s="700"/>
      <c r="AB5" s="700"/>
      <c r="AC5" s="701"/>
      <c r="AD5" s="217"/>
      <c r="AE5" s="216"/>
      <c r="AF5" s="216"/>
    </row>
    <row r="6" spans="2:32" ht="12.75" customHeight="1">
      <c r="B6" s="215"/>
      <c r="C6" s="215"/>
      <c r="D6" s="699"/>
      <c r="E6" s="700"/>
      <c r="F6" s="700"/>
      <c r="G6" s="700"/>
      <c r="H6" s="700"/>
      <c r="I6" s="700"/>
      <c r="J6" s="700"/>
      <c r="K6" s="700"/>
      <c r="L6" s="700"/>
      <c r="M6" s="700"/>
      <c r="N6" s="700"/>
      <c r="O6" s="700"/>
      <c r="P6" s="700"/>
      <c r="Q6" s="700"/>
      <c r="R6" s="700"/>
      <c r="S6" s="700"/>
      <c r="T6" s="700"/>
      <c r="U6" s="700"/>
      <c r="V6" s="700"/>
      <c r="W6" s="700"/>
      <c r="X6" s="700"/>
      <c r="Y6" s="700"/>
      <c r="Z6" s="700"/>
      <c r="AA6" s="700"/>
      <c r="AB6" s="700"/>
      <c r="AC6" s="701"/>
      <c r="AE6" s="216"/>
      <c r="AF6" s="216"/>
    </row>
    <row r="7" spans="2:32" ht="12.75" customHeight="1" thickBot="1">
      <c r="B7" s="215"/>
      <c r="C7" s="215"/>
      <c r="D7" s="702"/>
      <c r="E7" s="703"/>
      <c r="F7" s="703"/>
      <c r="G7" s="703"/>
      <c r="H7" s="703"/>
      <c r="I7" s="703"/>
      <c r="J7" s="703"/>
      <c r="K7" s="703"/>
      <c r="L7" s="703"/>
      <c r="M7" s="703"/>
      <c r="N7" s="703"/>
      <c r="O7" s="703"/>
      <c r="P7" s="703"/>
      <c r="Q7" s="703"/>
      <c r="R7" s="703"/>
      <c r="S7" s="703"/>
      <c r="T7" s="703"/>
      <c r="U7" s="703"/>
      <c r="V7" s="703"/>
      <c r="W7" s="703"/>
      <c r="X7" s="703"/>
      <c r="Y7" s="703"/>
      <c r="Z7" s="703"/>
      <c r="AA7" s="703"/>
      <c r="AB7" s="703"/>
      <c r="AC7" s="70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4" zoomScale="55" zoomScaleNormal="40" zoomScaleSheetLayoutView="55" workbookViewId="0">
      <selection activeCell="AJ83" sqref="AJ83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0" t="s">
        <v>1527</v>
      </c>
      <c r="D3" s="700"/>
      <c r="E3" s="700"/>
      <c r="F3" s="700"/>
      <c r="G3" s="700"/>
      <c r="H3" s="700"/>
      <c r="I3" s="700"/>
      <c r="J3" s="700"/>
      <c r="K3" s="700"/>
      <c r="L3" s="700"/>
      <c r="M3" s="700"/>
      <c r="N3" s="700"/>
      <c r="O3" s="700"/>
      <c r="P3" s="700"/>
      <c r="Q3" s="700"/>
      <c r="R3" s="700"/>
      <c r="S3" s="700"/>
      <c r="T3" s="700"/>
      <c r="U3" s="700"/>
      <c r="V3" s="700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00"/>
      <c r="D4" s="700"/>
      <c r="E4" s="700"/>
      <c r="F4" s="700"/>
      <c r="G4" s="700"/>
      <c r="H4" s="700"/>
      <c r="I4" s="700"/>
      <c r="J4" s="700"/>
      <c r="K4" s="700"/>
      <c r="L4" s="700"/>
      <c r="M4" s="700"/>
      <c r="N4" s="700"/>
      <c r="O4" s="700"/>
      <c r="P4" s="700"/>
      <c r="Q4" s="700"/>
      <c r="R4" s="700"/>
      <c r="S4" s="700"/>
      <c r="T4" s="700"/>
      <c r="U4" s="700"/>
      <c r="V4" s="700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05" t="s">
        <v>1629</v>
      </c>
      <c r="D6" s="705"/>
      <c r="E6" s="705"/>
      <c r="F6" s="705"/>
      <c r="G6" s="705"/>
      <c r="H6" s="705"/>
      <c r="I6" s="705"/>
      <c r="J6" s="705"/>
      <c r="K6" s="705"/>
      <c r="L6" s="705"/>
      <c r="M6" s="705"/>
      <c r="W6" s="182"/>
      <c r="Y6" s="428"/>
      <c r="Z6" s="428"/>
      <c r="AA6" s="428"/>
      <c r="AB6" s="429"/>
      <c r="AC6" s="429"/>
    </row>
    <row r="7" spans="1:29" ht="18" customHeight="1">
      <c r="A7" s="181"/>
      <c r="C7" s="705"/>
      <c r="D7" s="705"/>
      <c r="E7" s="705"/>
      <c r="F7" s="705"/>
      <c r="G7" s="705"/>
      <c r="H7" s="705"/>
      <c r="I7" s="705"/>
      <c r="J7" s="705"/>
      <c r="K7" s="705"/>
      <c r="L7" s="705"/>
      <c r="M7" s="705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MUHAMAD TAUFIQ DWI UTOMO</cp:lastModifiedBy>
  <cp:lastPrinted>2023-05-10T03:04:01Z</cp:lastPrinted>
  <dcterms:created xsi:type="dcterms:W3CDTF">2011-02-06T11:57:38Z</dcterms:created>
  <dcterms:modified xsi:type="dcterms:W3CDTF">2024-06-20T08:28:33Z</dcterms:modified>
</cp:coreProperties>
</file>