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2024\RAB PBPD\"/>
    </mc:Choice>
  </mc:AlternateContent>
  <xr:revisionPtr revIDLastSave="0" documentId="13_ncr:1_{7A0296D8-5A84-4DDF-9AB7-8EFCE9D595C7}" xr6:coauthVersionLast="45" xr6:coauthVersionMax="47" xr10:uidLastSave="{00000000-0000-0000-0000-000000000000}"/>
  <bookViews>
    <workbookView xWindow="-110" yWindow="-110" windowWidth="19420" windowHeight="11020" tabRatio="859" firstSheet="1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RAB!$A$1:$K$107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</workbook>
</file>

<file path=xl/calcChain.xml><?xml version="1.0" encoding="utf-8"?>
<calcChain xmlns="http://schemas.openxmlformats.org/spreadsheetml/2006/main">
  <c r="K16" i="60" l="1"/>
  <c r="G74" i="11" l="1"/>
  <c r="G75" i="11"/>
  <c r="G76" i="11"/>
  <c r="G77" i="11"/>
  <c r="G78" i="11"/>
  <c r="G79" i="11"/>
  <c r="G80" i="11"/>
  <c r="G81" i="11"/>
  <c r="G82" i="11"/>
  <c r="D74" i="11"/>
  <c r="H74" i="11" s="1"/>
  <c r="E74" i="11"/>
  <c r="D75" i="11"/>
  <c r="H75" i="11" s="1"/>
  <c r="E75" i="11"/>
  <c r="D76" i="11"/>
  <c r="E76" i="11"/>
  <c r="D77" i="11"/>
  <c r="H77" i="11" s="1"/>
  <c r="E77" i="11"/>
  <c r="D78" i="11"/>
  <c r="J78" i="11" s="1"/>
  <c r="E78" i="11"/>
  <c r="D79" i="11"/>
  <c r="H79" i="11" s="1"/>
  <c r="E79" i="11"/>
  <c r="D80" i="11"/>
  <c r="J80" i="11" s="1"/>
  <c r="E80" i="11"/>
  <c r="D81" i="11"/>
  <c r="H81" i="11" s="1"/>
  <c r="E81" i="11"/>
  <c r="D82" i="11"/>
  <c r="J82" i="11" s="1"/>
  <c r="E82" i="11"/>
  <c r="F82" i="11"/>
  <c r="F81" i="11"/>
  <c r="F80" i="11"/>
  <c r="F79" i="11"/>
  <c r="F78" i="11"/>
  <c r="F77" i="11"/>
  <c r="F76" i="11"/>
  <c r="I77" i="11" l="1"/>
  <c r="J77" i="11"/>
  <c r="I76" i="11"/>
  <c r="I78" i="11"/>
  <c r="H78" i="11"/>
  <c r="I82" i="11"/>
  <c r="H82" i="11"/>
  <c r="H76" i="11"/>
  <c r="J75" i="11"/>
  <c r="H80" i="11"/>
  <c r="I75" i="11"/>
  <c r="J79" i="11"/>
  <c r="I79" i="11"/>
  <c r="J74" i="11"/>
  <c r="J81" i="11"/>
  <c r="I74" i="11"/>
  <c r="I80" i="11"/>
  <c r="I81" i="11"/>
  <c r="J76" i="11"/>
  <c r="K80" i="11" l="1"/>
  <c r="K82" i="11"/>
  <c r="K75" i="11"/>
  <c r="K78" i="11"/>
  <c r="K81" i="11"/>
  <c r="K77" i="11"/>
  <c r="K74" i="11"/>
  <c r="K79" i="11"/>
  <c r="K76" i="11"/>
  <c r="G35" i="11" l="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D36" i="11"/>
  <c r="H36" i="11" s="1"/>
  <c r="E36" i="11"/>
  <c r="D37" i="11"/>
  <c r="I37" i="11" s="1"/>
  <c r="E37" i="11"/>
  <c r="D38" i="11"/>
  <c r="H38" i="11" s="1"/>
  <c r="E38" i="11"/>
  <c r="D39" i="11"/>
  <c r="E39" i="11"/>
  <c r="D40" i="11"/>
  <c r="H40" i="11" s="1"/>
  <c r="E40" i="11"/>
  <c r="D41" i="11"/>
  <c r="H41" i="11" s="1"/>
  <c r="E41" i="11"/>
  <c r="D42" i="11"/>
  <c r="H42" i="11" s="1"/>
  <c r="E42" i="11"/>
  <c r="D43" i="11"/>
  <c r="H43" i="11" s="1"/>
  <c r="E43" i="11"/>
  <c r="D44" i="11"/>
  <c r="J44" i="11" s="1"/>
  <c r="E44" i="11"/>
  <c r="D45" i="11"/>
  <c r="H45" i="11" s="1"/>
  <c r="E45" i="11"/>
  <c r="D46" i="11"/>
  <c r="J46" i="11" s="1"/>
  <c r="E46" i="11"/>
  <c r="D47" i="11"/>
  <c r="H47" i="11" s="1"/>
  <c r="E47" i="11"/>
  <c r="D48" i="11"/>
  <c r="H48" i="11" s="1"/>
  <c r="E48" i="11"/>
  <c r="D49" i="11"/>
  <c r="I49" i="11" s="1"/>
  <c r="E49" i="11"/>
  <c r="D50" i="11"/>
  <c r="H50" i="11" s="1"/>
  <c r="E50" i="11"/>
  <c r="D51" i="11"/>
  <c r="I51" i="11" s="1"/>
  <c r="E51" i="11"/>
  <c r="D52" i="11"/>
  <c r="H52" i="11" s="1"/>
  <c r="E52" i="11"/>
  <c r="D53" i="11"/>
  <c r="H53" i="11" s="1"/>
  <c r="E53" i="11"/>
  <c r="D54" i="11"/>
  <c r="H54" i="11" s="1"/>
  <c r="E54" i="11"/>
  <c r="D55" i="11"/>
  <c r="H55" i="11" s="1"/>
  <c r="E55" i="11"/>
  <c r="D56" i="11"/>
  <c r="J56" i="11" s="1"/>
  <c r="E56" i="11"/>
  <c r="D57" i="11"/>
  <c r="H57" i="11" s="1"/>
  <c r="E57" i="11"/>
  <c r="D58" i="11"/>
  <c r="J58" i="11" s="1"/>
  <c r="E58" i="11"/>
  <c r="D59" i="11"/>
  <c r="H59" i="11" s="1"/>
  <c r="E59" i="11"/>
  <c r="D60" i="11"/>
  <c r="H60" i="11" s="1"/>
  <c r="E60" i="11"/>
  <c r="D61" i="11"/>
  <c r="I61" i="11" s="1"/>
  <c r="E61" i="11"/>
  <c r="D62" i="11"/>
  <c r="J62" i="11" s="1"/>
  <c r="E62" i="11"/>
  <c r="D63" i="11"/>
  <c r="E63" i="11"/>
  <c r="D64" i="11"/>
  <c r="E64" i="11"/>
  <c r="D65" i="11"/>
  <c r="E65" i="11"/>
  <c r="F61" i="11"/>
  <c r="F60" i="11"/>
  <c r="F59" i="11"/>
  <c r="F58" i="11"/>
  <c r="F55" i="11"/>
  <c r="F54" i="11"/>
  <c r="F53" i="11"/>
  <c r="F52" i="11"/>
  <c r="F49" i="11"/>
  <c r="F48" i="11"/>
  <c r="F47" i="11"/>
  <c r="F46" i="11"/>
  <c r="F43" i="11"/>
  <c r="F42" i="11"/>
  <c r="F41" i="11"/>
  <c r="F40" i="11"/>
  <c r="F39" i="11"/>
  <c r="F38" i="11"/>
  <c r="I62" i="11" l="1"/>
  <c r="I56" i="11"/>
  <c r="H62" i="11"/>
  <c r="I39" i="11"/>
  <c r="H49" i="11"/>
  <c r="J38" i="11"/>
  <c r="J55" i="11"/>
  <c r="I55" i="11"/>
  <c r="H61" i="11"/>
  <c r="J53" i="11"/>
  <c r="I38" i="11"/>
  <c r="I53" i="11"/>
  <c r="H37" i="11"/>
  <c r="J57" i="11"/>
  <c r="J43" i="11"/>
  <c r="I57" i="11"/>
  <c r="J51" i="11"/>
  <c r="I43" i="11"/>
  <c r="H51" i="11"/>
  <c r="H46" i="11"/>
  <c r="J41" i="11"/>
  <c r="J39" i="11"/>
  <c r="H39" i="11"/>
  <c r="I46" i="11"/>
  <c r="J45" i="11"/>
  <c r="I41" i="11"/>
  <c r="I58" i="11"/>
  <c r="I50" i="11"/>
  <c r="J50" i="11"/>
  <c r="I45" i="11"/>
  <c r="H58" i="11"/>
  <c r="I44" i="11"/>
  <c r="H56" i="11"/>
  <c r="H44" i="11"/>
  <c r="J52" i="11"/>
  <c r="J40" i="11"/>
  <c r="J59" i="11"/>
  <c r="I52" i="11"/>
  <c r="J47" i="11"/>
  <c r="I40" i="11"/>
  <c r="I59" i="11"/>
  <c r="J54" i="11"/>
  <c r="I47" i="11"/>
  <c r="J42" i="11"/>
  <c r="J37" i="11"/>
  <c r="J60" i="11"/>
  <c r="J48" i="11"/>
  <c r="J36" i="11"/>
  <c r="I60" i="11"/>
  <c r="I48" i="11"/>
  <c r="I36" i="11"/>
  <c r="J61" i="11"/>
  <c r="I54" i="11"/>
  <c r="J49" i="11"/>
  <c r="I42" i="11"/>
  <c r="K61" i="11" l="1"/>
  <c r="K56" i="11"/>
  <c r="K62" i="11"/>
  <c r="K40" i="11"/>
  <c r="K46" i="11"/>
  <c r="K53" i="11"/>
  <c r="K58" i="11"/>
  <c r="K47" i="11"/>
  <c r="K52" i="11"/>
  <c r="K59" i="11"/>
  <c r="K57" i="11"/>
  <c r="K49" i="11"/>
  <c r="K39" i="11"/>
  <c r="K38" i="11"/>
  <c r="K41" i="11"/>
  <c r="K45" i="11"/>
  <c r="K48" i="11"/>
  <c r="K51" i="11"/>
  <c r="K43" i="11"/>
  <c r="K50" i="11"/>
  <c r="K36" i="11"/>
  <c r="K60" i="11"/>
  <c r="K55" i="11"/>
  <c r="K37" i="11"/>
  <c r="K42" i="11"/>
  <c r="K54" i="11"/>
  <c r="K44" i="11"/>
  <c r="D8" i="59" l="1"/>
  <c r="D18" i="60"/>
  <c r="D70" i="11"/>
  <c r="A16" i="11"/>
  <c r="D16" i="11"/>
  <c r="H16" i="11" s="1"/>
  <c r="E16" i="11"/>
  <c r="G16" i="11"/>
  <c r="J16" i="11" l="1"/>
  <c r="I16" i="11"/>
  <c r="K16" i="11" l="1"/>
  <c r="G17" i="11"/>
  <c r="E17" i="11"/>
  <c r="D17" i="11"/>
  <c r="J17" i="11" s="1"/>
  <c r="H17" i="11" l="1"/>
  <c r="I17" i="11"/>
  <c r="F35" i="11"/>
  <c r="F34" i="11"/>
  <c r="F33" i="11"/>
  <c r="F32" i="11"/>
  <c r="F31" i="11"/>
  <c r="G29" i="11"/>
  <c r="G30" i="11"/>
  <c r="G31" i="11"/>
  <c r="G32" i="11"/>
  <c r="G33" i="11"/>
  <c r="G34" i="11"/>
  <c r="G63" i="11"/>
  <c r="G64" i="11"/>
  <c r="G65" i="11"/>
  <c r="H65" i="11"/>
  <c r="I65" i="11"/>
  <c r="G66" i="11"/>
  <c r="D29" i="11"/>
  <c r="H29" i="11" s="1"/>
  <c r="E29" i="11"/>
  <c r="D30" i="11"/>
  <c r="J30" i="11" s="1"/>
  <c r="E30" i="11"/>
  <c r="D31" i="11"/>
  <c r="E31" i="11"/>
  <c r="D32" i="11"/>
  <c r="H32" i="11" s="1"/>
  <c r="E32" i="11"/>
  <c r="D33" i="11"/>
  <c r="H33" i="11" s="1"/>
  <c r="E33" i="11"/>
  <c r="D34" i="11"/>
  <c r="J34" i="11" s="1"/>
  <c r="E34" i="11"/>
  <c r="D35" i="11"/>
  <c r="E35" i="11"/>
  <c r="H63" i="11"/>
  <c r="G18" i="11"/>
  <c r="D18" i="11"/>
  <c r="I18" i="11" s="1"/>
  <c r="E18" i="11"/>
  <c r="F28" i="11"/>
  <c r="F27" i="11"/>
  <c r="F26" i="11"/>
  <c r="F25" i="11"/>
  <c r="F24" i="11"/>
  <c r="D22" i="11"/>
  <c r="J22" i="11" s="1"/>
  <c r="E22" i="11"/>
  <c r="G22" i="11"/>
  <c r="D23" i="11"/>
  <c r="J23" i="11" s="1"/>
  <c r="E23" i="11"/>
  <c r="G23" i="11"/>
  <c r="D24" i="11"/>
  <c r="J24" i="11" s="1"/>
  <c r="E24" i="11"/>
  <c r="G24" i="11"/>
  <c r="D25" i="11"/>
  <c r="H25" i="11" s="1"/>
  <c r="E25" i="11"/>
  <c r="G25" i="11"/>
  <c r="D26" i="11"/>
  <c r="H26" i="11" s="1"/>
  <c r="E26" i="11"/>
  <c r="G26" i="11"/>
  <c r="D27" i="11"/>
  <c r="J27" i="11" s="1"/>
  <c r="E27" i="11"/>
  <c r="G27" i="11"/>
  <c r="D28" i="11"/>
  <c r="E28" i="11"/>
  <c r="G28" i="11"/>
  <c r="H35" i="11" l="1"/>
  <c r="I35" i="11"/>
  <c r="J35" i="11"/>
  <c r="H64" i="11"/>
  <c r="K17" i="11"/>
  <c r="I31" i="11"/>
  <c r="I30" i="11"/>
  <c r="J64" i="11"/>
  <c r="I34" i="11"/>
  <c r="H31" i="11"/>
  <c r="J29" i="11"/>
  <c r="J33" i="11"/>
  <c r="I64" i="11"/>
  <c r="J63" i="11"/>
  <c r="H34" i="11"/>
  <c r="I33" i="11"/>
  <c r="J32" i="11"/>
  <c r="H30" i="11"/>
  <c r="I29" i="11"/>
  <c r="I63" i="11"/>
  <c r="I32" i="11"/>
  <c r="J31" i="11"/>
  <c r="J18" i="11"/>
  <c r="H18" i="11"/>
  <c r="I23" i="11"/>
  <c r="I27" i="11"/>
  <c r="I22" i="11"/>
  <c r="H22" i="11"/>
  <c r="H27" i="11"/>
  <c r="I26" i="11"/>
  <c r="J25" i="11"/>
  <c r="H23" i="11"/>
  <c r="I25" i="11"/>
  <c r="J28" i="11"/>
  <c r="I28" i="11"/>
  <c r="I24" i="11"/>
  <c r="H28" i="11"/>
  <c r="J26" i="11"/>
  <c r="H24" i="11"/>
  <c r="F73" i="11"/>
  <c r="F71" i="11"/>
  <c r="F70" i="11"/>
  <c r="K35" i="11" l="1"/>
  <c r="K29" i="11"/>
  <c r="K30" i="11"/>
  <c r="K64" i="11"/>
  <c r="K32" i="11"/>
  <c r="K34" i="11"/>
  <c r="K31" i="11"/>
  <c r="K63" i="11"/>
  <c r="K33" i="11"/>
  <c r="K18" i="11"/>
  <c r="K23" i="11"/>
  <c r="K22" i="11"/>
  <c r="K26" i="11"/>
  <c r="K27" i="11"/>
  <c r="K25" i="11"/>
  <c r="K28" i="11"/>
  <c r="K24" i="11"/>
  <c r="G84" i="11" l="1"/>
  <c r="G85" i="11"/>
  <c r="G86" i="11"/>
  <c r="D84" i="11"/>
  <c r="J84" i="11" s="1"/>
  <c r="E84" i="11"/>
  <c r="D85" i="11"/>
  <c r="I85" i="11" s="1"/>
  <c r="E85" i="11"/>
  <c r="D86" i="11"/>
  <c r="H86" i="11" s="1"/>
  <c r="E86" i="11"/>
  <c r="D66" i="11"/>
  <c r="E66" i="11"/>
  <c r="F65" i="11"/>
  <c r="J65" i="11" s="1"/>
  <c r="K65" i="11" s="1"/>
  <c r="I66" i="11" l="1"/>
  <c r="J66" i="11"/>
  <c r="H66" i="11"/>
  <c r="H85" i="11"/>
  <c r="I84" i="11"/>
  <c r="J86" i="11"/>
  <c r="H84" i="11"/>
  <c r="I86" i="11"/>
  <c r="J85" i="11"/>
  <c r="K66" i="11" l="1"/>
  <c r="K86" i="11"/>
  <c r="K84" i="11"/>
  <c r="K85" i="11"/>
  <c r="D68" i="11" l="1"/>
  <c r="D69" i="11"/>
  <c r="D71" i="11"/>
  <c r="D72" i="11"/>
  <c r="D73" i="11"/>
  <c r="D19" i="11"/>
  <c r="J19" i="11" s="1"/>
  <c r="E19" i="11"/>
  <c r="G19" i="11"/>
  <c r="D21" i="11"/>
  <c r="H21" i="11" s="1"/>
  <c r="E21" i="11"/>
  <c r="G21" i="11"/>
  <c r="E7" i="64"/>
  <c r="D15" i="11"/>
  <c r="J15" i="11" s="1"/>
  <c r="E15" i="11"/>
  <c r="G15" i="11"/>
  <c r="J21" i="11" l="1"/>
  <c r="I21" i="11"/>
  <c r="I19" i="11"/>
  <c r="H19" i="11"/>
  <c r="I15" i="11"/>
  <c r="H15" i="11"/>
  <c r="K21" i="11" l="1"/>
  <c r="K19" i="11"/>
  <c r="K15" i="11"/>
  <c r="G6" i="11" l="1"/>
  <c r="D67" i="11"/>
  <c r="J67" i="11" s="1"/>
  <c r="E67" i="11"/>
  <c r="G67" i="11"/>
  <c r="H68" i="11"/>
  <c r="E68" i="11"/>
  <c r="G68" i="11"/>
  <c r="E69" i="11"/>
  <c r="G69" i="11"/>
  <c r="J70" i="11"/>
  <c r="E70" i="11"/>
  <c r="G70" i="11"/>
  <c r="J71" i="11"/>
  <c r="E71" i="11"/>
  <c r="G71" i="11"/>
  <c r="E72" i="11"/>
  <c r="G72" i="11"/>
  <c r="H73" i="11"/>
  <c r="E73" i="11"/>
  <c r="G73" i="11"/>
  <c r="H69" i="11" l="1"/>
  <c r="H72" i="11"/>
  <c r="J73" i="11"/>
  <c r="J72" i="11"/>
  <c r="I70" i="11"/>
  <c r="H70" i="11"/>
  <c r="J69" i="11"/>
  <c r="J68" i="11"/>
  <c r="I68" i="11"/>
  <c r="I72" i="11"/>
  <c r="H71" i="11"/>
  <c r="H67" i="11"/>
  <c r="I71" i="11"/>
  <c r="I67" i="11"/>
  <c r="I73" i="11"/>
  <c r="I69" i="11"/>
  <c r="D14" i="11"/>
  <c r="J14" i="11" s="1"/>
  <c r="E14" i="11"/>
  <c r="G14" i="11"/>
  <c r="K19" i="60"/>
  <c r="D19" i="60"/>
  <c r="K68" i="11" l="1"/>
  <c r="K70" i="11"/>
  <c r="K72" i="11"/>
  <c r="K73" i="11"/>
  <c r="K69" i="11"/>
  <c r="K67" i="11"/>
  <c r="K71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21" i="59"/>
  <c r="K18" i="60"/>
  <c r="K17" i="60"/>
  <c r="D17" i="60"/>
  <c r="D20" i="60"/>
  <c r="K9" i="60" l="1"/>
  <c r="D6" i="60"/>
  <c r="D9" i="60" s="1"/>
  <c r="K20" i="60" l="1"/>
  <c r="D5" i="60" l="1"/>
  <c r="K5" i="60" s="1"/>
  <c r="F3" i="54" l="1"/>
  <c r="C7" i="54" l="1"/>
  <c r="C8" i="54" l="1"/>
  <c r="D9" i="59"/>
  <c r="K7" i="54" s="1"/>
  <c r="H8" i="54" l="1"/>
  <c r="I8" i="54"/>
  <c r="H7" i="54"/>
  <c r="I7" i="54"/>
  <c r="A15" i="11" l="1"/>
  <c r="D87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87" i="11"/>
  <c r="D88" i="11"/>
  <c r="H88" i="11" s="1"/>
  <c r="E88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88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95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87" i="11"/>
  <c r="J87" i="11" s="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88" i="11"/>
  <c r="I88" i="11"/>
  <c r="H87" i="11" l="1"/>
  <c r="I87" i="1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88" i="11"/>
  <c r="K87" i="11" l="1"/>
  <c r="F224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90" i="11"/>
  <c r="H91" i="11" s="1"/>
  <c r="I90" i="11"/>
  <c r="I91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287" i="29" l="1"/>
  <c r="F345" i="29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92" i="11"/>
  <c r="I92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90" i="11" l="1"/>
  <c r="K91" i="11" s="1"/>
  <c r="K92" i="11" s="1"/>
  <c r="B93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90" i="11"/>
  <c r="J91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B16" i="29" l="1"/>
  <c r="E16" i="29" s="1"/>
  <c r="J16" i="29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92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K35" i="39" l="1"/>
  <c r="F777" i="41"/>
  <c r="F835" i="4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J14" i="54" s="1"/>
  <c r="G15" i="54"/>
  <c r="G25" i="54"/>
  <c r="G28" i="54"/>
  <c r="G31" i="54"/>
  <c r="G7" i="54"/>
  <c r="J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N7" i="54" l="1"/>
  <c r="P7" i="54" s="1"/>
  <c r="Q7" i="54" s="1"/>
  <c r="S7" i="54" s="1"/>
  <c r="G13" i="41"/>
  <c r="N13" i="54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Q8" i="54" l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J33" i="54"/>
  <c r="Q36" i="54" s="1"/>
  <c r="Q26" i="54"/>
  <c r="T26" i="54" s="1"/>
  <c r="S25" i="54"/>
  <c r="Q38" i="54" l="1"/>
  <c r="Q34" i="54"/>
  <c r="P32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<sst xmlns="http://schemas.openxmlformats.org/spreadsheetml/2006/main" count="4761" uniqueCount="1635">
  <si>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</si>
  <si>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</si>
  <si>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</si>
  <si>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</si>
  <si>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</si>
  <si>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</si>
  <si>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</si>
  <si>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</si>
  <si>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</si>
  <si>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</si>
  <si>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</si>
  <si>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</si>
  <si>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</si>
  <si>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</si>
  <si>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</si>
  <si>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</si>
  <si>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</si>
  <si>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</si>
  <si>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</si>
  <si>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</si>
  <si>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</si>
  <si>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</si>
  <si>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</si>
  <si>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</si>
  <si>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</si>
  <si>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</si>
  <si>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</si>
  <si>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</si>
  <si>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</si>
  <si>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</si>
  <si>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</si>
  <si>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</si>
  <si>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</si>
  <si>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</si>
  <si>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</si>
  <si>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</si>
  <si>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</si>
  <si>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</si>
  <si>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</si>
  <si>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</si>
  <si>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</si>
  <si>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</si>
  <si>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</si>
  <si>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</si>
  <si>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</si>
  <si>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</si>
  <si>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</si>
  <si>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</si>
  <si>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</si>
  <si>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</si>
  <si>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</si>
  <si>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</si>
  <si>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</si>
  <si>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</si>
  <si>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</si>
  <si>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</si>
  <si>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</si>
  <si>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</si>
  <si>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</si>
  <si>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</si>
  <si>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</si>
  <si>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</si>
  <si>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</si>
  <si>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</si>
  <si>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</si>
  <si>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</si>
  <si>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</si>
  <si>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</si>
  <si>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</si>
  <si>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</si>
  <si>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</si>
  <si>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</si>
  <si>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</si>
  <si>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</si>
  <si>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</si>
  <si>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</si>
  <si>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</si>
  <si>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</si>
  <si>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</si>
  <si>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</si>
  <si>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</si>
  <si>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</si>
  <si>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</si>
  <si>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</si>
  <si>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</si>
  <si>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</si>
  <si>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</si>
  <si>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</si>
  <si>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</si>
  <si>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</si>
  <si>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</si>
  <si>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</si>
  <si>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</si>
  <si>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</si>
  <si>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</si>
  <si>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</si>
  <si>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</si>
  <si>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</si>
  <si>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</si>
  <si>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</si>
  <si>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</si>
  <si>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</si>
  <si>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</si>
  <si>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</si>
  <si>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</si>
  <si>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</si>
  <si>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</si>
  <si>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</si>
  <si>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</si>
  <si>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</si>
  <si>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</si>
  <si>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</si>
  <si>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</si>
  <si>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</si>
  <si>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</si>
  <si>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</si>
  <si>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</si>
  <si>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</si>
  <si>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</si>
  <si>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</si>
  <si>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</si>
  <si>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</si>
  <si>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</si>
  <si>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</si>
  <si>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</si>
  <si>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</si>
  <si>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</si>
  <si>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</si>
  <si>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</si>
  <si>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</si>
  <si>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</si>
  <si>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</si>
  <si>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</si>
  <si>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</si>
  <si>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</si>
  <si>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</si>
  <si>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</si>
  <si>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</si>
  <si>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</si>
  <si>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</si>
  <si>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</si>
  <si>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</si>
  <si>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</si>
  <si>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</si>
  <si>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</si>
  <si>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</si>
  <si>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</si>
  <si>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</si>
  <si>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</si>
  <si>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</si>
  <si>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</si>
  <si>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</si>
  <si>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</si>
  <si>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</si>
  <si>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</si>
  <si>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</si>
  <si>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</si>
  <si>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</si>
  <si>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</si>
  <si>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</si>
  <si>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</si>
  <si>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</si>
  <si>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</si>
  <si>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</si>
  <si>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</si>
  <si>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</si>
  <si>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</si>
  <si>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</si>
  <si>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</si>
  <si>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</si>
  <si>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</si>
  <si>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</si>
  <si>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</si>
  <si>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</si>
  <si>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</si>
  <si>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</si>
  <si>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</si>
  <si>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</si>
  <si>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</si>
  <si>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</si>
  <si>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</si>
  <si>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</si>
  <si>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</si>
  <si>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</si>
  <si>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</si>
  <si>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</si>
  <si>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</si>
  <si>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</si>
  <si>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</si>
  <si>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</si>
  <si>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</si>
  <si>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</si>
  <si>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</si>
  <si>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</si>
  <si>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</si>
  <si>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</si>
  <si>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</si>
  <si>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</si>
  <si>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</si>
  <si>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</si>
  <si>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</si>
  <si>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</si>
  <si>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</si>
  <si>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</si>
  <si>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</si>
  <si>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</si>
  <si>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</si>
  <si>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</si>
  <si>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</si>
  <si>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</si>
  <si>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</si>
  <si>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</si>
  <si>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</si>
  <si>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</si>
  <si>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</si>
  <si>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</si>
  <si>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</si>
  <si>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</si>
  <si>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</si>
  <si>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</si>
  <si>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</si>
  <si>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</si>
  <si>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</si>
  <si>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</si>
  <si>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</si>
  <si>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</si>
  <si>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</si>
  <si>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</si>
  <si>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</si>
  <si>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</si>
  <si>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</si>
  <si>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</si>
  <si>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</si>
  <si>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</si>
  <si>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</si>
  <si>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</si>
  <si>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</si>
  <si>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</si>
  <si>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</si>
  <si>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</si>
  <si>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</si>
  <si>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</si>
  <si>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</si>
  <si>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</si>
  <si>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</si>
  <si>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</si>
  <si>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</si>
  <si>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</si>
  <si>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</si>
  <si>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</si>
  <si>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</si>
  <si>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</si>
  <si>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</si>
  <si>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</si>
  <si>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</si>
  <si>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</si>
  <si>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</si>
  <si>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</si>
  <si>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</si>
  <si>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</si>
  <si>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</si>
  <si>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</si>
  <si>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</si>
  <si>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</si>
  <si>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</si>
  <si>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</si>
  <si>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</si>
  <si>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</si>
  <si>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</si>
  <si>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</si>
  <si>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</si>
  <si>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</si>
  <si>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</si>
  <si>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</si>
  <si>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</si>
  <si>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</si>
  <si>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</si>
  <si>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</si>
  <si>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</si>
  <si>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</si>
  <si>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</si>
  <si>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</si>
  <si>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</si>
  <si>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</si>
  <si>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</si>
  <si>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</si>
  <si>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</si>
  <si>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</si>
  <si>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</si>
  <si>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</si>
  <si>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</si>
  <si>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</si>
  <si>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</si>
  <si>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</si>
  <si>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</si>
  <si>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</si>
  <si>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</si>
  <si>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</si>
  <si>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</si>
  <si>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</si>
  <si>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</si>
  <si>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</si>
  <si>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</si>
  <si>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</si>
  <si>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</si>
  <si>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</si>
  <si>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</si>
  <si>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</si>
  <si>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</si>
  <si>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</si>
  <si>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</si>
  <si>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</si>
  <si>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</si>
  <si>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</si>
  <si>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</si>
  <si>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</si>
  <si>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</si>
  <si>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</si>
  <si>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</si>
  <si>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</si>
  <si>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</si>
  <si>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</si>
  <si>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</si>
  <si>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</si>
  <si>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</si>
  <si>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</si>
  <si>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</si>
  <si>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</si>
  <si>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</si>
  <si>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</si>
  <si>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</si>
  <si>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</si>
  <si>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</si>
  <si>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</si>
  <si>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</si>
  <si>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</si>
  <si>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</si>
  <si>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</si>
  <si>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</si>
  <si>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</si>
  <si>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</si>
  <si>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</si>
  <si>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</si>
  <si>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</si>
  <si>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</si>
  <si>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</si>
  <si>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</si>
  <si>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</si>
  <si>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</si>
  <si>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</si>
  <si>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</si>
  <si>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</si>
  <si>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</si>
  <si>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</si>
  <si>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</si>
  <si>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</si>
  <si>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</si>
  <si>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</si>
  <si>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</si>
  <si>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</si>
  <si>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</si>
  <si>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</si>
  <si>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</si>
  <si>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</si>
  <si>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</si>
  <si>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</si>
  <si>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</si>
  <si>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</si>
  <si>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</si>
  <si>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</si>
  <si>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</si>
  <si>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</si>
  <si>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</si>
  <si>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</si>
  <si>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</si>
  <si>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</si>
  <si>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</si>
  <si>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</si>
  <si>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</si>
  <si>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</si>
  <si>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</si>
  <si>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</si>
  <si>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</si>
  <si>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</si>
  <si>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</si>
  <si>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</si>
  <si>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</si>
  <si>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</si>
  <si>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</si>
  <si>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</si>
  <si>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</si>
  <si>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</si>
  <si>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</si>
  <si>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</si>
  <si>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</si>
  <si>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</si>
  <si>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</si>
  <si>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</si>
  <si>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</si>
  <si>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</si>
  <si>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</si>
  <si>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</si>
  <si>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</si>
  <si>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</si>
  <si>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</si>
  <si>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</si>
  <si>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</si>
  <si>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</si>
  <si>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</si>
  <si>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</si>
  <si>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</si>
  <si>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</si>
  <si>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</si>
  <si>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</si>
  <si>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</si>
  <si>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</si>
  <si>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</si>
  <si>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</si>
  <si>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</si>
  <si>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</si>
  <si>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</si>
  <si>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</si>
  <si>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</si>
  <si>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</si>
  <si>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</si>
  <si>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</si>
  <si>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</si>
  <si>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</si>
  <si>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</si>
  <si>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</si>
  <si>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</si>
  <si>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</si>
  <si>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</si>
  <si>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</si>
  <si>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</si>
  <si>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</si>
  <si>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</si>
  <si>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</si>
  <si>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</si>
  <si>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</si>
  <si>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</si>
  <si>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</si>
  <si>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</si>
  <si>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</si>
  <si>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</si>
  <si>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</si>
  <si>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</si>
  <si>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</si>
  <si>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</si>
  <si>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</si>
  <si>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</si>
  <si>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</si>
  <si>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</si>
  <si>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</si>
  <si>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</si>
  <si>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</si>
  <si>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</si>
  <si>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</si>
  <si>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</si>
  <si>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</si>
  <si>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</si>
  <si>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</si>
  <si>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</si>
  <si>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</si>
  <si>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</si>
  <si>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</si>
  <si>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</si>
  <si>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</si>
  <si>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</si>
  <si>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</si>
  <si>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</si>
  <si>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</si>
  <si>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</si>
  <si>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</si>
  <si>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</si>
  <si>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</si>
  <si>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</si>
  <si>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</si>
  <si>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</si>
  <si>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</si>
  <si>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</si>
  <si>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</si>
  <si>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</si>
  <si>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</si>
  <si>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</si>
  <si>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</si>
  <si>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</si>
  <si>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</si>
  <si>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</si>
  <si>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</si>
  <si>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</si>
  <si>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</si>
  <si>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</si>
  <si>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</si>
  <si>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</si>
  <si>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</si>
  <si>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</si>
  <si>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</si>
  <si>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</si>
  <si>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</si>
  <si>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</si>
  <si>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</si>
  <si>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</si>
  <si>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</si>
  <si>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</si>
  <si>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</si>
  <si>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</si>
  <si>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</si>
  <si>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</si>
  <si>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</si>
  <si>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</si>
  <si>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</si>
  <si>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</si>
  <si>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</si>
  <si>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</si>
  <si>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</si>
  <si>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</si>
  <si>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</si>
  <si>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</si>
  <si>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</si>
  <si>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</si>
  <si>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</si>
  <si>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</si>
  <si>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</si>
  <si>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</si>
  <si>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</si>
  <si>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</si>
  <si>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</si>
  <si>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</si>
  <si>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</si>
  <si>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</si>
  <si>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</si>
  <si>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</si>
  <si>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</si>
  <si>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</si>
  <si>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</si>
  <si>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</si>
  <si>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</si>
  <si>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</si>
  <si>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</si>
  <si>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</si>
  <si>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</si>
  <si>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</si>
  <si>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</si>
  <si>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</si>
  <si>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</si>
  <si>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</si>
  <si>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</si>
  <si>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</si>
  <si>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</si>
  <si>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</si>
  <si>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</si>
  <si>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</si>
  <si>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</si>
  <si>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</si>
  <si>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</si>
  <si>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</si>
  <si>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</si>
  <si>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</si>
  <si>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</si>
  <si>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</si>
  <si>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</si>
  <si>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</si>
  <si>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</si>
  <si>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</si>
  <si>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</si>
  <si>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</si>
  <si>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</si>
  <si>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</si>
  <si>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</si>
  <si>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</si>
  <si>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</si>
  <si>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</si>
  <si>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</si>
  <si>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</si>
  <si>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</si>
  <si>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</si>
  <si>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</si>
  <si>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</si>
  <si>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</si>
  <si>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</si>
  <si>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</si>
  <si>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</si>
  <si>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</si>
  <si>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</si>
  <si>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</si>
  <si>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</si>
  <si>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</si>
  <si>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</si>
  <si>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</si>
  <si>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</si>
  <si>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</si>
  <si>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</si>
  <si>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</si>
  <si>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</si>
  <si>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</si>
  <si>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</si>
  <si>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</si>
  <si>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</si>
  <si>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</si>
  <si>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</si>
  <si>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</si>
  <si>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</si>
  <si>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</si>
  <si>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</si>
  <si>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</si>
  <si>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</si>
  <si>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</si>
  <si>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</si>
  <si>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</si>
  <si>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</si>
  <si>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</si>
  <si>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</si>
  <si>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</si>
  <si>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</si>
  <si>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</si>
  <si>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</si>
  <si>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</si>
  <si>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</si>
  <si>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</si>
  <si>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</si>
  <si>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</si>
  <si>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</si>
  <si>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</si>
  <si>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</si>
  <si>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</si>
  <si>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</si>
  <si>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</si>
  <si>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</si>
  <si>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</si>
  <si>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</si>
  <si>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</si>
  <si>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</si>
  <si>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</si>
  <si>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</si>
  <si>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</si>
  <si>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</si>
  <si>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</si>
  <si>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</si>
  <si>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</si>
  <si>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</si>
  <si>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</si>
  <si>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</si>
  <si>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</si>
  <si>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</si>
  <si>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</si>
  <si>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</si>
  <si>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</si>
  <si>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</si>
  <si>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</si>
  <si>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</si>
  <si>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</si>
  <si>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</si>
  <si>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</si>
  <si>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</si>
  <si>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</si>
  <si>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</si>
  <si>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</si>
  <si>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</si>
  <si>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</si>
  <si>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</si>
  <si>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</si>
  <si>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</si>
  <si>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</si>
  <si>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</si>
  <si>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</si>
  <si>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</si>
  <si>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</si>
  <si>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</si>
  <si>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</si>
  <si>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</si>
  <si>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</si>
  <si>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</si>
  <si>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</si>
  <si>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</si>
  <si>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</si>
  <si>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</si>
  <si>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</si>
  <si>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</si>
  <si>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</si>
  <si>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</si>
  <si>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</si>
  <si>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</si>
  <si>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</si>
  <si>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</si>
  <si>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</si>
  <si>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</si>
  <si>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</si>
  <si>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</si>
  <si>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</si>
  <si>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</si>
  <si>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</si>
  <si>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</si>
  <si>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</si>
  <si>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</si>
  <si>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</si>
  <si>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</si>
  <si>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</si>
  <si>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</si>
  <si>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</si>
  <si>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</si>
  <si>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</si>
  <si>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</si>
  <si>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</si>
  <si>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</si>
  <si>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</si>
  <si>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</si>
  <si>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</si>
  <si>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</si>
  <si>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</si>
  <si>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</si>
  <si>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</si>
  <si>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</si>
  <si>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</si>
  <si>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</si>
  <si>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</si>
  <si>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</si>
  <si>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</si>
  <si>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</si>
  <si>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</si>
  <si>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</si>
  <si>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</si>
  <si>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</si>
  <si>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</si>
  <si>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</si>
  <si>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</si>
  <si>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</si>
  <si>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</si>
  <si>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</si>
  <si>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</si>
  <si>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</si>
  <si>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</si>
  <si>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</si>
  <si>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</si>
  <si>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</si>
  <si>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</si>
  <si>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</si>
  <si>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</si>
  <si>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</si>
  <si>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</si>
  <si>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</si>
  <si>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</si>
  <si>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</si>
  <si>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</si>
  <si>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</si>
  <si>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</si>
  <si>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</si>
  <si>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</si>
  <si>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</si>
  <si>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</si>
  <si>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</si>
  <si>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</si>
  <si>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</si>
  <si>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</si>
  <si>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</si>
  <si>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</si>
  <si>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</si>
  <si>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</si>
  <si>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</si>
  <si>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</si>
  <si>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</si>
  <si>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</si>
  <si>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</si>
  <si>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</si>
  <si>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</si>
  <si>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</si>
  <si>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</si>
  <si>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</si>
  <si>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</si>
  <si>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</si>
  <si>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</si>
  <si>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</si>
  <si>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</si>
  <si>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</si>
  <si>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</si>
  <si>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</si>
  <si>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</si>
  <si>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</si>
  <si>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</si>
  <si>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</si>
  <si>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</si>
  <si>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</si>
  <si>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</si>
  <si>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</si>
  <si>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</si>
  <si>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</si>
  <si>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</si>
  <si>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</si>
  <si>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</si>
  <si>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</si>
  <si>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</si>
  <si>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</si>
  <si>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</si>
  <si>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</si>
  <si>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</si>
  <si>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</si>
  <si>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</si>
  <si>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</si>
  <si>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</si>
  <si>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</si>
  <si>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</si>
  <si>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</si>
  <si>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</si>
  <si>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</si>
  <si>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</si>
  <si>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</si>
  <si>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</si>
  <si>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</si>
  <si>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</si>
  <si>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</si>
  <si>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</si>
  <si>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</si>
  <si>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</si>
  <si>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</si>
  <si>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</si>
  <si>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</si>
  <si>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</si>
  <si>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</si>
  <si>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</si>
  <si>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</si>
  <si>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</si>
  <si>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</si>
  <si>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</si>
  <si>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</si>
  <si>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</si>
  <si>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</si>
  <si>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</si>
  <si>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</si>
  <si>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</si>
  <si>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</si>
  <si>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</si>
  <si>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</si>
  <si>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</si>
  <si>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</si>
  <si>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</si>
  <si>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</si>
  <si>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</si>
  <si>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</si>
  <si>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</si>
  <si>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</si>
  <si>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</si>
  <si>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</si>
  <si>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</si>
  <si>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</si>
  <si>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</si>
  <si>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</si>
  <si>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</si>
  <si>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</si>
  <si>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</si>
  <si>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</si>
  <si>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</si>
  <si>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</si>
  <si>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</si>
  <si>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</si>
  <si>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</si>
  <si>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</si>
  <si>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</si>
  <si>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</si>
  <si>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</si>
  <si>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</si>
  <si>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</si>
  <si>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</si>
  <si>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</si>
  <si>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</si>
  <si>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</si>
  <si>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</si>
  <si>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</si>
  <si>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</si>
  <si>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</si>
  <si>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</si>
  <si>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</si>
  <si>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</si>
  <si>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</si>
  <si>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</si>
  <si>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</si>
  <si>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</si>
  <si>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</si>
  <si>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</si>
  <si>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</si>
  <si>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</si>
  <si>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</si>
  <si>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</si>
  <si>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</si>
  <si>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</si>
  <si>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</si>
  <si>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</si>
  <si>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</si>
  <si>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</si>
  <si>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</si>
  <si>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</si>
  <si>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</si>
  <si>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</si>
  <si>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</si>
  <si>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</si>
  <si>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</si>
  <si>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</si>
  <si>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</si>
  <si>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</si>
  <si>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</si>
  <si>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</si>
  <si>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</si>
  <si>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</si>
  <si>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</si>
  <si>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</si>
  <si>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</si>
  <si>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</si>
  <si>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</si>
  <si>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</si>
  <si>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</si>
  <si>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</si>
  <si>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</si>
  <si>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</si>
  <si>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</si>
  <si>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</si>
  <si>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</si>
  <si>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</si>
  <si>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</si>
  <si>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</si>
  <si>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</si>
  <si>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</si>
  <si>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</si>
  <si>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</si>
  <si>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</si>
  <si>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</si>
  <si>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</si>
  <si>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</si>
  <si>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</si>
  <si>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</si>
  <si>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</si>
  <si>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</si>
  <si>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</si>
  <si>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</si>
  <si>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</si>
  <si>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</si>
  <si>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</si>
  <si>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</si>
  <si>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</si>
  <si>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</si>
  <si>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</si>
  <si>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</si>
  <si>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</si>
  <si>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</si>
  <si>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</si>
  <si>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</si>
  <si>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</si>
  <si>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</si>
  <si>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</si>
  <si>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</si>
  <si>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</si>
  <si>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</si>
  <si>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</si>
  <si>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</si>
  <si>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</si>
  <si>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</si>
  <si>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</si>
  <si>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</si>
  <si>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</si>
  <si>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</si>
  <si>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</si>
  <si>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</si>
  <si>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</si>
  <si>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</si>
  <si>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</si>
  <si>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</si>
  <si>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</si>
  <si>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</si>
  <si>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</si>
  <si>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</si>
  <si>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</si>
  <si>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</si>
  <si>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</si>
  <si>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</si>
  <si>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</si>
  <si>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</si>
  <si>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</si>
  <si>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</si>
  <si>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</si>
  <si>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</si>
  <si>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</si>
  <si>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</si>
  <si>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</si>
  <si>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</si>
  <si>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</si>
  <si>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</si>
  <si>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</si>
  <si>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</si>
  <si>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</si>
  <si>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</si>
  <si>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</si>
  <si>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</si>
  <si>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</si>
  <si>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</si>
  <si>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</si>
  <si>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</si>
  <si>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</si>
  <si>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</si>
  <si>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</si>
  <si>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</si>
  <si>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</si>
  <si>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</si>
  <si>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</si>
  <si>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</si>
  <si>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</si>
  <si>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</si>
  <si>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</si>
  <si>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</si>
  <si>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</si>
  <si>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</si>
  <si>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</si>
  <si>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</si>
  <si>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</si>
  <si>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</si>
  <si>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</si>
  <si>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</si>
  <si>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</si>
  <si>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</si>
  <si>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</si>
  <si>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</si>
  <si>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</si>
  <si>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</si>
  <si>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</si>
  <si>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</si>
  <si>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</si>
  <si>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</si>
  <si>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</si>
  <si>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</si>
  <si>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</si>
  <si>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</si>
  <si>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</si>
  <si>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</si>
  <si>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</si>
  <si>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</si>
  <si>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</si>
  <si>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</si>
  <si>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</si>
  <si>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</si>
  <si>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</si>
  <si>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</si>
  <si>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</si>
  <si>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</si>
  <si>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</si>
  <si>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</si>
  <si>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</si>
  <si>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</si>
  <si>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</si>
  <si>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</si>
  <si>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</si>
  <si>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</si>
  <si>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</si>
  <si>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</si>
  <si>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</si>
  <si>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</si>
  <si>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</si>
  <si>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</si>
  <si>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</si>
  <si>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</si>
  <si>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</si>
  <si>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</si>
  <si>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</si>
  <si>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</si>
  <si>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</si>
  <si>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</si>
  <si>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</si>
  <si>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</si>
  <si>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</si>
  <si>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</si>
  <si>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</si>
  <si>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</si>
  <si>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</si>
  <si>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</si>
  <si>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</si>
  <si>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</si>
  <si>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</si>
  <si>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</si>
  <si>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</si>
  <si>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</si>
  <si>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</si>
  <si>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</si>
  <si>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</si>
  <si>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</si>
  <si>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</si>
  <si>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</si>
  <si>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</si>
  <si>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</si>
  <si>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</si>
  <si>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</si>
  <si>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</si>
  <si>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</si>
  <si>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</si>
  <si>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</si>
  <si>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</si>
  <si>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</si>
  <si>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</si>
  <si>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</si>
  <si>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</si>
  <si>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</si>
  <si>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</si>
  <si>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</si>
  <si>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</si>
  <si>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</si>
  <si>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</si>
  <si>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</si>
  <si>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</si>
  <si>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</si>
  <si>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</si>
  <si>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</si>
  <si>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</si>
  <si>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</si>
  <si>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</si>
  <si>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</si>
  <si>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</si>
  <si>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</si>
  <si>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</si>
  <si>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</si>
  <si>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</si>
  <si>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</si>
  <si>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</si>
  <si>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</si>
  <si>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</si>
  <si>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</si>
  <si>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</si>
  <si>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</si>
  <si>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</si>
  <si>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</si>
  <si>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</si>
  <si>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</si>
  <si>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</si>
  <si>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</si>
  <si>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</si>
  <si>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</si>
  <si>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</si>
  <si>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</si>
  <si>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</si>
  <si>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</si>
  <si>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</si>
  <si>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</si>
  <si>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</si>
  <si>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</si>
  <si>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</si>
  <si>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</si>
  <si>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</si>
  <si>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</si>
  <si>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</si>
  <si>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</si>
  <si>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</si>
  <si>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</si>
  <si>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</si>
  <si>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</si>
  <si>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</si>
  <si>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</si>
  <si>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</si>
  <si>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</si>
  <si>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</si>
  <si>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</si>
  <si>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</si>
  <si>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</si>
  <si>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</si>
  <si>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</si>
  <si>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</si>
  <si>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</si>
  <si>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</si>
  <si>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</si>
  <si>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</si>
  <si>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</si>
  <si>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</si>
  <si>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</si>
  <si>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</si>
  <si>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</si>
  <si>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</si>
  <si>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</si>
  <si>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</si>
  <si>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</si>
  <si>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</si>
  <si>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</si>
  <si>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</si>
  <si>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</si>
  <si>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</si>
  <si>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</si>
  <si>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</si>
  <si>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</si>
  <si>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</si>
  <si>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</si>
  <si>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</si>
  <si>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</si>
  <si>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</si>
  <si>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</si>
  <si>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</si>
  <si>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</si>
  <si>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</si>
  <si>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</si>
  <si>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</si>
  <si>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</si>
  <si>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</si>
  <si>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</si>
  <si>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</si>
  <si>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</si>
  <si>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</si>
  <si>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</si>
  <si>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</si>
  <si>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</si>
  <si>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</si>
  <si>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</si>
  <si>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</si>
  <si>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</si>
  <si>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</si>
  <si>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</si>
  <si>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</si>
  <si>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</si>
  <si>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</si>
  <si>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</si>
  <si>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</si>
  <si>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</si>
  <si>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</si>
  <si>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</si>
  <si>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</si>
  <si>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</si>
  <si>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</si>
  <si>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</si>
  <si>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</si>
  <si>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</si>
  <si>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</si>
  <si>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</si>
  <si>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</si>
  <si>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</si>
  <si>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</si>
  <si>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</si>
  <si>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</si>
  <si>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</si>
  <si>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</si>
  <si>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</si>
  <si>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</si>
  <si>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</si>
  <si>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</si>
  <si>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</si>
  <si>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</si>
  <si>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</si>
  <si>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</si>
  <si>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</si>
  <si>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</si>
  <si>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</si>
  <si>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</si>
  <si>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</si>
  <si>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</si>
  <si>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</si>
  <si>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</si>
  <si>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</si>
  <si>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</si>
  <si>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</si>
  <si>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</si>
  <si>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</si>
  <si>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</si>
  <si>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</si>
  <si>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</si>
  <si>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</si>
  <si>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</si>
  <si>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</si>
  <si>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</si>
  <si>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</si>
  <si>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</si>
  <si>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</si>
  <si>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</si>
  <si>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</si>
  <si>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</si>
  <si>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</si>
  <si>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</si>
  <si>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</si>
  <si>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</si>
  <si>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</si>
  <si>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</si>
  <si>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</si>
  <si>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</si>
  <si>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</si>
  <si>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</si>
  <si>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</si>
  <si>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</si>
  <si>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</si>
  <si>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</si>
  <si>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</si>
  <si>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</si>
  <si>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</si>
  <si>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</si>
  <si>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</si>
  <si>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</si>
  <si>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</si>
  <si>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</si>
  <si>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</si>
  <si>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</si>
  <si>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</si>
  <si>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</si>
  <si>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</si>
  <si>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</si>
  <si>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</si>
  <si>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</si>
  <si>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</si>
  <si>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</si>
  <si>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</si>
  <si>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</si>
  <si>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</si>
  <si>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</si>
  <si>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</si>
  <si>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</si>
  <si>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</si>
  <si>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</si>
  <si>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</si>
  <si>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</si>
  <si>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</si>
  <si>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</si>
  <si>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</si>
  <si>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</si>
  <si>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</si>
  <si>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</si>
  <si>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</si>
  <si>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</si>
  <si>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</si>
  <si>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</si>
  <si>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</si>
  <si>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</si>
  <si>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</si>
  <si>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</si>
  <si>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</si>
  <si>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</si>
  <si>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</si>
  <si>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</si>
  <si>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</si>
  <si>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</si>
  <si>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</si>
  <si>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</si>
  <si>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</si>
  <si>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</si>
  <si>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</si>
  <si>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</si>
  <si>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</si>
  <si>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</si>
  <si>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</si>
  <si>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</si>
  <si>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</si>
  <si>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</si>
  <si>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</si>
  <si>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</si>
  <si>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</si>
  <si>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</si>
  <si>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</si>
  <si>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</si>
  <si>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</si>
  <si>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</si>
  <si>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</si>
  <si>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</si>
  <si>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</si>
  <si>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</si>
  <si>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</si>
  <si>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</si>
  <si>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</si>
  <si>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</si>
  <si>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</si>
  <si>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</si>
  <si>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</si>
  <si>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</si>
  <si>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</si>
  <si>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</si>
  <si>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</si>
  <si>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</si>
  <si>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</si>
  <si>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</si>
  <si>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</si>
  <si>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</si>
  <si>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</si>
  <si>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</si>
  <si>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</si>
  <si>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</si>
  <si>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</si>
  <si>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</si>
  <si>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</si>
  <si>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</si>
  <si>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</si>
  <si>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</si>
  <si>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</si>
  <si>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</si>
  <si>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</si>
  <si>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</si>
  <si>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</si>
  <si>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</si>
  <si>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</si>
  <si>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</si>
  <si>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</si>
  <si>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</si>
  <si>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</si>
  <si>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</si>
  <si>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</si>
  <si>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</si>
  <si>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</si>
  <si>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</si>
  <si>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</si>
  <si>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</si>
  <si>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</si>
  <si>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</si>
  <si>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</si>
  <si>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</si>
  <si>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</si>
  <si>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</si>
  <si>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</si>
  <si>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</si>
  <si>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</si>
  <si>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</si>
  <si>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</si>
  <si>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</si>
  <si>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</si>
  <si>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</si>
  <si>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</si>
  <si>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</si>
  <si>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</si>
  <si>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</si>
  <si>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</si>
  <si>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</si>
  <si>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</si>
  <si>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</si>
  <si>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</si>
  <si>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</si>
  <si>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</si>
  <si>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</si>
  <si>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</si>
  <si>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</si>
  <si>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</si>
  <si>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</si>
  <si>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</si>
  <si>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</si>
  <si>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</si>
  <si>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</si>
  <si>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</si>
  <si>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</si>
  <si>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</si>
  <si>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</si>
  <si>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</si>
  <si>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</si>
  <si>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</si>
  <si>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</si>
  <si>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</si>
  <si>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</si>
  <si>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</si>
  <si>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</si>
  <si>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</si>
  <si>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</si>
  <si>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</si>
  <si>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</si>
  <si>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</si>
  <si>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</si>
  <si>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</si>
  <si>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</si>
  <si>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</si>
  <si>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</si>
  <si>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</si>
  <si>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</si>
  <si>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</si>
  <si>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</si>
  <si>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</si>
  <si>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</si>
  <si>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</si>
  <si>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</si>
  <si>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</si>
  <si>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</si>
  <si>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</si>
  <si>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</si>
  <si>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</si>
  <si>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</si>
  <si>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</si>
  <si>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</si>
  <si>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</si>
  <si>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</si>
  <si>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</si>
  <si>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</si>
  <si>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</si>
  <si>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</si>
  <si>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</si>
  <si>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</si>
  <si>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</si>
  <si>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</si>
  <si>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</si>
  <si>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</si>
  <si>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</si>
  <si>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</si>
  <si>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</si>
  <si>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</si>
  <si>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</si>
  <si>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</si>
  <si>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</si>
  <si>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</si>
  <si>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</si>
  <si>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</si>
  <si>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</si>
  <si>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</si>
  <si>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</si>
  <si>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</si>
  <si>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</si>
  <si>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</si>
  <si>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</si>
  <si>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</si>
  <si>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</si>
  <si>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</si>
  <si>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</si>
  <si>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</si>
  <si>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</si>
  <si>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</si>
  <si>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</si>
  <si>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</si>
  <si>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</si>
  <si>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</si>
  <si>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</si>
  <si>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</si>
  <si>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</si>
  <si>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</si>
  <si>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</si>
  <si>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</si>
  <si>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</si>
  <si>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</si>
  <si>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</si>
  <si>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</si>
  <si>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</si>
  <si>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</si>
  <si>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</si>
  <si>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</si>
  <si>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</si>
  <si>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</si>
  <si>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</si>
  <si>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</si>
  <si>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</si>
  <si>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</si>
  <si>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</si>
  <si>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</si>
  <si>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</si>
  <si>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</si>
  <si>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</si>
  <si>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</si>
  <si>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</si>
  <si>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</si>
  <si>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</si>
  <si>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</si>
  <si>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</si>
  <si>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</si>
  <si>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</si>
  <si>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</si>
  <si>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</si>
  <si>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</si>
  <si>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</si>
  <si>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</si>
  <si>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</si>
  <si>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</si>
  <si>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</si>
  <si>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</si>
  <si>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</si>
  <si>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</si>
  <si>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</si>
  <si>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</si>
  <si>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</si>
  <si>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</si>
  <si>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</si>
  <si>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</si>
  <si>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</si>
  <si>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</si>
  <si>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</si>
  <si>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</si>
  <si>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</si>
  <si>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</si>
  <si>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</si>
  <si>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</si>
  <si>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</si>
  <si>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</si>
  <si>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</si>
  <si>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</si>
  <si>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</si>
  <si>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</si>
  <si>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</si>
  <si>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</si>
  <si>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</si>
  <si>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</si>
  <si>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</si>
  <si>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</si>
  <si>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</si>
  <si>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</si>
  <si>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</si>
  <si>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</si>
  <si>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</si>
  <si>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</si>
  <si>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</si>
  <si>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</si>
  <si>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</si>
  <si>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</si>
  <si>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</si>
  <si>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</si>
  <si>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</si>
  <si>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</si>
  <si>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</si>
  <si>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</si>
  <si>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</si>
  <si>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</si>
  <si>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</si>
  <si>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</si>
  <si>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</si>
  <si>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</si>
  <si>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</si>
  <si>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</si>
  <si>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</si>
  <si>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</si>
  <si>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</si>
  <si>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</si>
  <si>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</si>
  <si>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</si>
  <si>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</si>
  <si>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</si>
  <si>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</si>
  <si>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</si>
  <si>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</si>
  <si>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</si>
  <si>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</si>
  <si>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</si>
  <si>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</si>
  <si>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IV</t>
  </si>
  <si>
    <t>PEKERJAAN LAIN-LAIN</t>
  </si>
  <si>
    <t xml:space="preserve">Pemasangan APP </t>
  </si>
  <si>
    <t>CJ6-T</t>
  </si>
  <si>
    <t>KONDUKTOR</t>
  </si>
  <si>
    <t>MJ6-T</t>
  </si>
  <si>
    <t>DN PETALAN DS TAMBAKROTO</t>
  </si>
  <si>
    <t>KONSTRUKSI JARINGAN TR</t>
  </si>
  <si>
    <t>KOORDINAT : -6.897373, 110.622904</t>
  </si>
  <si>
    <t>UNIT</t>
  </si>
  <si>
    <t>C9-200</t>
  </si>
  <si>
    <t>CM2-12</t>
  </si>
  <si>
    <t>Daya 10.600 VA</t>
  </si>
  <si>
    <t>K3-359/25</t>
  </si>
  <si>
    <t>MASJID HAJAR ASWAD</t>
  </si>
  <si>
    <t>S2</t>
  </si>
  <si>
    <t>CE1-2</t>
  </si>
  <si>
    <t>F1-2</t>
  </si>
  <si>
    <t>CM2-12A</t>
  </si>
  <si>
    <t>Pemasangan APP 3 Fasa Di Bangunan</t>
  </si>
  <si>
    <t>SYG04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</si>
</sst>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9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  <numFmt numFmtId="209" formatCode="_(* #,##0.0_);_(* \(#,##0.0\);_(* &quot;-&quot;??_);_(@_)"/>
  </numFmts>
  <fonts count="18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</borders>
  <cellStyleXfs count="3417">
    <xf numFmtId="0" fontId="0" fillId="0" borderId="0"/>
    <xf numFmtId="172" fontId="45" fillId="0" borderId="0">
      <alignment horizontal="centerContinuous"/>
    </xf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67" fillId="0" borderId="0" applyFill="0" applyBorder="0" applyAlignment="0"/>
    <xf numFmtId="173" fontId="39" fillId="0" borderId="0" applyFill="0" applyBorder="0" applyAlignment="0"/>
    <xf numFmtId="173" fontId="25" fillId="0" borderId="0" applyFill="0" applyBorder="0" applyAlignment="0"/>
    <xf numFmtId="174" fontId="39" fillId="0" borderId="0" applyFill="0" applyBorder="0" applyAlignment="0"/>
    <xf numFmtId="174" fontId="25" fillId="0" borderId="0" applyFill="0" applyBorder="0" applyAlignment="0"/>
    <xf numFmtId="175" fontId="39" fillId="0" borderId="0" applyFill="0" applyBorder="0" applyAlignment="0"/>
    <xf numFmtId="175" fontId="25" fillId="0" borderId="0" applyFill="0" applyBorder="0" applyAlignment="0"/>
    <xf numFmtId="176" fontId="39" fillId="0" borderId="0" applyFill="0" applyBorder="0" applyAlignment="0"/>
    <xf numFmtId="176" fontId="25" fillId="0" borderId="0" applyFill="0" applyBorder="0" applyAlignment="0"/>
    <xf numFmtId="177" fontId="39" fillId="0" borderId="0" applyFill="0" applyBorder="0" applyAlignment="0"/>
    <xf numFmtId="177" fontId="25" fillId="0" borderId="0" applyFill="0" applyBorder="0" applyAlignment="0"/>
    <xf numFmtId="178" fontId="39" fillId="0" borderId="0" applyFill="0" applyBorder="0" applyAlignment="0"/>
    <xf numFmtId="178" fontId="25" fillId="0" borderId="0" applyFill="0" applyBorder="0" applyAlignment="0"/>
    <xf numFmtId="173" fontId="39" fillId="0" borderId="0" applyFill="0" applyBorder="0" applyAlignment="0"/>
    <xf numFmtId="173" fontId="25" fillId="0" borderId="0" applyFill="0" applyBorder="0" applyAlignment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167" fontId="108" fillId="0" borderId="0" applyFont="0" applyFill="0" applyBorder="0" applyAlignment="0" applyProtection="0"/>
    <xf numFmtId="0" fontId="68" fillId="0" borderId="0"/>
    <xf numFmtId="0" fontId="68" fillId="0" borderId="0"/>
    <xf numFmtId="0" fontId="68" fillId="0" borderId="0"/>
    <xf numFmtId="167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79" fontId="39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65" fontId="26" fillId="0" borderId="0" applyFont="0" applyFill="0" applyBorder="0" applyAlignment="0" applyProtection="0"/>
    <xf numFmtId="168" fontId="39" fillId="0" borderId="0" applyFont="0" applyFill="0" applyBorder="0" applyAlignment="0" applyProtection="0"/>
    <xf numFmtId="168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6" fillId="0" borderId="0" applyFont="0" applyFill="0" applyBorder="0" applyAlignment="0" applyProtection="0"/>
    <xf numFmtId="171" fontId="39" fillId="0" borderId="0" applyFont="0" applyFill="0" applyBorder="0" applyAlignment="0" applyProtection="0"/>
    <xf numFmtId="171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0" fontId="39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71" fontId="39" fillId="0" borderId="0" applyFont="0" applyFill="0" applyBorder="0" applyAlignment="0" applyProtection="0"/>
    <xf numFmtId="171" fontId="25" fillId="0" borderId="0" applyFont="0" applyFill="0" applyBorder="0" applyAlignment="0" applyProtection="0"/>
    <xf numFmtId="171" fontId="39" fillId="0" borderId="0" applyFont="0" applyFill="0" applyBorder="0" applyAlignment="0" applyProtection="0"/>
    <xf numFmtId="171" fontId="25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80" fontId="39" fillId="0" borderId="0" applyFont="0" applyFill="0" applyBorder="0" applyAlignment="0" applyProtection="0"/>
    <xf numFmtId="180" fontId="25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7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70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7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77" fontId="39" fillId="0" borderId="0" applyFont="0" applyFill="0" applyBorder="0" applyAlignment="0" applyProtection="0"/>
    <xf numFmtId="177" fontId="25" fillId="0" borderId="0" applyFont="0" applyFill="0" applyBorder="0" applyAlignment="0" applyProtection="0"/>
    <xf numFmtId="169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9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71" fontId="39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26" fillId="0" borderId="0" applyFont="0" applyFill="0" applyBorder="0" applyAlignment="0" applyProtection="0"/>
    <xf numFmtId="171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81" fontId="39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181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0" fontId="39" fillId="0" borderId="0" applyFont="0" applyFill="0" applyBorder="0" applyAlignment="0" applyProtection="0"/>
    <xf numFmtId="0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82" fontId="39" fillId="0" borderId="0" applyFont="0" applyFill="0" applyBorder="0" applyAlignment="0" applyProtection="0"/>
    <xf numFmtId="182" fontId="39" fillId="0" borderId="0" applyFont="0" applyFill="0" applyBorder="0" applyAlignment="0" applyProtection="0"/>
    <xf numFmtId="183" fontId="39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39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39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71" fontId="39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39" fillId="0" borderId="0" applyFont="0" applyFill="0" applyBorder="0" applyAlignment="0" applyProtection="0"/>
    <xf numFmtId="0" fontId="25" fillId="0" borderId="0" applyFont="0" applyFill="0" applyBorder="0" applyAlignment="0" applyProtection="0"/>
    <xf numFmtId="184" fontId="39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39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39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0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50" fillId="0" borderId="0" applyFont="0" applyFill="0" applyBorder="0" applyAlignment="0" applyProtection="0"/>
    <xf numFmtId="185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0" fontId="39" fillId="0" borderId="0" applyFont="0" applyFill="0" applyBorder="0" applyAlignment="0" applyProtection="0"/>
    <xf numFmtId="0" fontId="25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206" fontId="25" fillId="0" borderId="0" applyFont="0" applyFill="0" applyBorder="0" applyAlignment="0" applyProtection="0"/>
    <xf numFmtId="205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71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6" fillId="0" borderId="0" applyFont="0" applyFill="0" applyBorder="0" applyAlignment="0" applyProtection="0"/>
    <xf numFmtId="3" fontId="73" fillId="0" borderId="0" applyFont="0" applyFill="0" applyBorder="0" applyAlignment="0" applyProtection="0"/>
    <xf numFmtId="0" fontId="74" fillId="0" borderId="0" applyNumberFormat="0" applyAlignment="0">
      <alignment horizontal="left"/>
    </xf>
    <xf numFmtId="0" fontId="68" fillId="0" borderId="0"/>
    <xf numFmtId="0" fontId="68" fillId="0" borderId="0"/>
    <xf numFmtId="186" fontId="39" fillId="0" borderId="3"/>
    <xf numFmtId="186" fontId="25" fillId="0" borderId="3"/>
    <xf numFmtId="164" fontId="26" fillId="0" borderId="0" applyFont="0" applyFill="0" applyBorder="0" applyAlignment="0" applyProtection="0"/>
    <xf numFmtId="164" fontId="51" fillId="0" borderId="0" applyFont="0" applyFill="0" applyBorder="0" applyAlignment="0" applyProtection="0"/>
    <xf numFmtId="173" fontId="39" fillId="0" borderId="0" applyFont="0" applyFill="0" applyBorder="0" applyAlignment="0" applyProtection="0"/>
    <xf numFmtId="17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66" fontId="39" fillId="0" borderId="0" applyFont="0" applyFill="0" applyBorder="0" applyAlignment="0" applyProtection="0"/>
    <xf numFmtId="166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73" fillId="0" borderId="0" applyFont="0" applyFill="0" applyBorder="0" applyAlignment="0" applyProtection="0"/>
    <xf numFmtId="188" fontId="75" fillId="0" borderId="0">
      <protection locked="0"/>
    </xf>
    <xf numFmtId="14" fontId="67" fillId="0" borderId="0" applyFill="0" applyBorder="0" applyAlignment="0"/>
    <xf numFmtId="189" fontId="76" fillId="0" borderId="0">
      <protection locked="0"/>
    </xf>
    <xf numFmtId="0" fontId="77" fillId="0" borderId="0"/>
    <xf numFmtId="0" fontId="77" fillId="0" borderId="4"/>
    <xf numFmtId="0" fontId="77" fillId="0" borderId="4"/>
    <xf numFmtId="0" fontId="77" fillId="0" borderId="4"/>
    <xf numFmtId="0" fontId="77" fillId="0" borderId="4"/>
    <xf numFmtId="0" fontId="78" fillId="22" borderId="0"/>
    <xf numFmtId="177" fontId="39" fillId="0" borderId="0" applyFill="0" applyBorder="0" applyAlignment="0"/>
    <xf numFmtId="177" fontId="25" fillId="0" borderId="0" applyFill="0" applyBorder="0" applyAlignment="0"/>
    <xf numFmtId="173" fontId="39" fillId="0" borderId="0" applyFill="0" applyBorder="0" applyAlignment="0"/>
    <xf numFmtId="173" fontId="25" fillId="0" borderId="0" applyFill="0" applyBorder="0" applyAlignment="0"/>
    <xf numFmtId="177" fontId="39" fillId="0" borderId="0" applyFill="0" applyBorder="0" applyAlignment="0"/>
    <xf numFmtId="177" fontId="25" fillId="0" borderId="0" applyFill="0" applyBorder="0" applyAlignment="0"/>
    <xf numFmtId="178" fontId="39" fillId="0" borderId="0" applyFill="0" applyBorder="0" applyAlignment="0"/>
    <xf numFmtId="178" fontId="25" fillId="0" borderId="0" applyFill="0" applyBorder="0" applyAlignment="0"/>
    <xf numFmtId="173" fontId="39" fillId="0" borderId="0" applyFill="0" applyBorder="0" applyAlignment="0"/>
    <xf numFmtId="173" fontId="25" fillId="0" borderId="0" applyFill="0" applyBorder="0" applyAlignment="0"/>
    <xf numFmtId="0" fontId="79" fillId="0" borderId="0" applyNumberFormat="0" applyAlignment="0">
      <alignment horizontal="left"/>
    </xf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8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1" fillId="0" borderId="0">
      <protection locked="0"/>
    </xf>
    <xf numFmtId="190" fontId="75" fillId="0" borderId="0">
      <protection locked="0"/>
    </xf>
    <xf numFmtId="0" fontId="82" fillId="0" borderId="5"/>
    <xf numFmtId="0" fontId="82" fillId="0" borderId="5"/>
    <xf numFmtId="0" fontId="82" fillId="0" borderId="5"/>
    <xf numFmtId="0" fontId="82" fillId="0" borderId="5"/>
    <xf numFmtId="0" fontId="82" fillId="0" borderId="4"/>
    <xf numFmtId="0" fontId="82" fillId="0" borderId="4"/>
    <xf numFmtId="0" fontId="82" fillId="23" borderId="4"/>
    <xf numFmtId="0" fontId="82" fillId="23" borderId="4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83" fillId="0" borderId="0" applyNumberFormat="0"/>
    <xf numFmtId="38" fontId="44" fillId="24" borderId="0" applyNumberFormat="0" applyBorder="0" applyAlignment="0" applyProtection="0"/>
    <xf numFmtId="0" fontId="84" fillId="0" borderId="6" applyNumberFormat="0" applyAlignment="0" applyProtection="0">
      <alignment horizontal="left" vertical="center"/>
    </xf>
    <xf numFmtId="0" fontId="84" fillId="0" borderId="7">
      <alignment horizontal="left" vertical="center"/>
    </xf>
    <xf numFmtId="0" fontId="84" fillId="0" borderId="7">
      <alignment horizontal="left" vertical="center"/>
    </xf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191" fontId="80" fillId="0" borderId="0">
      <protection locked="0"/>
    </xf>
    <xf numFmtId="191" fontId="80" fillId="0" borderId="0"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36" fillId="7" borderId="1" applyNumberFormat="0" applyAlignment="0" applyProtection="0"/>
    <xf numFmtId="10" fontId="44" fillId="25" borderId="3" applyNumberFormat="0" applyBorder="0" applyAlignment="0" applyProtection="0"/>
    <xf numFmtId="10" fontId="44" fillId="25" borderId="3" applyNumberFormat="0" applyBorder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177" fontId="39" fillId="0" borderId="0" applyFill="0" applyBorder="0" applyAlignment="0"/>
    <xf numFmtId="177" fontId="25" fillId="0" borderId="0" applyFill="0" applyBorder="0" applyAlignment="0"/>
    <xf numFmtId="173" fontId="39" fillId="0" borderId="0" applyFill="0" applyBorder="0" applyAlignment="0"/>
    <xf numFmtId="173" fontId="25" fillId="0" borderId="0" applyFill="0" applyBorder="0" applyAlignment="0"/>
    <xf numFmtId="177" fontId="39" fillId="0" borderId="0" applyFill="0" applyBorder="0" applyAlignment="0"/>
    <xf numFmtId="177" fontId="25" fillId="0" borderId="0" applyFill="0" applyBorder="0" applyAlignment="0"/>
    <xf numFmtId="178" fontId="39" fillId="0" borderId="0" applyFill="0" applyBorder="0" applyAlignment="0"/>
    <xf numFmtId="178" fontId="25" fillId="0" borderId="0" applyFill="0" applyBorder="0" applyAlignment="0"/>
    <xf numFmtId="173" fontId="39" fillId="0" borderId="0" applyFill="0" applyBorder="0" applyAlignment="0"/>
    <xf numFmtId="173" fontId="25" fillId="0" borderId="0" applyFill="0" applyBorder="0" applyAlignment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192" fontId="39" fillId="0" borderId="0" applyFont="0" applyFill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37" fontId="85" fillId="0" borderId="0"/>
    <xf numFmtId="193" fontId="39" fillId="0" borderId="0"/>
    <xf numFmtId="0" fontId="39" fillId="0" borderId="0"/>
    <xf numFmtId="0" fontId="39" fillId="0" borderId="0"/>
    <xf numFmtId="0" fontId="25" fillId="0" borderId="0"/>
    <xf numFmtId="0" fontId="25" fillId="0" borderId="0"/>
    <xf numFmtId="0" fontId="25" fillId="0" borderId="0"/>
    <xf numFmtId="193" fontId="39" fillId="0" borderId="0"/>
    <xf numFmtId="193" fontId="25" fillId="0" borderId="0"/>
    <xf numFmtId="193" fontId="39" fillId="0" borderId="0"/>
    <xf numFmtId="193" fontId="25" fillId="0" borderId="0"/>
    <xf numFmtId="193" fontId="39" fillId="0" borderId="0"/>
    <xf numFmtId="193" fontId="25" fillId="0" borderId="0"/>
    <xf numFmtId="193" fontId="25" fillId="0" borderId="0"/>
    <xf numFmtId="193" fontId="39" fillId="0" borderId="0"/>
    <xf numFmtId="172" fontId="86" fillId="0" borderId="0"/>
    <xf numFmtId="172" fontId="87" fillId="0" borderId="0"/>
    <xf numFmtId="172" fontId="87" fillId="0" borderId="0"/>
    <xf numFmtId="0" fontId="69" fillId="0" borderId="0"/>
    <xf numFmtId="0" fontId="115" fillId="0" borderId="0"/>
    <xf numFmtId="0" fontId="39" fillId="0" borderId="0"/>
    <xf numFmtId="0" fontId="25" fillId="0" borderId="0"/>
    <xf numFmtId="0" fontId="72" fillId="0" borderId="0"/>
    <xf numFmtId="0" fontId="39" fillId="0" borderId="0"/>
    <xf numFmtId="12" fontId="39" fillId="0" borderId="0"/>
    <xf numFmtId="12" fontId="25" fillId="0" borderId="0"/>
    <xf numFmtId="0" fontId="115" fillId="0" borderId="0"/>
    <xf numFmtId="0" fontId="115" fillId="0" borderId="0"/>
    <xf numFmtId="0" fontId="115" fillId="0" borderId="0"/>
    <xf numFmtId="0" fontId="26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88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26" fillId="0" borderId="0"/>
    <xf numFmtId="0" fontId="39" fillId="0" borderId="0"/>
    <xf numFmtId="0" fontId="25" fillId="0" borderId="0"/>
    <xf numFmtId="0" fontId="39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6" fillId="0" borderId="0"/>
    <xf numFmtId="0" fontId="116" fillId="0" borderId="0"/>
    <xf numFmtId="0" fontId="115" fillId="0" borderId="0"/>
    <xf numFmtId="0" fontId="115" fillId="0" borderId="0"/>
    <xf numFmtId="0" fontId="115" fillId="0" borderId="0"/>
    <xf numFmtId="0" fontId="39" fillId="0" borderId="0"/>
    <xf numFmtId="0" fontId="39" fillId="0" borderId="0"/>
    <xf numFmtId="0" fontId="25" fillId="0" borderId="0"/>
    <xf numFmtId="0" fontId="39" fillId="0" borderId="0" applyProtection="0"/>
    <xf numFmtId="0" fontId="25" fillId="0" borderId="0" applyProtection="0"/>
    <xf numFmtId="0" fontId="25" fillId="0" borderId="0"/>
    <xf numFmtId="0" fontId="39" fillId="0" borderId="0"/>
    <xf numFmtId="0" fontId="115" fillId="0" borderId="0"/>
    <xf numFmtId="0" fontId="115" fillId="0" borderId="0"/>
    <xf numFmtId="0" fontId="115" fillId="0" borderId="0"/>
    <xf numFmtId="0" fontId="25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39" fillId="0" borderId="0"/>
    <xf numFmtId="0" fontId="72" fillId="0" borderId="0"/>
    <xf numFmtId="0" fontId="39" fillId="0" borderId="0"/>
    <xf numFmtId="0" fontId="115" fillId="0" borderId="0"/>
    <xf numFmtId="0" fontId="39" fillId="0" borderId="0"/>
    <xf numFmtId="0" fontId="115" fillId="0" borderId="0"/>
    <xf numFmtId="0" fontId="39" fillId="0" borderId="0"/>
    <xf numFmtId="0" fontId="25" fillId="0" borderId="0"/>
    <xf numFmtId="0" fontId="26" fillId="0" borderId="0"/>
    <xf numFmtId="0" fontId="25" fillId="0" borderId="0"/>
    <xf numFmtId="0" fontId="39" fillId="0" borderId="0"/>
    <xf numFmtId="0" fontId="25" fillId="0" borderId="0"/>
    <xf numFmtId="0" fontId="26" fillId="0" borderId="0"/>
    <xf numFmtId="0" fontId="115" fillId="0" borderId="0"/>
    <xf numFmtId="0" fontId="39" fillId="0" borderId="0"/>
    <xf numFmtId="0" fontId="25" fillId="0" borderId="0"/>
    <xf numFmtId="0" fontId="26" fillId="0" borderId="0"/>
    <xf numFmtId="0" fontId="25" fillId="0" borderId="0"/>
    <xf numFmtId="0" fontId="39" fillId="0" borderId="0"/>
    <xf numFmtId="0" fontId="115" fillId="0" borderId="0"/>
    <xf numFmtId="0" fontId="39" fillId="0" borderId="0"/>
    <xf numFmtId="0" fontId="25" fillId="0" borderId="0"/>
    <xf numFmtId="0" fontId="26" fillId="0" borderId="0"/>
    <xf numFmtId="0" fontId="25" fillId="0" borderId="0"/>
    <xf numFmtId="0" fontId="39" fillId="0" borderId="0"/>
    <xf numFmtId="0" fontId="25" fillId="0" borderId="0"/>
    <xf numFmtId="0" fontId="115" fillId="0" borderId="0"/>
    <xf numFmtId="0" fontId="115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6" fillId="0" borderId="0"/>
    <xf numFmtId="0" fontId="26" fillId="0" borderId="0"/>
    <xf numFmtId="0" fontId="26" fillId="0" borderId="0"/>
    <xf numFmtId="0" fontId="39" fillId="0" borderId="0"/>
    <xf numFmtId="0" fontId="25" fillId="0" borderId="0"/>
    <xf numFmtId="0" fontId="25" fillId="0" borderId="0"/>
    <xf numFmtId="0" fontId="39" fillId="0" borderId="0"/>
    <xf numFmtId="0" fontId="39" fillId="0" borderId="0"/>
    <xf numFmtId="0" fontId="70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5" fillId="0" borderId="0"/>
    <xf numFmtId="0" fontId="25" fillId="0" borderId="0"/>
    <xf numFmtId="0" fontId="26" fillId="0" borderId="0"/>
    <xf numFmtId="0" fontId="26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67" fillId="0" borderId="0">
      <alignment vertical="top"/>
    </xf>
    <xf numFmtId="0" fontId="26" fillId="0" borderId="0"/>
    <xf numFmtId="0" fontId="26" fillId="0" borderId="0"/>
    <xf numFmtId="0" fontId="39" fillId="0" borderId="0"/>
    <xf numFmtId="0" fontId="11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67" fillId="0" borderId="0">
      <alignment vertical="top"/>
    </xf>
    <xf numFmtId="0" fontId="67" fillId="0" borderId="0">
      <alignment vertical="top"/>
    </xf>
    <xf numFmtId="0" fontId="26" fillId="0" borderId="0"/>
    <xf numFmtId="194" fontId="46" fillId="0" borderId="0"/>
    <xf numFmtId="0" fontId="115" fillId="0" borderId="0"/>
    <xf numFmtId="0" fontId="11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15" fillId="0" borderId="0"/>
    <xf numFmtId="0" fontId="26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9" fillId="0" borderId="0"/>
    <xf numFmtId="0" fontId="25" fillId="0" borderId="0"/>
    <xf numFmtId="0" fontId="25" fillId="0" borderId="0"/>
    <xf numFmtId="0" fontId="25" fillId="0" borderId="0"/>
    <xf numFmtId="0" fontId="39" fillId="0" borderId="0" applyNumberFormat="0" applyFont="0" applyFill="0" applyAlignment="0" applyProtection="0"/>
    <xf numFmtId="0" fontId="39" fillId="0" borderId="0" applyNumberFormat="0" applyFont="0" applyFill="0" applyAlignment="0" applyProtection="0"/>
    <xf numFmtId="0" fontId="39" fillId="0" borderId="0"/>
    <xf numFmtId="0" fontId="2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25" fillId="0" borderId="0" applyNumberFormat="0" applyFont="0" applyFill="0" applyAlignment="0" applyProtection="0"/>
    <xf numFmtId="0" fontId="87" fillId="0" borderId="0"/>
    <xf numFmtId="0" fontId="87" fillId="0" borderId="0"/>
    <xf numFmtId="0" fontId="25" fillId="0" borderId="0" applyNumberFormat="0" applyFont="0" applyFill="0" applyAlignment="0" applyProtection="0"/>
    <xf numFmtId="0" fontId="39" fillId="0" borderId="0"/>
    <xf numFmtId="0" fontId="115" fillId="0" borderId="0"/>
    <xf numFmtId="182" fontId="87" fillId="0" borderId="0"/>
    <xf numFmtId="0" fontId="87" fillId="0" borderId="0"/>
    <xf numFmtId="195" fontId="87" fillId="0" borderId="0"/>
    <xf numFmtId="196" fontId="87" fillId="0" borderId="0"/>
    <xf numFmtId="0" fontId="87" fillId="0" borderId="0"/>
    <xf numFmtId="197" fontId="87" fillId="0" borderId="0"/>
    <xf numFmtId="197" fontId="87" fillId="0" borderId="0"/>
    <xf numFmtId="197" fontId="87" fillId="0" borderId="0"/>
    <xf numFmtId="195" fontId="87" fillId="0" borderId="0"/>
    <xf numFmtId="0" fontId="87" fillId="0" borderId="0"/>
    <xf numFmtId="0" fontId="39" fillId="0" borderId="0"/>
    <xf numFmtId="0" fontId="25" fillId="0" borderId="0"/>
    <xf numFmtId="182" fontId="8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6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39" fillId="0" borderId="0"/>
    <xf numFmtId="0" fontId="115" fillId="0" borderId="0"/>
    <xf numFmtId="0" fontId="25" fillId="0" borderId="0"/>
    <xf numFmtId="0" fontId="39" fillId="0" borderId="0"/>
    <xf numFmtId="0" fontId="25" fillId="0" borderId="0"/>
    <xf numFmtId="0" fontId="115" fillId="0" borderId="0"/>
    <xf numFmtId="0" fontId="25" fillId="0" borderId="0"/>
    <xf numFmtId="0" fontId="39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5" fillId="0" borderId="0"/>
    <xf numFmtId="0" fontId="115" fillId="0" borderId="0"/>
    <xf numFmtId="0" fontId="39" fillId="0" borderId="0" applyNumberFormat="0" applyFont="0" applyFill="0" applyAlignment="0" applyProtection="0"/>
    <xf numFmtId="0" fontId="39" fillId="0" borderId="0"/>
    <xf numFmtId="0" fontId="25" fillId="0" borderId="0"/>
    <xf numFmtId="0" fontId="39" fillId="0" borderId="0"/>
    <xf numFmtId="0" fontId="25" fillId="0" borderId="0"/>
    <xf numFmtId="0" fontId="25" fillId="0" borderId="0" applyNumberFormat="0" applyFont="0" applyFill="0" applyAlignment="0" applyProtection="0"/>
    <xf numFmtId="0" fontId="11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26" fillId="0" borderId="0"/>
    <xf numFmtId="198" fontId="87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26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26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197" fontId="87" fillId="0" borderId="0"/>
    <xf numFmtId="197" fontId="87" fillId="0" borderId="0"/>
    <xf numFmtId="197" fontId="87" fillId="0" borderId="0"/>
    <xf numFmtId="197" fontId="87" fillId="0" borderId="0"/>
    <xf numFmtId="199" fontId="87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26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26" fillId="0" borderId="0"/>
    <xf numFmtId="0" fontId="26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39" fillId="0" borderId="0"/>
    <xf numFmtId="0" fontId="25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26" fillId="0" borderId="0"/>
    <xf numFmtId="0" fontId="39" fillId="0" borderId="0"/>
    <xf numFmtId="0" fontId="25" fillId="0" borderId="0"/>
    <xf numFmtId="0" fontId="39" fillId="0" borderId="0"/>
    <xf numFmtId="0" fontId="26" fillId="0" borderId="0"/>
    <xf numFmtId="0" fontId="26" fillId="0" borderId="0"/>
    <xf numFmtId="0" fontId="67" fillId="0" borderId="0">
      <alignment vertical="top"/>
    </xf>
    <xf numFmtId="0" fontId="39" fillId="0" borderId="0"/>
    <xf numFmtId="0" fontId="25" fillId="0" borderId="0"/>
    <xf numFmtId="0" fontId="39" fillId="0" borderId="0"/>
    <xf numFmtId="0" fontId="25" fillId="0" borderId="0"/>
    <xf numFmtId="0" fontId="115" fillId="0" borderId="0"/>
    <xf numFmtId="0" fontId="39" fillId="0" borderId="0"/>
    <xf numFmtId="0" fontId="39" fillId="0" borderId="0"/>
    <xf numFmtId="0" fontId="25" fillId="0" borderId="0"/>
    <xf numFmtId="0" fontId="25" fillId="0" borderId="0"/>
    <xf numFmtId="0" fontId="115" fillId="0" borderId="0"/>
    <xf numFmtId="0" fontId="39" fillId="0" borderId="0"/>
    <xf numFmtId="0" fontId="25" fillId="0" borderId="0"/>
    <xf numFmtId="0" fontId="39" fillId="0" borderId="0"/>
    <xf numFmtId="0" fontId="115" fillId="0" borderId="0"/>
    <xf numFmtId="0" fontId="39" fillId="0" borderId="0"/>
    <xf numFmtId="0" fontId="46" fillId="0" borderId="0"/>
    <xf numFmtId="0" fontId="39" fillId="0" borderId="0"/>
    <xf numFmtId="0" fontId="25" fillId="0" borderId="0"/>
    <xf numFmtId="0" fontId="39" fillId="0" borderId="0"/>
    <xf numFmtId="0" fontId="39" fillId="0" borderId="0"/>
    <xf numFmtId="0" fontId="25" fillId="0" borderId="0"/>
    <xf numFmtId="0" fontId="39" fillId="0" borderId="0"/>
    <xf numFmtId="194" fontId="46" fillId="0" borderId="0"/>
    <xf numFmtId="0" fontId="25" fillId="0" borderId="0"/>
    <xf numFmtId="0" fontId="25" fillId="0" borderId="0" applyProtection="0"/>
    <xf numFmtId="0" fontId="115" fillId="0" borderId="0"/>
    <xf numFmtId="0" fontId="115" fillId="0" borderId="0"/>
    <xf numFmtId="0" fontId="115" fillId="0" borderId="0"/>
    <xf numFmtId="0" fontId="25" fillId="0" borderId="0"/>
    <xf numFmtId="0" fontId="25" fillId="0" borderId="0" applyProtection="0"/>
    <xf numFmtId="0" fontId="39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5" fillId="0" borderId="0"/>
    <xf numFmtId="0" fontId="4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6" fillId="0" borderId="0"/>
    <xf numFmtId="0" fontId="39" fillId="0" borderId="0"/>
    <xf numFmtId="0" fontId="25" fillId="0" borderId="0"/>
    <xf numFmtId="0" fontId="115" fillId="0" borderId="0"/>
    <xf numFmtId="0" fontId="116" fillId="0" borderId="0"/>
    <xf numFmtId="0" fontId="67" fillId="0" borderId="0">
      <alignment vertical="top"/>
    </xf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39" fillId="0" borderId="0"/>
    <xf numFmtId="0" fontId="2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25" fillId="0" borderId="0"/>
    <xf numFmtId="0" fontId="39" fillId="0" borderId="0"/>
    <xf numFmtId="0" fontId="39" fillId="0" borderId="0"/>
    <xf numFmtId="0" fontId="25" fillId="0" borderId="0"/>
    <xf numFmtId="0" fontId="11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5" fillId="0" borderId="0"/>
    <xf numFmtId="0" fontId="39" fillId="0" borderId="0"/>
    <xf numFmtId="0" fontId="25" fillId="0" borderId="0"/>
    <xf numFmtId="0" fontId="115" fillId="0" borderId="0"/>
    <xf numFmtId="0" fontId="115" fillId="0" borderId="0"/>
    <xf numFmtId="0" fontId="115" fillId="0" borderId="0"/>
    <xf numFmtId="0" fontId="39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25" fillId="0" borderId="0"/>
    <xf numFmtId="0" fontId="26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9" fillId="0" borderId="0"/>
    <xf numFmtId="0" fontId="39" fillId="0" borderId="0"/>
    <xf numFmtId="0" fontId="25" fillId="0" borderId="0"/>
    <xf numFmtId="0" fontId="117" fillId="0" borderId="0"/>
    <xf numFmtId="0" fontId="25" fillId="0" borderId="0"/>
    <xf numFmtId="0" fontId="25" fillId="0" borderId="0"/>
    <xf numFmtId="0" fontId="26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6" fillId="0" borderId="0"/>
    <xf numFmtId="0" fontId="26" fillId="0" borderId="0"/>
    <xf numFmtId="0" fontId="116" fillId="0" borderId="0"/>
    <xf numFmtId="0" fontId="70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9" fillId="0" borderId="0"/>
    <xf numFmtId="0" fontId="25" fillId="0" borderId="0"/>
    <xf numFmtId="0" fontId="39" fillId="0" borderId="0"/>
    <xf numFmtId="0" fontId="39" fillId="0" borderId="0" applyProtection="0"/>
    <xf numFmtId="0" fontId="25" fillId="0" borderId="0" applyProtection="0"/>
    <xf numFmtId="0" fontId="25" fillId="0" borderId="0"/>
    <xf numFmtId="0" fontId="39" fillId="0" borderId="0"/>
    <xf numFmtId="0" fontId="25" fillId="0" borderId="0"/>
    <xf numFmtId="194" fontId="46" fillId="0" borderId="0"/>
    <xf numFmtId="194" fontId="46" fillId="0" borderId="0"/>
    <xf numFmtId="0" fontId="1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9" fillId="0" borderId="0"/>
    <xf numFmtId="0" fontId="25" fillId="0" borderId="0"/>
    <xf numFmtId="0" fontId="116" fillId="0" borderId="0"/>
    <xf numFmtId="0" fontId="67" fillId="0" borderId="0">
      <alignment vertical="top"/>
    </xf>
    <xf numFmtId="0" fontId="39" fillId="0" borderId="0"/>
    <xf numFmtId="0" fontId="25" fillId="0" borderId="0"/>
    <xf numFmtId="0" fontId="39" fillId="0" borderId="0"/>
    <xf numFmtId="0" fontId="25" fillId="0" borderId="0"/>
    <xf numFmtId="0" fontId="115" fillId="0" borderId="0"/>
    <xf numFmtId="0" fontId="115" fillId="0" borderId="0"/>
    <xf numFmtId="0" fontId="39" fillId="0" borderId="0"/>
    <xf numFmtId="0" fontId="2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9" fillId="27" borderId="12" applyNumberFormat="0" applyFont="0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0" fontId="39" fillId="27" borderId="12" applyNumberFormat="0" applyFont="0" applyAlignment="0" applyProtection="0"/>
    <xf numFmtId="0" fontId="25" fillId="27" borderId="12" applyNumberFormat="0" applyFont="0" applyAlignment="0" applyProtection="0"/>
    <xf numFmtId="0" fontId="39" fillId="27" borderId="12" applyNumberFormat="0" applyFont="0" applyAlignment="0" applyProtection="0"/>
    <xf numFmtId="0" fontId="25" fillId="27" borderId="12" applyNumberFormat="0" applyFont="0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176" fontId="39" fillId="0" borderId="0" applyFont="0" applyFill="0" applyBorder="0" applyAlignment="0" applyProtection="0"/>
    <xf numFmtId="176" fontId="25" fillId="0" borderId="0" applyFont="0" applyFill="0" applyBorder="0" applyAlignment="0" applyProtection="0"/>
    <xf numFmtId="200" fontId="39" fillId="0" borderId="0" applyFont="0" applyFill="0" applyBorder="0" applyAlignment="0" applyProtection="0"/>
    <xf numFmtId="200" fontId="25" fillId="0" borderId="0" applyFont="0" applyFill="0" applyBorder="0" applyAlignment="0" applyProtection="0"/>
    <xf numFmtId="10" fontId="39" fillId="0" borderId="0" applyFont="0" applyFill="0" applyBorder="0" applyAlignment="0" applyProtection="0"/>
    <xf numFmtId="10" fontId="25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6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5" fillId="0" borderId="0" applyFont="0" applyFill="0" applyBorder="0" applyAlignment="0" applyProtection="0"/>
    <xf numFmtId="177" fontId="39" fillId="0" borderId="0" applyFill="0" applyBorder="0" applyAlignment="0"/>
    <xf numFmtId="177" fontId="25" fillId="0" borderId="0" applyFill="0" applyBorder="0" applyAlignment="0"/>
    <xf numFmtId="173" fontId="39" fillId="0" borderId="0" applyFill="0" applyBorder="0" applyAlignment="0"/>
    <xf numFmtId="173" fontId="25" fillId="0" borderId="0" applyFill="0" applyBorder="0" applyAlignment="0"/>
    <xf numFmtId="177" fontId="39" fillId="0" borderId="0" applyFill="0" applyBorder="0" applyAlignment="0"/>
    <xf numFmtId="177" fontId="25" fillId="0" borderId="0" applyFill="0" applyBorder="0" applyAlignment="0"/>
    <xf numFmtId="178" fontId="39" fillId="0" borderId="0" applyFill="0" applyBorder="0" applyAlignment="0"/>
    <xf numFmtId="178" fontId="25" fillId="0" borderId="0" applyFill="0" applyBorder="0" applyAlignment="0"/>
    <xf numFmtId="173" fontId="39" fillId="0" borderId="0" applyFill="0" applyBorder="0" applyAlignment="0"/>
    <xf numFmtId="173" fontId="25" fillId="0" borderId="0" applyFill="0" applyBorder="0" applyAlignment="0"/>
    <xf numFmtId="0" fontId="77" fillId="0" borderId="0"/>
    <xf numFmtId="201" fontId="90" fillId="0" borderId="0" applyNumberFormat="0" applyFill="0" applyBorder="0" applyAlignment="0" applyProtection="0">
      <alignment horizontal="left"/>
    </xf>
    <xf numFmtId="0" fontId="91" fillId="0" borderId="14"/>
    <xf numFmtId="0" fontId="91" fillId="0" borderId="14"/>
    <xf numFmtId="0" fontId="92" fillId="0" borderId="15"/>
    <xf numFmtId="0" fontId="92" fillId="0" borderId="15"/>
    <xf numFmtId="40" fontId="93" fillId="0" borderId="0" applyBorder="0">
      <alignment horizontal="right"/>
    </xf>
    <xf numFmtId="49" fontId="67" fillId="0" borderId="0" applyFill="0" applyBorder="0" applyAlignment="0"/>
    <xf numFmtId="202" fontId="39" fillId="0" borderId="0" applyFill="0" applyBorder="0" applyAlignment="0"/>
    <xf numFmtId="202" fontId="25" fillId="0" borderId="0" applyFill="0" applyBorder="0" applyAlignment="0"/>
    <xf numFmtId="203" fontId="39" fillId="0" borderId="0" applyFill="0" applyBorder="0" applyAlignment="0"/>
    <xf numFmtId="203" fontId="25" fillId="0" borderId="0" applyFill="0" applyBorder="0" applyAlignment="0"/>
    <xf numFmtId="204" fontId="94" fillId="0" borderId="16" applyFont="0" applyBorder="0" applyAlignment="0">
      <alignment horizontal="right"/>
    </xf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9" fillId="0" borderId="0"/>
    <xf numFmtId="0" fontId="13" fillId="0" borderId="0"/>
    <xf numFmtId="9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0" fontId="12" fillId="0" borderId="0"/>
    <xf numFmtId="41" fontId="25" fillId="0" borderId="0" applyFont="0" applyFill="0" applyBorder="0" applyAlignment="0" applyProtection="0"/>
    <xf numFmtId="9" fontId="166" fillId="0" borderId="0" applyFont="0" applyFill="0" applyBorder="0" applyAlignment="0" applyProtection="0"/>
    <xf numFmtId="41" fontId="178" fillId="0" borderId="0" applyFont="0" applyFill="0" applyBorder="0" applyAlignment="0" applyProtection="0"/>
    <xf numFmtId="0" fontId="25" fillId="0" borderId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9" fillId="0" borderId="0"/>
    <xf numFmtId="41" fontId="25" fillId="0" borderId="0" applyFont="0" applyFill="0" applyBorder="0" applyAlignment="0" applyProtection="0"/>
    <xf numFmtId="0" fontId="9" fillId="0" borderId="0"/>
    <xf numFmtId="43" fontId="25" fillId="0" borderId="0" applyFont="0" applyFill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1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7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1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1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1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15" fillId="0" borderId="0" applyFont="0" applyFill="0" applyBorder="0" applyAlignment="0" applyProtection="0"/>
    <xf numFmtId="41" fontId="11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15" fillId="0" borderId="0" applyFont="0" applyFill="0" applyBorder="0" applyAlignment="0" applyProtection="0"/>
    <xf numFmtId="41" fontId="115" fillId="0" borderId="0" applyFont="0" applyFill="0" applyBorder="0" applyAlignment="0" applyProtection="0"/>
    <xf numFmtId="41" fontId="11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1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15" fillId="0" borderId="0" applyFont="0" applyFill="0" applyBorder="0" applyAlignment="0" applyProtection="0"/>
    <xf numFmtId="41" fontId="11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1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1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71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5" fillId="0" borderId="0" applyFont="0" applyFill="0" applyBorder="0" applyAlignment="0" applyProtection="0"/>
    <xf numFmtId="43" fontId="11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5" fillId="0" borderId="0" applyFont="0" applyFill="0" applyBorder="0" applyAlignment="0" applyProtection="0"/>
    <xf numFmtId="43" fontId="11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1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15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15" fillId="0" borderId="0" applyFont="0" applyFill="0" applyBorder="0" applyAlignment="0" applyProtection="0"/>
    <xf numFmtId="0" fontId="91" fillId="0" borderId="100"/>
    <xf numFmtId="0" fontId="92" fillId="0" borderId="101"/>
    <xf numFmtId="43" fontId="25" fillId="0" borderId="0" applyFont="0" applyFill="0" applyBorder="0" applyAlignment="0" applyProtection="0"/>
    <xf numFmtId="0" fontId="30" fillId="21" borderId="102" applyNumberFormat="0" applyAlignment="0" applyProtection="0"/>
    <xf numFmtId="0" fontId="3" fillId="0" borderId="0"/>
    <xf numFmtId="0" fontId="3" fillId="0" borderId="0"/>
    <xf numFmtId="0" fontId="30" fillId="21" borderId="102" applyNumberFormat="0" applyAlignment="0" applyProtection="0"/>
    <xf numFmtId="0" fontId="30" fillId="21" borderId="102" applyNumberFormat="0" applyAlignment="0" applyProtection="0"/>
    <xf numFmtId="0" fontId="30" fillId="21" borderId="102" applyNumberFormat="0" applyAlignment="0" applyProtection="0"/>
    <xf numFmtId="0" fontId="30" fillId="21" borderId="102" applyNumberFormat="0" applyAlignment="0" applyProtection="0"/>
    <xf numFmtId="0" fontId="30" fillId="21" borderId="102" applyNumberFormat="0" applyAlignment="0" applyProtection="0"/>
    <xf numFmtId="0" fontId="30" fillId="21" borderId="102" applyNumberFormat="0" applyAlignment="0" applyProtection="0"/>
    <xf numFmtId="0" fontId="30" fillId="21" borderId="102" applyNumberFormat="0" applyAlignment="0" applyProtection="0"/>
    <xf numFmtId="0" fontId="30" fillId="21" borderId="102" applyNumberFormat="0" applyAlignment="0" applyProtection="0"/>
    <xf numFmtId="0" fontId="30" fillId="21" borderId="102" applyNumberFormat="0" applyAlignment="0" applyProtection="0"/>
    <xf numFmtId="0" fontId="30" fillId="21" borderId="102" applyNumberFormat="0" applyAlignment="0" applyProtection="0"/>
    <xf numFmtId="0" fontId="30" fillId="21" borderId="102" applyNumberFormat="0" applyAlignment="0" applyProtection="0"/>
    <xf numFmtId="0" fontId="30" fillId="21" borderId="102" applyNumberFormat="0" applyAlignment="0" applyProtection="0"/>
    <xf numFmtId="0" fontId="30" fillId="21" borderId="102" applyNumberFormat="0" applyAlignment="0" applyProtection="0"/>
    <xf numFmtId="0" fontId="30" fillId="21" borderId="102" applyNumberFormat="0" applyAlignment="0" applyProtection="0"/>
    <xf numFmtId="0" fontId="30" fillId="21" borderId="102" applyNumberFormat="0" applyAlignment="0" applyProtection="0"/>
    <xf numFmtId="0" fontId="30" fillId="21" borderId="102" applyNumberFormat="0" applyAlignment="0" applyProtection="0"/>
    <xf numFmtId="0" fontId="30" fillId="21" borderId="102" applyNumberFormat="0" applyAlignment="0" applyProtection="0"/>
    <xf numFmtId="0" fontId="30" fillId="21" borderId="102" applyNumberFormat="0" applyAlignment="0" applyProtection="0"/>
    <xf numFmtId="0" fontId="30" fillId="21" borderId="102" applyNumberFormat="0" applyAlignment="0" applyProtection="0"/>
    <xf numFmtId="0" fontId="30" fillId="21" borderId="102" applyNumberFormat="0" applyAlignment="0" applyProtection="0"/>
    <xf numFmtId="43" fontId="3" fillId="0" borderId="0" applyFont="0" applyFill="0" applyBorder="0" applyAlignment="0" applyProtection="0"/>
    <xf numFmtId="0" fontId="82" fillId="0" borderId="103"/>
    <xf numFmtId="0" fontId="82" fillId="0" borderId="103"/>
    <xf numFmtId="0" fontId="3" fillId="0" borderId="0"/>
    <xf numFmtId="0" fontId="3" fillId="0" borderId="0"/>
  </cellStyleXfs>
  <cellXfs count="719">
    <xf numFmtId="0" fontId="0" fillId="0" borderId="0" xfId="0"/>
    <xf numFmtId="0" fontId="48" fillId="0" borderId="0" xfId="1448" applyFont="1" applyAlignment="1">
      <alignment horizontal="center" wrapText="1"/>
    </xf>
    <xf numFmtId="0" fontId="47" fillId="0" borderId="0" xfId="1448" applyFont="1" applyAlignment="1">
      <alignment horizontal="left" vertical="center" wrapText="1"/>
    </xf>
    <xf numFmtId="0" fontId="57" fillId="0" borderId="0" xfId="1448" applyFont="1" applyAlignment="1">
      <alignment horizontal="center" wrapText="1"/>
    </xf>
    <xf numFmtId="3" fontId="48" fillId="0" borderId="0" xfId="1448" applyNumberFormat="1" applyFont="1" applyAlignment="1">
      <alignment horizontal="center" vertical="center" wrapText="1"/>
    </xf>
    <xf numFmtId="0" fontId="57" fillId="0" borderId="0" xfId="1448" applyFont="1" applyAlignment="1">
      <alignment wrapText="1"/>
    </xf>
    <xf numFmtId="0" fontId="58" fillId="0" borderId="0" xfId="1448" applyFont="1" applyAlignment="1">
      <alignment wrapText="1"/>
    </xf>
    <xf numFmtId="0" fontId="47" fillId="0" borderId="0" xfId="1448" applyFont="1" applyAlignment="1">
      <alignment horizontal="center" wrapText="1"/>
    </xf>
    <xf numFmtId="0" fontId="47" fillId="0" borderId="0" xfId="1448" applyFont="1" applyAlignment="1">
      <alignment horizontal="center" vertical="center" wrapText="1"/>
    </xf>
    <xf numFmtId="3" fontId="47" fillId="0" borderId="0" xfId="1448" applyNumberFormat="1" applyFont="1" applyAlignment="1">
      <alignment horizontal="center" vertical="center" wrapText="1"/>
    </xf>
    <xf numFmtId="0" fontId="47" fillId="0" borderId="18" xfId="1448" applyFont="1" applyBorder="1" applyAlignment="1">
      <alignment horizontal="center" vertical="center" wrapText="1"/>
    </xf>
    <xf numFmtId="0" fontId="48" fillId="0" borderId="0" xfId="1448" applyFont="1" applyAlignment="1">
      <alignment horizontal="center" vertical="center" wrapText="1"/>
    </xf>
    <xf numFmtId="0" fontId="57" fillId="0" borderId="0" xfId="1448" applyFont="1" applyAlignment="1">
      <alignment horizontal="center" vertical="center" wrapText="1"/>
    </xf>
    <xf numFmtId="0" fontId="60" fillId="0" borderId="18" xfId="1448" applyFont="1" applyBorder="1" applyAlignment="1">
      <alignment horizontal="center" wrapText="1"/>
    </xf>
    <xf numFmtId="0" fontId="61" fillId="0" borderId="0" xfId="1448" applyFont="1" applyAlignment="1">
      <alignment wrapText="1"/>
    </xf>
    <xf numFmtId="0" fontId="48" fillId="0" borderId="18" xfId="1448" applyFont="1" applyBorder="1" applyAlignment="1">
      <alignment horizontal="center" vertical="center" wrapText="1"/>
    </xf>
    <xf numFmtId="165" fontId="48" fillId="0" borderId="0" xfId="527" applyNumberFormat="1" applyFont="1" applyFill="1" applyBorder="1" applyAlignment="1">
      <alignment horizontal="center" wrapText="1"/>
    </xf>
    <xf numFmtId="0" fontId="48" fillId="0" borderId="18" xfId="1448" quotePrefix="1" applyFont="1" applyBorder="1" applyAlignment="1">
      <alignment horizontal="center" vertical="center" wrapText="1"/>
    </xf>
    <xf numFmtId="18" fontId="48" fillId="0" borderId="18" xfId="1448" quotePrefix="1" applyNumberFormat="1" applyFont="1" applyBorder="1" applyAlignment="1">
      <alignment horizontal="center" vertical="center" wrapText="1"/>
    </xf>
    <xf numFmtId="0" fontId="57" fillId="0" borderId="0" xfId="1448" applyFont="1" applyAlignment="1">
      <alignment vertical="top" wrapText="1"/>
    </xf>
    <xf numFmtId="165" fontId="48" fillId="0" borderId="18" xfId="1448" applyNumberFormat="1" applyFont="1" applyBorder="1" applyAlignment="1">
      <alignment horizontal="center" vertical="center" wrapText="1"/>
    </xf>
    <xf numFmtId="17" fontId="48" fillId="0" borderId="18" xfId="1448" quotePrefix="1" applyNumberFormat="1" applyFont="1" applyBorder="1" applyAlignment="1">
      <alignment horizontal="center" vertical="center" wrapText="1"/>
    </xf>
    <xf numFmtId="165" fontId="48" fillId="0" borderId="0" xfId="1448" applyNumberFormat="1" applyFont="1" applyAlignment="1">
      <alignment horizontal="center" wrapText="1"/>
    </xf>
    <xf numFmtId="0" fontId="115" fillId="0" borderId="0" xfId="1614" applyAlignment="1">
      <alignment horizontal="center"/>
    </xf>
    <xf numFmtId="0" fontId="52" fillId="0" borderId="0" xfId="1614" applyFont="1" applyAlignment="1">
      <alignment horizontal="center" vertical="center"/>
    </xf>
    <xf numFmtId="0" fontId="47" fillId="0" borderId="0" xfId="1614" applyFont="1" applyAlignment="1">
      <alignment vertical="center"/>
    </xf>
    <xf numFmtId="0" fontId="115" fillId="0" borderId="0" xfId="1614" applyAlignment="1">
      <alignment horizontal="center" vertical="center"/>
    </xf>
    <xf numFmtId="3" fontId="49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0" fontId="64" fillId="0" borderId="0" xfId="1614" applyFont="1" applyAlignment="1">
      <alignment horizontal="center"/>
    </xf>
    <xf numFmtId="167" fontId="56" fillId="0" borderId="0" xfId="1652" applyNumberFormat="1" applyFont="1"/>
    <xf numFmtId="0" fontId="115" fillId="0" borderId="19" xfId="1614" applyBorder="1" applyAlignment="1">
      <alignment horizontal="center"/>
    </xf>
    <xf numFmtId="0" fontId="56" fillId="0" borderId="0" xfId="1614" applyFont="1" applyAlignment="1">
      <alignment horizontal="center"/>
    </xf>
    <xf numFmtId="0" fontId="56" fillId="0" borderId="0" xfId="1614" applyFont="1" applyAlignment="1">
      <alignment horizontal="center" vertical="center" wrapText="1"/>
    </xf>
    <xf numFmtId="3" fontId="48" fillId="0" borderId="0" xfId="1614" applyNumberFormat="1" applyFont="1" applyAlignment="1">
      <alignment vertical="center"/>
    </xf>
    <xf numFmtId="0" fontId="24" fillId="0" borderId="0" xfId="1614" applyFont="1" applyAlignment="1">
      <alignment horizontal="center"/>
    </xf>
    <xf numFmtId="0" fontId="48" fillId="0" borderId="20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left" vertical="center" wrapText="1"/>
    </xf>
    <xf numFmtId="0" fontId="48" fillId="0" borderId="21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/>
    </xf>
    <xf numFmtId="3" fontId="50" fillId="0" borderId="21" xfId="1614" applyNumberFormat="1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8" fillId="0" borderId="22" xfId="1614" applyNumberFormat="1" applyFont="1" applyBorder="1" applyAlignment="1">
      <alignment horizontal="center" vertical="center"/>
    </xf>
    <xf numFmtId="0" fontId="65" fillId="0" borderId="0" xfId="1614" applyFont="1" applyAlignment="1">
      <alignment horizontal="center" vertical="center"/>
    </xf>
    <xf numFmtId="3" fontId="48" fillId="0" borderId="0" xfId="1614" applyNumberFormat="1" applyFont="1" applyAlignment="1">
      <alignment horizontal="center" vertical="center"/>
    </xf>
    <xf numFmtId="3" fontId="65" fillId="0" borderId="0" xfId="1614" applyNumberFormat="1" applyFont="1" applyAlignment="1">
      <alignment horizontal="center" vertical="center"/>
    </xf>
    <xf numFmtId="0" fontId="65" fillId="0" borderId="0" xfId="1614" applyFont="1" applyAlignment="1">
      <alignment horizontal="center"/>
    </xf>
    <xf numFmtId="0" fontId="53" fillId="0" borderId="23" xfId="1614" applyFont="1" applyBorder="1" applyAlignment="1">
      <alignment horizontal="center" vertical="center"/>
    </xf>
    <xf numFmtId="0" fontId="53" fillId="0" borderId="24" xfId="1614" applyFont="1" applyBorder="1" applyAlignment="1">
      <alignment horizontal="left" vertical="center"/>
    </xf>
    <xf numFmtId="0" fontId="53" fillId="0" borderId="24" xfId="1614" applyFont="1" applyBorder="1" applyAlignment="1">
      <alignment vertical="center"/>
    </xf>
    <xf numFmtId="0" fontId="24" fillId="0" borderId="24" xfId="1614" applyFont="1" applyBorder="1" applyAlignment="1">
      <alignment horizontal="center" vertical="center"/>
    </xf>
    <xf numFmtId="3" fontId="48" fillId="0" borderId="24" xfId="1614" applyNumberFormat="1" applyFont="1" applyBorder="1" applyAlignment="1">
      <alignment horizontal="center" vertical="center"/>
    </xf>
    <xf numFmtId="3" fontId="48" fillId="0" borderId="25" xfId="1614" applyNumberFormat="1" applyFont="1" applyBorder="1" applyAlignment="1">
      <alignment horizontal="center" vertical="center"/>
    </xf>
    <xf numFmtId="0" fontId="115" fillId="0" borderId="26" xfId="1614" applyBorder="1" applyAlignment="1">
      <alignment horizontal="center" vertical="center"/>
    </xf>
    <xf numFmtId="37" fontId="115" fillId="0" borderId="27" xfId="1614" applyNumberFormat="1" applyBorder="1" applyAlignment="1">
      <alignment horizontal="center"/>
    </xf>
    <xf numFmtId="0" fontId="115" fillId="0" borderId="28" xfId="1614" applyBorder="1" applyAlignment="1">
      <alignment horizontal="center" vertical="center"/>
    </xf>
    <xf numFmtId="37" fontId="24" fillId="0" borderId="0" xfId="1614" applyNumberFormat="1" applyFont="1" applyAlignment="1">
      <alignment horizontal="center"/>
    </xf>
    <xf numFmtId="37" fontId="66" fillId="0" borderId="0" xfId="1614" applyNumberFormat="1" applyFont="1" applyAlignment="1">
      <alignment horizontal="center"/>
    </xf>
    <xf numFmtId="37" fontId="56" fillId="0" borderId="29" xfId="1614" applyNumberFormat="1" applyFont="1" applyBorder="1" applyAlignment="1">
      <alignment horizontal="center"/>
    </xf>
    <xf numFmtId="37" fontId="115" fillId="0" borderId="29" xfId="1614" applyNumberFormat="1" applyBorder="1" applyAlignment="1">
      <alignment horizontal="center"/>
    </xf>
    <xf numFmtId="37" fontId="66" fillId="0" borderId="30" xfId="1614" applyNumberFormat="1" applyFont="1" applyBorder="1" applyAlignment="1">
      <alignment horizontal="center"/>
    </xf>
    <xf numFmtId="0" fontId="55" fillId="0" borderId="0" xfId="1614" applyFont="1" applyAlignment="1">
      <alignment horizontal="center" vertical="center"/>
    </xf>
    <xf numFmtId="0" fontId="115" fillId="0" borderId="19" xfId="1614" applyBorder="1"/>
    <xf numFmtId="0" fontId="115" fillId="0" borderId="19" xfId="1614" applyBorder="1" applyAlignment="1">
      <alignment horizontal="right"/>
    </xf>
    <xf numFmtId="0" fontId="115" fillId="0" borderId="31" xfId="1614" applyBorder="1" applyAlignment="1">
      <alignment horizontal="right"/>
    </xf>
    <xf numFmtId="0" fontId="53" fillId="0" borderId="0" xfId="1614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0" fontId="53" fillId="0" borderId="0" xfId="1614" applyFont="1" applyAlignment="1">
      <alignment vertical="center"/>
    </xf>
    <xf numFmtId="0" fontId="24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115" fillId="0" borderId="0" xfId="1652" applyAlignment="1">
      <alignment horizontal="right"/>
    </xf>
    <xf numFmtId="0" fontId="52" fillId="0" borderId="0" xfId="1614" applyFont="1" applyAlignment="1">
      <alignment vertical="center"/>
    </xf>
    <xf numFmtId="0" fontId="52" fillId="0" borderId="0" xfId="1614" applyFont="1" applyAlignment="1">
      <alignment horizontal="center"/>
    </xf>
    <xf numFmtId="0" fontId="95" fillId="0" borderId="0" xfId="1614" applyFont="1" applyAlignment="1">
      <alignment horizontal="center" vertical="center" wrapText="1"/>
    </xf>
    <xf numFmtId="0" fontId="56" fillId="0" borderId="20" xfId="1652" applyFont="1" applyBorder="1" applyAlignment="1">
      <alignment horizontal="center" vertical="center"/>
    </xf>
    <xf numFmtId="0" fontId="56" fillId="0" borderId="21" xfId="1652" applyFont="1" applyBorder="1" applyAlignment="1">
      <alignment vertical="center" wrapText="1"/>
    </xf>
    <xf numFmtId="37" fontId="56" fillId="0" borderId="27" xfId="1614" applyNumberFormat="1" applyFont="1" applyBorder="1" applyAlignment="1">
      <alignment horizontal="center"/>
    </xf>
    <xf numFmtId="37" fontId="66" fillId="0" borderId="32" xfId="1614" applyNumberFormat="1" applyFont="1" applyBorder="1" applyAlignment="1">
      <alignment horizontal="center"/>
    </xf>
    <xf numFmtId="0" fontId="24" fillId="0" borderId="21" xfId="1652" applyFont="1" applyBorder="1" applyAlignment="1">
      <alignment horizontal="center" vertical="center"/>
    </xf>
    <xf numFmtId="0" fontId="47" fillId="0" borderId="0" xfId="1448" applyFont="1" applyAlignment="1">
      <alignment horizontal="left" vertical="center"/>
    </xf>
    <xf numFmtId="0" fontId="57" fillId="0" borderId="0" xfId="1448" applyFont="1" applyAlignment="1">
      <alignment horizontal="left" wrapText="1"/>
    </xf>
    <xf numFmtId="3" fontId="64" fillId="0" borderId="0" xfId="1614" applyNumberFormat="1" applyFont="1" applyAlignment="1">
      <alignment horizontal="center"/>
    </xf>
    <xf numFmtId="0" fontId="56" fillId="0" borderId="0" xfId="1614" applyFont="1"/>
    <xf numFmtId="0" fontId="48" fillId="0" borderId="21" xfId="1448" applyFont="1" applyBorder="1" applyAlignment="1">
      <alignment horizontal="center" vertical="center"/>
    </xf>
    <xf numFmtId="0" fontId="48" fillId="0" borderId="21" xfId="1448" applyFont="1" applyBorder="1" applyAlignment="1">
      <alignment horizontal="left" wrapText="1"/>
    </xf>
    <xf numFmtId="0" fontId="57" fillId="0" borderId="21" xfId="1448" applyFont="1" applyBorder="1" applyAlignment="1">
      <alignment horizontal="center" wrapText="1"/>
    </xf>
    <xf numFmtId="0" fontId="48" fillId="0" borderId="21" xfId="1448" applyFont="1" applyBorder="1" applyAlignment="1">
      <alignment horizontal="center" vertical="center" wrapText="1"/>
    </xf>
    <xf numFmtId="3" fontId="48" fillId="0" borderId="21" xfId="1448" applyNumberFormat="1" applyFont="1" applyBorder="1" applyAlignment="1">
      <alignment horizontal="center" vertical="center" wrapText="1"/>
    </xf>
    <xf numFmtId="0" fontId="58" fillId="0" borderId="0" xfId="1448" applyFont="1" applyAlignment="1">
      <alignment horizontal="center" wrapText="1"/>
    </xf>
    <xf numFmtId="0" fontId="66" fillId="0" borderId="34" xfId="1614" applyFont="1" applyBorder="1" applyAlignment="1">
      <alignment vertical="center"/>
    </xf>
    <xf numFmtId="169" fontId="48" fillId="0" borderId="0" xfId="714" applyFont="1" applyFill="1" applyAlignment="1">
      <alignment horizontal="center" wrapText="1"/>
    </xf>
    <xf numFmtId="169" fontId="47" fillId="0" borderId="0" xfId="714" applyFont="1" applyFill="1" applyAlignment="1">
      <alignment horizontal="center" wrapText="1"/>
    </xf>
    <xf numFmtId="4" fontId="97" fillId="0" borderId="3" xfId="1448" applyNumberFormat="1" applyFont="1" applyBorder="1" applyAlignment="1">
      <alignment horizontal="center" vertical="center" wrapText="1"/>
    </xf>
    <xf numFmtId="0" fontId="48" fillId="0" borderId="0" xfId="1448" applyFont="1" applyAlignment="1">
      <alignment vertical="center" wrapText="1"/>
    </xf>
    <xf numFmtId="169" fontId="48" fillId="0" borderId="21" xfId="715" applyNumberFormat="1" applyFont="1" applyFill="1" applyBorder="1" applyAlignment="1">
      <alignment horizontal="center" vertical="center" wrapText="1"/>
    </xf>
    <xf numFmtId="169" fontId="48" fillId="0" borderId="21" xfId="714" applyFont="1" applyFill="1" applyBorder="1" applyAlignment="1">
      <alignment horizontal="center" vertical="center" wrapText="1"/>
    </xf>
    <xf numFmtId="169" fontId="48" fillId="0" borderId="33" xfId="714" applyFont="1" applyFill="1" applyBorder="1" applyAlignment="1">
      <alignment horizontal="center" vertical="center" wrapText="1"/>
    </xf>
    <xf numFmtId="167" fontId="47" fillId="0" borderId="0" xfId="1614" applyNumberFormat="1" applyFont="1" applyAlignment="1">
      <alignment horizontal="left" vertical="center"/>
    </xf>
    <xf numFmtId="37" fontId="115" fillId="0" borderId="0" xfId="1614" applyNumberFormat="1" applyAlignment="1">
      <alignment horizontal="center"/>
    </xf>
    <xf numFmtId="0" fontId="22" fillId="0" borderId="20" xfId="1652" applyFont="1" applyBorder="1" applyAlignment="1">
      <alignment horizontal="center" vertical="center"/>
    </xf>
    <xf numFmtId="0" fontId="22" fillId="0" borderId="21" xfId="1652" applyFont="1" applyBorder="1" applyAlignment="1">
      <alignment horizontal="center" vertical="center"/>
    </xf>
    <xf numFmtId="0" fontId="55" fillId="0" borderId="20" xfId="1652" applyFont="1" applyBorder="1" applyAlignment="1">
      <alignment horizontal="center" vertical="center"/>
    </xf>
    <xf numFmtId="0" fontId="55" fillId="0" borderId="21" xfId="1652" applyFont="1" applyBorder="1" applyAlignment="1">
      <alignment vertical="center" wrapText="1"/>
    </xf>
    <xf numFmtId="0" fontId="98" fillId="0" borderId="21" xfId="1614" applyFont="1" applyBorder="1" applyAlignment="1">
      <alignment horizontal="center" vertical="center" wrapText="1"/>
    </xf>
    <xf numFmtId="0" fontId="100" fillId="0" borderId="0" xfId="1652" applyFont="1" applyAlignment="1">
      <alignment horizontal="center" vertical="center"/>
    </xf>
    <xf numFmtId="0" fontId="56" fillId="0" borderId="0" xfId="1614" applyFont="1" applyAlignment="1">
      <alignment horizontal="left" vertical="center"/>
    </xf>
    <xf numFmtId="3" fontId="47" fillId="0" borderId="0" xfId="1614" applyNumberFormat="1" applyFont="1" applyAlignment="1">
      <alignment horizontal="left" vertical="center"/>
    </xf>
    <xf numFmtId="3" fontId="47" fillId="0" borderId="3" xfId="1448" applyNumberFormat="1" applyFont="1" applyBorder="1" applyAlignment="1">
      <alignment horizontal="center" vertical="center" wrapText="1"/>
    </xf>
    <xf numFmtId="0" fontId="48" fillId="0" borderId="21" xfId="1451" applyFont="1" applyBorder="1" applyAlignment="1">
      <alignment horizontal="left" vertical="center" wrapText="1"/>
    </xf>
    <xf numFmtId="0" fontId="60" fillId="0" borderId="18" xfId="1448" quotePrefix="1" applyFont="1" applyBorder="1" applyAlignment="1">
      <alignment horizontal="center" vertical="center" wrapText="1"/>
    </xf>
    <xf numFmtId="0" fontId="52" fillId="0" borderId="0" xfId="1505" applyFont="1"/>
    <xf numFmtId="0" fontId="64" fillId="0" borderId="0" xfId="1615" applyFont="1" applyAlignment="1">
      <alignment horizontal="center"/>
    </xf>
    <xf numFmtId="0" fontId="52" fillId="0" borderId="0" xfId="1615" applyFont="1" applyAlignment="1">
      <alignment horizontal="center" vertical="center"/>
    </xf>
    <xf numFmtId="0" fontId="47" fillId="0" borderId="0" xfId="1615" applyFont="1" applyAlignment="1">
      <alignment horizontal="left" vertical="center"/>
    </xf>
    <xf numFmtId="0" fontId="47" fillId="0" borderId="0" xfId="1615" applyFont="1" applyAlignment="1">
      <alignment vertical="center"/>
    </xf>
    <xf numFmtId="0" fontId="115" fillId="0" borderId="0" xfId="1615" applyAlignment="1">
      <alignment horizontal="center" vertical="center"/>
    </xf>
    <xf numFmtId="3" fontId="49" fillId="0" borderId="0" xfId="1615" applyNumberFormat="1" applyFont="1" applyAlignment="1">
      <alignment horizontal="center" vertical="center"/>
    </xf>
    <xf numFmtId="0" fontId="115" fillId="0" borderId="0" xfId="1615" applyAlignment="1">
      <alignment horizontal="center"/>
    </xf>
    <xf numFmtId="167" fontId="47" fillId="0" borderId="0" xfId="1615" applyNumberFormat="1" applyFont="1" applyAlignment="1">
      <alignment horizontal="left" vertical="center"/>
    </xf>
    <xf numFmtId="167" fontId="56" fillId="0" borderId="0" xfId="1653" applyNumberFormat="1" applyFont="1" applyAlignment="1">
      <alignment horizontal="left" vertical="center"/>
    </xf>
    <xf numFmtId="0" fontId="100" fillId="0" borderId="0" xfId="1653" applyFont="1" applyAlignment="1">
      <alignment horizontal="center" vertical="center"/>
    </xf>
    <xf numFmtId="0" fontId="48" fillId="0" borderId="35" xfId="1615" applyFont="1" applyBorder="1" applyAlignment="1">
      <alignment horizontal="center" vertical="center"/>
    </xf>
    <xf numFmtId="0" fontId="48" fillId="0" borderId="35" xfId="1615" applyFont="1" applyBorder="1" applyAlignment="1">
      <alignment horizontal="left" vertical="center" wrapText="1"/>
    </xf>
    <xf numFmtId="0" fontId="48" fillId="0" borderId="35" xfId="1615" applyFont="1" applyBorder="1" applyAlignment="1">
      <alignment horizontal="center" vertical="center" wrapText="1"/>
    </xf>
    <xf numFmtId="0" fontId="50" fillId="0" borderId="35" xfId="1615" applyFont="1" applyBorder="1" applyAlignment="1">
      <alignment horizontal="center" vertical="center"/>
    </xf>
    <xf numFmtId="0" fontId="17" fillId="0" borderId="35" xfId="1653" applyFont="1" applyBorder="1" applyAlignment="1">
      <alignment horizontal="center" vertical="center"/>
    </xf>
    <xf numFmtId="3" fontId="50" fillId="0" borderId="35" xfId="1615" applyNumberFormat="1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0" fontId="17" fillId="0" borderId="0" xfId="1615" applyFont="1" applyAlignment="1">
      <alignment horizontal="center"/>
    </xf>
    <xf numFmtId="0" fontId="56" fillId="0" borderId="21" xfId="1653" applyFont="1" applyBorder="1" applyAlignment="1">
      <alignment horizontal="center" vertical="center"/>
    </xf>
    <xf numFmtId="0" fontId="56" fillId="0" borderId="21" xfId="1653" applyFont="1" applyBorder="1" applyAlignment="1">
      <alignment vertical="center" wrapText="1"/>
    </xf>
    <xf numFmtId="0" fontId="48" fillId="0" borderId="21" xfId="1615" applyFont="1" applyBorder="1" applyAlignment="1">
      <alignment horizontal="center" vertical="center" wrapText="1"/>
    </xf>
    <xf numFmtId="0" fontId="50" fillId="0" borderId="21" xfId="1615" applyFont="1" applyBorder="1" applyAlignment="1">
      <alignment horizontal="center" vertical="center"/>
    </xf>
    <xf numFmtId="0" fontId="17" fillId="0" borderId="21" xfId="1653" applyFont="1" applyBorder="1" applyAlignment="1">
      <alignment horizontal="center" vertical="center"/>
    </xf>
    <xf numFmtId="3" fontId="50" fillId="0" borderId="21" xfId="1615" applyNumberFormat="1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0" fontId="65" fillId="0" borderId="0" xfId="1615" applyFont="1" applyAlignment="1">
      <alignment horizontal="center"/>
    </xf>
    <xf numFmtId="3" fontId="17" fillId="0" borderId="21" xfId="1653" applyNumberFormat="1" applyFont="1" applyBorder="1" applyAlignment="1">
      <alignment horizontal="center" vertical="center"/>
    </xf>
    <xf numFmtId="0" fontId="52" fillId="0" borderId="0" xfId="1615" applyFont="1" applyAlignment="1">
      <alignment vertical="center"/>
    </xf>
    <xf numFmtId="0" fontId="52" fillId="0" borderId="33" xfId="1615" applyFont="1" applyBorder="1" applyAlignment="1">
      <alignment horizontal="center" vertical="center"/>
    </xf>
    <xf numFmtId="0" fontId="52" fillId="0" borderId="33" xfId="1615" applyFont="1" applyBorder="1" applyAlignment="1">
      <alignment vertical="center"/>
    </xf>
    <xf numFmtId="0" fontId="115" fillId="0" borderId="33" xfId="1615" applyBorder="1" applyAlignment="1">
      <alignment horizontal="center" vertical="center"/>
    </xf>
    <xf numFmtId="3" fontId="49" fillId="0" borderId="33" xfId="1615" applyNumberFormat="1" applyFont="1" applyBorder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99" fillId="0" borderId="0" xfId="1448" applyFont="1" applyAlignment="1">
      <alignment horizontal="center" wrapText="1"/>
    </xf>
    <xf numFmtId="0" fontId="54" fillId="0" borderId="0" xfId="1614" applyFont="1" applyAlignment="1">
      <alignment vertical="center"/>
    </xf>
    <xf numFmtId="0" fontId="64" fillId="0" borderId="0" xfId="1614" applyFont="1" applyAlignment="1">
      <alignment horizontal="center" vertical="center"/>
    </xf>
    <xf numFmtId="0" fontId="64" fillId="0" borderId="0" xfId="1614" applyFont="1" applyAlignment="1">
      <alignment vertical="center"/>
    </xf>
    <xf numFmtId="3" fontId="104" fillId="0" borderId="0" xfId="1614" applyNumberFormat="1" applyFont="1" applyAlignment="1">
      <alignment horizontal="center" vertical="center"/>
    </xf>
    <xf numFmtId="0" fontId="104" fillId="0" borderId="0" xfId="1614" applyFont="1" applyAlignment="1">
      <alignment horizontal="center" vertical="center"/>
    </xf>
    <xf numFmtId="0" fontId="23" fillId="0" borderId="0" xfId="1614" applyFont="1" applyAlignment="1">
      <alignment horizontal="center"/>
    </xf>
    <xf numFmtId="0" fontId="95" fillId="0" borderId="0" xfId="1614" applyFont="1" applyAlignment="1">
      <alignment horizontal="center" vertical="center"/>
    </xf>
    <xf numFmtId="0" fontId="95" fillId="0" borderId="0" xfId="1614" applyFont="1" applyAlignment="1">
      <alignment vertical="center"/>
    </xf>
    <xf numFmtId="207" fontId="48" fillId="0" borderId="21" xfId="2549" applyNumberFormat="1" applyFont="1" applyFill="1" applyBorder="1" applyAlignment="1">
      <alignment horizontal="center" vertical="center" wrapText="1"/>
    </xf>
    <xf numFmtId="0" fontId="98" fillId="0" borderId="0" xfId="1448" applyFont="1" applyAlignment="1">
      <alignment horizontal="center" wrapText="1"/>
    </xf>
    <xf numFmtId="0" fontId="99" fillId="0" borderId="0" xfId="1448" applyFont="1" applyAlignment="1">
      <alignment wrapText="1"/>
    </xf>
    <xf numFmtId="0" fontId="106" fillId="0" borderId="0" xfId="1448" applyFont="1" applyAlignment="1">
      <alignment horizontal="center" wrapText="1"/>
    </xf>
    <xf numFmtId="0" fontId="105" fillId="0" borderId="0" xfId="1448" applyFont="1" applyAlignment="1">
      <alignment horizontal="center" wrapText="1"/>
    </xf>
    <xf numFmtId="0" fontId="105" fillId="0" borderId="0" xfId="1448" applyFont="1" applyAlignment="1">
      <alignment horizontal="center" vertical="center" wrapText="1"/>
    </xf>
    <xf numFmtId="0" fontId="98" fillId="0" borderId="0" xfId="1448" applyFont="1" applyAlignment="1">
      <alignment horizontal="center" vertical="center" wrapText="1"/>
    </xf>
    <xf numFmtId="0" fontId="99" fillId="0" borderId="0" xfId="1448" applyFont="1" applyAlignment="1">
      <alignment horizontal="center" vertical="center" wrapText="1"/>
    </xf>
    <xf numFmtId="0" fontId="98" fillId="0" borderId="0" xfId="1448" applyFont="1" applyAlignment="1">
      <alignment horizontal="center"/>
    </xf>
    <xf numFmtId="0" fontId="98" fillId="0" borderId="0" xfId="1448" applyFont="1" applyAlignment="1">
      <alignment horizontal="center" vertical="center"/>
    </xf>
    <xf numFmtId="0" fontId="98" fillId="0" borderId="0" xfId="1448" applyFont="1" applyAlignment="1">
      <alignment vertical="center" wrapText="1"/>
    </xf>
    <xf numFmtId="0" fontId="98" fillId="0" borderId="0" xfId="527" applyNumberFormat="1" applyFont="1" applyFill="1" applyBorder="1" applyAlignment="1">
      <alignment horizontal="center" wrapText="1"/>
    </xf>
    <xf numFmtId="165" fontId="99" fillId="0" borderId="0" xfId="1448" applyNumberFormat="1" applyFont="1" applyAlignment="1">
      <alignment wrapText="1"/>
    </xf>
    <xf numFmtId="165" fontId="99" fillId="0" borderId="0" xfId="527" applyNumberFormat="1" applyFont="1" applyFill="1" applyAlignment="1">
      <alignment wrapText="1"/>
    </xf>
    <xf numFmtId="0" fontId="99" fillId="0" borderId="0" xfId="1448" applyFont="1" applyAlignment="1">
      <alignment vertical="top" wrapText="1"/>
    </xf>
    <xf numFmtId="0" fontId="98" fillId="0" borderId="0" xfId="527" applyNumberFormat="1" applyFont="1" applyFill="1" applyAlignment="1">
      <alignment horizontal="center" wrapText="1"/>
    </xf>
    <xf numFmtId="0" fontId="99" fillId="0" borderId="0" xfId="527" applyNumberFormat="1" applyFont="1" applyFill="1" applyAlignment="1">
      <alignment horizontal="center" wrapText="1"/>
    </xf>
    <xf numFmtId="169" fontId="48" fillId="0" borderId="21" xfId="717" applyNumberFormat="1" applyFont="1" applyFill="1" applyBorder="1" applyAlignment="1" applyProtection="1">
      <alignment horizontal="center" vertical="center" wrapText="1"/>
    </xf>
    <xf numFmtId="165" fontId="48" fillId="0" borderId="21" xfId="1451" applyNumberFormat="1" applyFont="1" applyBorder="1" applyAlignment="1">
      <alignment horizontal="center" vertical="center" wrapText="1"/>
    </xf>
    <xf numFmtId="169" fontId="60" fillId="0" borderId="21" xfId="717" applyNumberFormat="1" applyFont="1" applyFill="1" applyBorder="1" applyAlignment="1" applyProtection="1">
      <alignment horizontal="center" vertical="center" wrapText="1"/>
    </xf>
    <xf numFmtId="0" fontId="48" fillId="0" borderId="21" xfId="1451" applyFont="1" applyBorder="1" applyAlignment="1">
      <alignment horizontal="center" vertical="center" wrapText="1"/>
    </xf>
    <xf numFmtId="169" fontId="48" fillId="0" borderId="21" xfId="728" applyFont="1" applyFill="1" applyBorder="1" applyAlignment="1" applyProtection="1">
      <alignment horizontal="center" vertical="center" wrapText="1"/>
    </xf>
    <xf numFmtId="3" fontId="48" fillId="0" borderId="21" xfId="1450" applyNumberFormat="1" applyFont="1" applyBorder="1" applyAlignment="1">
      <alignment horizontal="center" vertical="center" wrapText="1"/>
    </xf>
    <xf numFmtId="169" fontId="48" fillId="0" borderId="21" xfId="728" applyFont="1" applyFill="1" applyBorder="1" applyAlignment="1">
      <alignment horizontal="center" vertical="center" wrapText="1"/>
    </xf>
    <xf numFmtId="0" fontId="125" fillId="0" borderId="26" xfId="1451" applyFont="1" applyBorder="1"/>
    <xf numFmtId="0" fontId="125" fillId="0" borderId="36" xfId="1451" applyFont="1" applyBorder="1"/>
    <xf numFmtId="0" fontId="125" fillId="0" borderId="48" xfId="1451" applyFont="1" applyBorder="1"/>
    <xf numFmtId="0" fontId="125" fillId="0" borderId="28" xfId="1451" applyFont="1" applyBorder="1"/>
    <xf numFmtId="0" fontId="125" fillId="0" borderId="37" xfId="1451" applyFont="1" applyBorder="1"/>
    <xf numFmtId="0" fontId="120" fillId="0" borderId="37" xfId="1451" applyFont="1" applyBorder="1" applyAlignment="1">
      <alignment vertical="center"/>
    </xf>
    <xf numFmtId="0" fontId="125" fillId="0" borderId="34" xfId="1451" applyFont="1" applyBorder="1"/>
    <xf numFmtId="0" fontId="125" fillId="0" borderId="19" xfId="1451" applyFont="1" applyBorder="1"/>
    <xf numFmtId="0" fontId="120" fillId="0" borderId="19" xfId="1451" applyFont="1" applyBorder="1" applyAlignment="1">
      <alignment vertical="center"/>
    </xf>
    <xf numFmtId="0" fontId="120" fillId="0" borderId="19" xfId="1451" applyFont="1" applyBorder="1" applyAlignment="1">
      <alignment horizontal="center" vertical="center"/>
    </xf>
    <xf numFmtId="0" fontId="120" fillId="0" borderId="31" xfId="1451" applyFont="1" applyBorder="1" applyAlignment="1">
      <alignment vertical="center"/>
    </xf>
    <xf numFmtId="0" fontId="47" fillId="0" borderId="3" xfId="1448" applyFont="1" applyBorder="1" applyAlignment="1">
      <alignment horizontal="center" vertical="center"/>
    </xf>
    <xf numFmtId="0" fontId="47" fillId="0" borderId="3" xfId="1448" applyFont="1" applyBorder="1" applyAlignment="1">
      <alignment horizontal="left" vertical="center" wrapText="1"/>
    </xf>
    <xf numFmtId="0" fontId="47" fillId="0" borderId="3" xfId="1448" applyFont="1" applyBorder="1" applyAlignment="1">
      <alignment horizontal="center" vertical="center" wrapText="1"/>
    </xf>
    <xf numFmtId="169" fontId="47" fillId="0" borderId="3" xfId="715" applyNumberFormat="1" applyFont="1" applyFill="1" applyBorder="1" applyAlignment="1">
      <alignment horizontal="center" vertical="center" wrapText="1"/>
    </xf>
    <xf numFmtId="3" fontId="134" fillId="32" borderId="3" xfId="1448" applyNumberFormat="1" applyFont="1" applyFill="1" applyBorder="1" applyAlignment="1">
      <alignment horizontal="center" vertical="center" wrapText="1"/>
    </xf>
    <xf numFmtId="0" fontId="48" fillId="0" borderId="21" xfId="1451" applyFont="1" applyBorder="1" applyAlignment="1">
      <alignment horizontal="center" vertical="center"/>
    </xf>
    <xf numFmtId="0" fontId="140" fillId="0" borderId="21" xfId="1451" applyFont="1" applyBorder="1" applyAlignment="1">
      <alignment horizontal="left" vertical="center" wrapText="1"/>
    </xf>
    <xf numFmtId="0" fontId="48" fillId="33" borderId="21" xfId="1451" applyFont="1" applyFill="1" applyBorder="1" applyAlignment="1">
      <alignment horizontal="left" vertical="center" wrapText="1"/>
    </xf>
    <xf numFmtId="0" fontId="48" fillId="0" borderId="21" xfId="1451" applyFont="1" applyBorder="1" applyAlignment="1">
      <alignment horizontal="left" wrapText="1"/>
    </xf>
    <xf numFmtId="0" fontId="48" fillId="0" borderId="21" xfId="1450" applyFont="1" applyBorder="1" applyAlignment="1">
      <alignment horizontal="center" vertical="center"/>
    </xf>
    <xf numFmtId="0" fontId="48" fillId="0" borderId="21" xfId="1450" applyFont="1" applyBorder="1" applyAlignment="1">
      <alignment horizontal="left" wrapText="1"/>
    </xf>
    <xf numFmtId="0" fontId="118" fillId="0" borderId="21" xfId="1615" applyFont="1" applyBorder="1" applyAlignment="1">
      <alignment vertical="top" wrapText="1"/>
    </xf>
    <xf numFmtId="167" fontId="133" fillId="0" borderId="0" xfId="523" applyFont="1" applyFill="1" applyAlignment="1">
      <alignment horizontal="left" wrapText="1"/>
    </xf>
    <xf numFmtId="0" fontId="12" fillId="0" borderId="0" xfId="2673" applyAlignment="1">
      <alignment vertical="center" wrapText="1"/>
    </xf>
    <xf numFmtId="0" fontId="12" fillId="0" borderId="0" xfId="2673" applyAlignment="1">
      <alignment horizontal="center" vertical="center" wrapText="1"/>
    </xf>
    <xf numFmtId="0" fontId="12" fillId="0" borderId="28" xfId="2673" applyBorder="1" applyAlignment="1">
      <alignment vertical="center" wrapText="1"/>
    </xf>
    <xf numFmtId="0" fontId="138" fillId="0" borderId="0" xfId="2673" applyFont="1" applyAlignment="1">
      <alignment vertical="center" wrapText="1"/>
    </xf>
    <xf numFmtId="0" fontId="101" fillId="0" borderId="0" xfId="2673" applyFont="1" applyAlignment="1">
      <alignment vertical="center" wrapText="1"/>
    </xf>
    <xf numFmtId="2" fontId="109" fillId="0" borderId="0" xfId="2673" applyNumberFormat="1" applyFont="1" applyAlignment="1">
      <alignment horizontal="center" vertical="center" wrapText="1"/>
    </xf>
    <xf numFmtId="0" fontId="111" fillId="0" borderId="0" xfId="2673" applyFont="1" applyAlignment="1">
      <alignment horizontal="center" vertical="center" wrapText="1"/>
    </xf>
    <xf numFmtId="0" fontId="138" fillId="0" borderId="28" xfId="2673" applyFont="1" applyBorder="1" applyAlignment="1">
      <alignment vertical="center" wrapText="1"/>
    </xf>
    <xf numFmtId="0" fontId="14" fillId="0" borderId="21" xfId="1615" applyFont="1" applyBorder="1" applyAlignment="1">
      <alignment horizontal="center" vertical="center"/>
    </xf>
    <xf numFmtId="0" fontId="125" fillId="33" borderId="0" xfId="1451" applyFont="1" applyFill="1"/>
    <xf numFmtId="0" fontId="125" fillId="33" borderId="26" xfId="1451" applyFont="1" applyFill="1" applyBorder="1"/>
    <xf numFmtId="0" fontId="125" fillId="33" borderId="36" xfId="1451" applyFont="1" applyFill="1" applyBorder="1"/>
    <xf numFmtId="0" fontId="125" fillId="33" borderId="48" xfId="1451" applyFont="1" applyFill="1" applyBorder="1"/>
    <xf numFmtId="0" fontId="125" fillId="33" borderId="28" xfId="1451" applyFont="1" applyFill="1" applyBorder="1"/>
    <xf numFmtId="0" fontId="125" fillId="33" borderId="37" xfId="1451" applyFont="1" applyFill="1" applyBorder="1"/>
    <xf numFmtId="0" fontId="126" fillId="33" borderId="0" xfId="1451" applyFont="1" applyFill="1" applyAlignment="1">
      <alignment vertical="center"/>
    </xf>
    <xf numFmtId="0" fontId="127" fillId="33" borderId="0" xfId="1451" applyFont="1" applyFill="1" applyAlignment="1">
      <alignment vertical="center"/>
    </xf>
    <xf numFmtId="0" fontId="128" fillId="33" borderId="0" xfId="1451" applyFont="1" applyFill="1" applyAlignment="1">
      <alignment horizontal="center" vertical="center"/>
    </xf>
    <xf numFmtId="0" fontId="129" fillId="33" borderId="0" xfId="1451" applyFont="1" applyFill="1"/>
    <xf numFmtId="0" fontId="130" fillId="33" borderId="0" xfId="1451" applyFont="1" applyFill="1"/>
    <xf numFmtId="0" fontId="120" fillId="33" borderId="0" xfId="1451" applyFont="1" applyFill="1" applyAlignment="1">
      <alignment vertical="center"/>
    </xf>
    <xf numFmtId="0" fontId="120" fillId="33" borderId="37" xfId="1451" applyFont="1" applyFill="1" applyBorder="1" applyAlignment="1">
      <alignment vertical="center"/>
    </xf>
    <xf numFmtId="0" fontId="130" fillId="33" borderId="0" xfId="1451" applyFont="1" applyFill="1" applyAlignment="1">
      <alignment horizontal="center"/>
    </xf>
    <xf numFmtId="0" fontId="120" fillId="33" borderId="0" xfId="1451" applyFont="1" applyFill="1" applyAlignment="1">
      <alignment horizontal="center" vertical="center"/>
    </xf>
    <xf numFmtId="0" fontId="120" fillId="33" borderId="37" xfId="1451" applyFont="1" applyFill="1" applyBorder="1" applyAlignment="1">
      <alignment horizontal="center" vertical="center"/>
    </xf>
    <xf numFmtId="0" fontId="131" fillId="33" borderId="0" xfId="1451" applyFont="1" applyFill="1" applyAlignment="1">
      <alignment vertical="center"/>
    </xf>
    <xf numFmtId="0" fontId="131" fillId="33" borderId="37" xfId="1451" applyFont="1" applyFill="1" applyBorder="1" applyAlignment="1">
      <alignment vertical="center"/>
    </xf>
    <xf numFmtId="0" fontId="125" fillId="33" borderId="34" xfId="1451" applyFont="1" applyFill="1" applyBorder="1"/>
    <xf numFmtId="0" fontId="125" fillId="33" borderId="19" xfId="1451" applyFont="1" applyFill="1" applyBorder="1"/>
    <xf numFmtId="0" fontId="120" fillId="33" borderId="19" xfId="1451" applyFont="1" applyFill="1" applyBorder="1" applyAlignment="1">
      <alignment vertical="center"/>
    </xf>
    <xf numFmtId="0" fontId="120" fillId="33" borderId="19" xfId="1451" applyFont="1" applyFill="1" applyBorder="1" applyAlignment="1">
      <alignment horizontal="center" vertical="center"/>
    </xf>
    <xf numFmtId="0" fontId="120" fillId="33" borderId="31" xfId="1451" applyFont="1" applyFill="1" applyBorder="1" applyAlignment="1">
      <alignment vertical="center"/>
    </xf>
    <xf numFmtId="0" fontId="125" fillId="33" borderId="31" xfId="1451" applyFont="1" applyFill="1" applyBorder="1"/>
    <xf numFmtId="0" fontId="119" fillId="33" borderId="0" xfId="0" applyFont="1" applyFill="1" applyAlignment="1">
      <alignment horizontal="center"/>
    </xf>
    <xf numFmtId="0" fontId="119" fillId="33" borderId="26" xfId="0" applyFont="1" applyFill="1" applyBorder="1" applyAlignment="1">
      <alignment horizontal="center"/>
    </xf>
    <xf numFmtId="0" fontId="119" fillId="33" borderId="36" xfId="0" applyFont="1" applyFill="1" applyBorder="1" applyAlignment="1">
      <alignment horizontal="center"/>
    </xf>
    <xf numFmtId="0" fontId="119" fillId="33" borderId="28" xfId="0" applyFont="1" applyFill="1" applyBorder="1" applyAlignment="1">
      <alignment horizontal="center"/>
    </xf>
    <xf numFmtId="0" fontId="120" fillId="33" borderId="18" xfId="0" applyFont="1" applyFill="1" applyBorder="1" applyAlignment="1">
      <alignment horizontal="left"/>
    </xf>
    <xf numFmtId="0" fontId="119" fillId="33" borderId="37" xfId="0" applyFont="1" applyFill="1" applyBorder="1" applyAlignment="1">
      <alignment horizontal="center"/>
    </xf>
    <xf numFmtId="0" fontId="119" fillId="33" borderId="3" xfId="0" applyFont="1" applyFill="1" applyBorder="1" applyAlignment="1">
      <alignment horizontal="center"/>
    </xf>
    <xf numFmtId="0" fontId="141" fillId="33" borderId="0" xfId="0" applyFont="1" applyFill="1" applyAlignment="1">
      <alignment horizontal="center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9" fillId="33" borderId="38" xfId="0" applyFont="1" applyFill="1" applyBorder="1" applyAlignment="1">
      <alignment horizontal="center"/>
    </xf>
    <xf numFmtId="0" fontId="96" fillId="33" borderId="40" xfId="0" applyFont="1" applyFill="1" applyBorder="1" applyAlignment="1">
      <alignment horizontal="center" vertical="center"/>
    </xf>
    <xf numFmtId="0" fontId="96" fillId="33" borderId="47" xfId="0" applyFont="1" applyFill="1" applyBorder="1" applyAlignment="1">
      <alignment horizontal="center" vertical="center"/>
    </xf>
    <xf numFmtId="0" fontId="119" fillId="33" borderId="3" xfId="0" applyFont="1" applyFill="1" applyBorder="1" applyAlignment="1">
      <alignment horizontal="center" vertical="center"/>
    </xf>
    <xf numFmtId="0" fontId="119" fillId="33" borderId="39" xfId="0" applyFont="1" applyFill="1" applyBorder="1" applyAlignment="1">
      <alignment horizontal="center" vertical="center"/>
    </xf>
    <xf numFmtId="0" fontId="122" fillId="33" borderId="0" xfId="0" applyFont="1" applyFill="1" applyAlignment="1">
      <alignment horizontal="center"/>
    </xf>
    <xf numFmtId="0" fontId="96" fillId="33" borderId="68" xfId="0" applyFont="1" applyFill="1" applyBorder="1" applyAlignment="1">
      <alignment horizontal="center" vertical="center"/>
    </xf>
    <xf numFmtId="0" fontId="119" fillId="33" borderId="3" xfId="0" applyFont="1" applyFill="1" applyBorder="1" applyAlignment="1">
      <alignment vertical="top" wrapText="1"/>
    </xf>
    <xf numFmtId="0" fontId="119" fillId="33" borderId="39" xfId="0" applyFont="1" applyFill="1" applyBorder="1" applyAlignment="1">
      <alignment vertical="top" wrapText="1"/>
    </xf>
    <xf numFmtId="0" fontId="123" fillId="33" borderId="69" xfId="0" applyFont="1" applyFill="1" applyBorder="1" applyAlignment="1">
      <alignment horizontal="center" vertical="center"/>
    </xf>
    <xf numFmtId="49" fontId="119" fillId="33" borderId="7" xfId="0" applyNumberFormat="1" applyFont="1" applyFill="1" applyBorder="1" applyAlignment="1">
      <alignment horizontal="center" vertical="top" wrapText="1"/>
    </xf>
    <xf numFmtId="49" fontId="119" fillId="33" borderId="41" xfId="0" applyNumberFormat="1" applyFont="1" applyFill="1" applyBorder="1" applyAlignment="1">
      <alignment horizontal="center" vertical="top" wrapText="1"/>
    </xf>
    <xf numFmtId="0" fontId="123" fillId="33" borderId="70" xfId="0" applyFont="1" applyFill="1" applyBorder="1" applyAlignment="1">
      <alignment horizontal="center" vertical="center"/>
    </xf>
    <xf numFmtId="0" fontId="119" fillId="33" borderId="7" xfId="0" applyFont="1" applyFill="1" applyBorder="1" applyAlignment="1">
      <alignment horizontal="center" vertical="top" wrapText="1"/>
    </xf>
    <xf numFmtId="0" fontId="119" fillId="33" borderId="41" xfId="0" applyFont="1" applyFill="1" applyBorder="1" applyAlignment="1">
      <alignment horizontal="center" vertical="top" wrapText="1"/>
    </xf>
    <xf numFmtId="0" fontId="124" fillId="33" borderId="71" xfId="0" applyFont="1" applyFill="1" applyBorder="1" applyAlignment="1">
      <alignment horizontal="center" vertical="top" wrapText="1"/>
    </xf>
    <xf numFmtId="0" fontId="124" fillId="33" borderId="72" xfId="0" applyFont="1" applyFill="1" applyBorder="1" applyAlignment="1">
      <alignment horizontal="center" vertical="top" wrapText="1"/>
    </xf>
    <xf numFmtId="0" fontId="119" fillId="33" borderId="0" xfId="0" applyFont="1" applyFill="1" applyAlignment="1">
      <alignment vertical="top" wrapText="1"/>
    </xf>
    <xf numFmtId="0" fontId="119" fillId="33" borderId="37" xfId="0" applyFont="1" applyFill="1" applyBorder="1" applyAlignment="1">
      <alignment vertical="top" wrapText="1"/>
    </xf>
    <xf numFmtId="0" fontId="119" fillId="33" borderId="42" xfId="0" applyFont="1" applyFill="1" applyBorder="1" applyAlignment="1">
      <alignment horizontal="center"/>
    </xf>
    <xf numFmtId="0" fontId="119" fillId="33" borderId="43" xfId="0" applyFont="1" applyFill="1" applyBorder="1" applyAlignment="1">
      <alignment vertical="top" wrapText="1"/>
    </xf>
    <xf numFmtId="0" fontId="119" fillId="33" borderId="44" xfId="0" applyFont="1" applyFill="1" applyBorder="1" applyAlignment="1">
      <alignment vertical="top" wrapText="1"/>
    </xf>
    <xf numFmtId="0" fontId="119" fillId="33" borderId="45" xfId="0" applyFont="1" applyFill="1" applyBorder="1" applyAlignment="1">
      <alignment vertical="top" wrapText="1"/>
    </xf>
    <xf numFmtId="0" fontId="124" fillId="33" borderId="28" xfId="0" applyFont="1" applyFill="1" applyBorder="1" applyAlignment="1">
      <alignment horizontal="center"/>
    </xf>
    <xf numFmtId="0" fontId="124" fillId="33" borderId="0" xfId="0" applyFont="1" applyFill="1" applyAlignment="1">
      <alignment horizontal="center"/>
    </xf>
    <xf numFmtId="0" fontId="119" fillId="33" borderId="39" xfId="0" applyFont="1" applyFill="1" applyBorder="1" applyAlignment="1">
      <alignment horizontal="center"/>
    </xf>
    <xf numFmtId="20" fontId="119" fillId="33" borderId="39" xfId="0" applyNumberFormat="1" applyFont="1" applyFill="1" applyBorder="1" applyAlignment="1">
      <alignment horizontal="center"/>
    </xf>
    <xf numFmtId="0" fontId="119" fillId="33" borderId="42" xfId="0" applyFont="1" applyFill="1" applyBorder="1" applyAlignment="1">
      <alignment horizontal="center" vertical="center" wrapText="1"/>
    </xf>
    <xf numFmtId="0" fontId="124" fillId="33" borderId="34" xfId="0" applyFont="1" applyFill="1" applyBorder="1" applyAlignment="1">
      <alignment horizontal="center"/>
    </xf>
    <xf numFmtId="0" fontId="124" fillId="33" borderId="19" xfId="0" applyFont="1" applyFill="1" applyBorder="1" applyAlignment="1">
      <alignment horizontal="center"/>
    </xf>
    <xf numFmtId="0" fontId="119" fillId="33" borderId="19" xfId="0" applyFont="1" applyFill="1" applyBorder="1" applyAlignment="1">
      <alignment horizontal="center"/>
    </xf>
    <xf numFmtId="0" fontId="119" fillId="33" borderId="46" xfId="0" applyFont="1" applyFill="1" applyBorder="1" applyAlignment="1">
      <alignment horizontal="center"/>
    </xf>
    <xf numFmtId="0" fontId="151" fillId="0" borderId="7" xfId="2673" applyFont="1" applyBorder="1" applyAlignment="1">
      <alignment horizontal="center" vertical="center" wrapText="1"/>
    </xf>
    <xf numFmtId="0" fontId="101" fillId="0" borderId="0" xfId="2673" applyFont="1" applyAlignment="1">
      <alignment horizontal="left" vertical="center" wrapText="1"/>
    </xf>
    <xf numFmtId="0" fontId="57" fillId="0" borderId="21" xfId="1450" applyFont="1" applyBorder="1" applyAlignment="1">
      <alignment horizontal="center" wrapText="1"/>
    </xf>
    <xf numFmtId="0" fontId="48" fillId="0" borderId="21" xfId="1450" applyFont="1" applyBorder="1" applyAlignment="1">
      <alignment horizontal="center" vertical="center" wrapText="1"/>
    </xf>
    <xf numFmtId="3" fontId="48" fillId="0" borderId="21" xfId="1451" applyNumberFormat="1" applyFont="1" applyBorder="1" applyAlignment="1">
      <alignment horizontal="center" vertical="center" wrapText="1"/>
    </xf>
    <xf numFmtId="165" fontId="48" fillId="0" borderId="21" xfId="1450" applyNumberFormat="1" applyFont="1" applyBorder="1" applyAlignment="1">
      <alignment horizontal="center" vertical="center" wrapText="1"/>
    </xf>
    <xf numFmtId="3" fontId="48" fillId="0" borderId="0" xfId="1451" applyNumberFormat="1" applyFont="1" applyAlignment="1">
      <alignment horizontal="center" vertical="center" wrapText="1"/>
    </xf>
    <xf numFmtId="0" fontId="25" fillId="0" borderId="0" xfId="1649"/>
    <xf numFmtId="3" fontId="140" fillId="0" borderId="21" xfId="1451" applyNumberFormat="1" applyFont="1" applyBorder="1" applyAlignment="1">
      <alignment horizontal="center" vertical="center" wrapText="1"/>
    </xf>
    <xf numFmtId="3" fontId="14" fillId="0" borderId="21" xfId="1615" applyNumberFormat="1" applyFont="1" applyBorder="1" applyAlignment="1">
      <alignment horizontal="center" vertical="center"/>
    </xf>
    <xf numFmtId="0" fontId="13" fillId="0" borderId="0" xfId="2670" applyAlignment="1">
      <alignment horizontal="center" vertical="center"/>
    </xf>
    <xf numFmtId="0" fontId="147" fillId="36" borderId="0" xfId="2670" applyFont="1" applyFill="1" applyAlignment="1">
      <alignment horizontal="left" vertical="center"/>
    </xf>
    <xf numFmtId="0" fontId="147" fillId="36" borderId="0" xfId="2670" applyFont="1" applyFill="1" applyAlignment="1">
      <alignment horizontal="center" vertical="center"/>
    </xf>
    <xf numFmtId="0" fontId="148" fillId="36" borderId="0" xfId="2670" applyFont="1" applyFill="1" applyAlignment="1">
      <alignment horizontal="center" vertical="center"/>
    </xf>
    <xf numFmtId="0" fontId="149" fillId="36" borderId="0" xfId="2670" applyFont="1" applyFill="1" applyAlignment="1">
      <alignment horizontal="left" vertical="center"/>
    </xf>
    <xf numFmtId="0" fontId="149" fillId="36" borderId="0" xfId="2670" applyFont="1" applyFill="1" applyAlignment="1">
      <alignment horizontal="center" vertical="center"/>
    </xf>
    <xf numFmtId="0" fontId="149" fillId="36" borderId="0" xfId="2670" applyFont="1" applyFill="1" applyAlignment="1">
      <alignment horizontal="right" vertical="center"/>
    </xf>
    <xf numFmtId="9" fontId="150" fillId="36" borderId="0" xfId="2671" applyFont="1" applyFill="1" applyBorder="1" applyAlignment="1" applyProtection="1">
      <alignment horizontal="right" vertical="center"/>
    </xf>
    <xf numFmtId="167" fontId="149" fillId="36" borderId="0" xfId="2672" applyFont="1" applyFill="1" applyBorder="1" applyAlignment="1" applyProtection="1">
      <alignment horizontal="right" vertical="center"/>
    </xf>
    <xf numFmtId="167" fontId="150" fillId="36" borderId="0" xfId="2672" applyFont="1" applyFill="1" applyBorder="1" applyAlignment="1" applyProtection="1">
      <alignment horizontal="right" vertical="center"/>
    </xf>
    <xf numFmtId="10" fontId="150" fillId="36" borderId="0" xfId="2671" applyNumberFormat="1" applyFont="1" applyFill="1" applyBorder="1" applyAlignment="1" applyProtection="1">
      <alignment horizontal="right" vertical="center"/>
    </xf>
    <xf numFmtId="169" fontId="149" fillId="36" borderId="0" xfId="2672" applyNumberFormat="1" applyFont="1" applyFill="1" applyBorder="1" applyAlignment="1" applyProtection="1">
      <alignment horizontal="right" vertical="center"/>
    </xf>
    <xf numFmtId="0" fontId="143" fillId="0" borderId="0" xfId="2670" applyFont="1" applyAlignment="1">
      <alignment horizontal="left" vertical="center"/>
    </xf>
    <xf numFmtId="0" fontId="146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6" fillId="0" borderId="0" xfId="1538"/>
    <xf numFmtId="167" fontId="116" fillId="0" borderId="0" xfId="1538" applyNumberFormat="1"/>
    <xf numFmtId="0" fontId="65" fillId="0" borderId="0" xfId="1538" applyFont="1"/>
    <xf numFmtId="0" fontId="132" fillId="0" borderId="0" xfId="1538" applyFont="1"/>
    <xf numFmtId="0" fontId="56" fillId="0" borderId="44" xfId="1538" applyFont="1" applyBorder="1" applyAlignment="1">
      <alignment horizontal="left"/>
    </xf>
    <xf numFmtId="0" fontId="116" fillId="38" borderId="3" xfId="1538" applyFill="1" applyBorder="1" applyAlignment="1">
      <alignment vertical="center"/>
    </xf>
    <xf numFmtId="0" fontId="116" fillId="38" borderId="0" xfId="1538" applyFill="1"/>
    <xf numFmtId="0" fontId="65" fillId="38" borderId="0" xfId="1538" applyFont="1" applyFill="1"/>
    <xf numFmtId="0" fontId="107" fillId="0" borderId="0" xfId="1538" applyFont="1" applyAlignment="1">
      <alignment horizontal="center" vertical="center" wrapText="1"/>
    </xf>
    <xf numFmtId="0" fontId="116" fillId="38" borderId="3" xfId="1538" applyFill="1" applyBorder="1" applyAlignment="1">
      <alignment horizontal="center" vertical="center"/>
    </xf>
    <xf numFmtId="0" fontId="116" fillId="0" borderId="0" xfId="1538" applyAlignment="1">
      <alignment horizontal="center" vertical="center"/>
    </xf>
    <xf numFmtId="1" fontId="116" fillId="0" borderId="0" xfId="1538" applyNumberFormat="1"/>
    <xf numFmtId="0" fontId="116" fillId="0" borderId="3" xfId="1538" applyBorder="1"/>
    <xf numFmtId="167" fontId="0" fillId="0" borderId="3" xfId="1026" applyFont="1" applyFill="1" applyBorder="1" applyProtection="1"/>
    <xf numFmtId="167" fontId="116" fillId="0" borderId="3" xfId="1538" applyNumberFormat="1" applyBorder="1"/>
    <xf numFmtId="167" fontId="144" fillId="0" borderId="3" xfId="1026" applyFont="1" applyBorder="1" applyProtection="1"/>
    <xf numFmtId="167" fontId="0" fillId="0" borderId="3" xfId="1026" applyFont="1" applyBorder="1" applyProtection="1"/>
    <xf numFmtId="167" fontId="132" fillId="0" borderId="3" xfId="1538" applyNumberFormat="1" applyFont="1" applyBorder="1"/>
    <xf numFmtId="0" fontId="65" fillId="0" borderId="3" xfId="1538" applyFont="1" applyBorder="1"/>
    <xf numFmtId="165" fontId="116" fillId="0" borderId="3" xfId="1538" applyNumberFormat="1" applyBorder="1"/>
    <xf numFmtId="167" fontId="108" fillId="0" borderId="3" xfId="1026" applyFont="1" applyFill="1" applyBorder="1" applyProtection="1"/>
    <xf numFmtId="0" fontId="53" fillId="0" borderId="0" xfId="1538" applyFont="1"/>
    <xf numFmtId="0" fontId="53" fillId="0" borderId="3" xfId="1538" applyFont="1" applyBorder="1" applyAlignment="1">
      <alignment horizontal="center"/>
    </xf>
    <xf numFmtId="167" fontId="53" fillId="0" borderId="3" xfId="1538" applyNumberFormat="1" applyFont="1" applyBorder="1"/>
    <xf numFmtId="0" fontId="116" fillId="29" borderId="0" xfId="1538" applyFill="1"/>
    <xf numFmtId="0" fontId="53" fillId="0" borderId="0" xfId="1538" applyFont="1" applyAlignment="1">
      <alignment horizontal="center"/>
    </xf>
    <xf numFmtId="167" fontId="53" fillId="0" borderId="0" xfId="1538" applyNumberFormat="1" applyFont="1"/>
    <xf numFmtId="0" fontId="116" fillId="29" borderId="3" xfId="1538" applyFill="1" applyBorder="1"/>
    <xf numFmtId="169" fontId="116" fillId="29" borderId="3" xfId="1538" applyNumberFormat="1" applyFill="1" applyBorder="1" applyAlignment="1">
      <alignment horizontal="right"/>
    </xf>
    <xf numFmtId="43" fontId="116" fillId="0" borderId="0" xfId="1538" applyNumberFormat="1"/>
    <xf numFmtId="167" fontId="116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6" fillId="29" borderId="3" xfId="1538" applyNumberFormat="1" applyFill="1" applyBorder="1"/>
    <xf numFmtId="10" fontId="116" fillId="29" borderId="3" xfId="1538" applyNumberFormat="1" applyFill="1" applyBorder="1"/>
    <xf numFmtId="0" fontId="153" fillId="0" borderId="0" xfId="1614" applyFont="1" applyAlignment="1">
      <alignment horizontal="center"/>
    </xf>
    <xf numFmtId="0" fontId="154" fillId="0" borderId="0" xfId="1614" applyFont="1" applyAlignment="1">
      <alignment horizontal="center" vertical="center"/>
    </xf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vertical="center"/>
    </xf>
    <xf numFmtId="0" fontId="156" fillId="0" borderId="0" xfId="1614" applyFont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 vertical="center"/>
    </xf>
    <xf numFmtId="0" fontId="156" fillId="0" borderId="0" xfId="1614" applyFont="1" applyAlignment="1">
      <alignment horizontal="center"/>
    </xf>
    <xf numFmtId="0" fontId="154" fillId="0" borderId="0" xfId="1614" applyFont="1" applyAlignment="1">
      <alignment horizontal="center"/>
    </xf>
    <xf numFmtId="3" fontId="153" fillId="0" borderId="0" xfId="1614" applyNumberFormat="1" applyFont="1" applyAlignment="1">
      <alignment horizontal="center"/>
    </xf>
    <xf numFmtId="0" fontId="158" fillId="0" borderId="0" xfId="1614" applyFont="1"/>
    <xf numFmtId="167" fontId="158" fillId="0" borderId="0" xfId="1652" applyNumberFormat="1" applyFont="1"/>
    <xf numFmtId="0" fontId="158" fillId="0" borderId="0" xfId="1614" applyFont="1" applyAlignment="1">
      <alignment horizontal="left" vertical="center"/>
    </xf>
    <xf numFmtId="0" fontId="158" fillId="0" borderId="0" xfId="1614" applyFont="1" applyAlignment="1">
      <alignment horizontal="center" vertical="center"/>
    </xf>
    <xf numFmtId="3" fontId="155" fillId="0" borderId="0" xfId="1614" applyNumberFormat="1" applyFont="1" applyAlignment="1">
      <alignment horizontal="left" vertical="center"/>
    </xf>
    <xf numFmtId="0" fontId="158" fillId="0" borderId="0" xfId="1614" applyFont="1" applyAlignment="1">
      <alignment horizontal="center"/>
    </xf>
    <xf numFmtId="0" fontId="155" fillId="0" borderId="0" xfId="1614" applyFont="1" applyAlignment="1">
      <alignment horizontal="center"/>
    </xf>
    <xf numFmtId="0" fontId="158" fillId="0" borderId="0" xfId="1614" applyFont="1" applyAlignment="1">
      <alignment horizontal="center" vertical="center" wrapText="1"/>
    </xf>
    <xf numFmtId="0" fontId="155" fillId="0" borderId="0" xfId="1614" applyFont="1" applyAlignment="1">
      <alignment horizontal="center" vertical="center" wrapText="1"/>
    </xf>
    <xf numFmtId="3" fontId="154" fillId="0" borderId="0" xfId="1614" applyNumberFormat="1" applyFont="1" applyAlignment="1">
      <alignment vertical="center"/>
    </xf>
    <xf numFmtId="0" fontId="155" fillId="0" borderId="20" xfId="1615" applyFont="1" applyBorder="1" applyAlignment="1">
      <alignment horizontal="center" vertical="center"/>
    </xf>
    <xf numFmtId="0" fontId="155" fillId="0" borderId="21" xfId="1615" applyFont="1" applyBorder="1" applyAlignment="1">
      <alignment horizontal="left" vertical="center" wrapText="1"/>
    </xf>
    <xf numFmtId="0" fontId="154" fillId="0" borderId="21" xfId="1614" applyFont="1" applyBorder="1" applyAlignment="1">
      <alignment horizontal="center" vertical="center" wrapText="1"/>
    </xf>
    <xf numFmtId="0" fontId="161" fillId="0" borderId="21" xfId="1614" applyFont="1" applyBorder="1" applyAlignment="1">
      <alignment horizontal="center" vertical="center"/>
    </xf>
    <xf numFmtId="3" fontId="161" fillId="0" borderId="21" xfId="1614" applyNumberFormat="1" applyFont="1" applyBorder="1" applyAlignment="1">
      <alignment horizontal="center" vertical="center"/>
    </xf>
    <xf numFmtId="3" fontId="154" fillId="0" borderId="21" xfId="1614" applyNumberFormat="1" applyFont="1" applyBorder="1" applyAlignment="1">
      <alignment horizontal="center" vertical="center"/>
    </xf>
    <xf numFmtId="3" fontId="154" fillId="0" borderId="22" xfId="1614" applyNumberFormat="1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/>
    </xf>
    <xf numFmtId="3" fontId="153" fillId="0" borderId="0" xfId="1614" applyNumberFormat="1" applyFont="1" applyAlignment="1">
      <alignment horizontal="center" vertical="center"/>
    </xf>
    <xf numFmtId="0" fontId="161" fillId="0" borderId="0" xfId="1614" applyFont="1" applyAlignment="1">
      <alignment horizontal="center"/>
    </xf>
    <xf numFmtId="0" fontId="155" fillId="0" borderId="20" xfId="1653" applyFont="1" applyBorder="1" applyAlignment="1">
      <alignment horizontal="center" vertical="center"/>
    </xf>
    <xf numFmtId="0" fontId="155" fillId="0" borderId="21" xfId="1451" applyFont="1" applyBorder="1" applyAlignment="1">
      <alignment horizontal="left" vertical="center" wrapText="1"/>
    </xf>
    <xf numFmtId="0" fontId="156" fillId="0" borderId="21" xfId="1653" applyFont="1" applyBorder="1" applyAlignment="1">
      <alignment horizontal="center" vertical="center"/>
    </xf>
    <xf numFmtId="3" fontId="157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6" fillId="0" borderId="20" xfId="1653" applyFont="1" applyBorder="1" applyAlignment="1">
      <alignment horizontal="center" vertical="center"/>
    </xf>
    <xf numFmtId="0" fontId="156" fillId="0" borderId="21" xfId="1653" applyFont="1" applyBorder="1" applyAlignment="1">
      <alignment vertical="center" wrapText="1"/>
    </xf>
    <xf numFmtId="0" fontId="156" fillId="0" borderId="21" xfId="1652" applyFont="1" applyBorder="1" applyAlignment="1">
      <alignment vertical="center" wrapText="1"/>
    </xf>
    <xf numFmtId="0" fontId="154" fillId="0" borderId="20" xfId="1652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61" fillId="0" borderId="21" xfId="1652" applyFont="1" applyBorder="1" applyAlignment="1">
      <alignment horizontal="center" vertical="center"/>
    </xf>
    <xf numFmtId="0" fontId="161" fillId="0" borderId="49" xfId="1652" applyFont="1" applyBorder="1" applyAlignment="1">
      <alignment horizontal="center" vertical="center"/>
    </xf>
    <xf numFmtId="0" fontId="161" fillId="0" borderId="3" xfId="1652" applyFont="1" applyBorder="1" applyAlignment="1">
      <alignment vertical="center" wrapText="1"/>
    </xf>
    <xf numFmtId="0" fontId="154" fillId="0" borderId="3" xfId="1614" applyFont="1" applyBorder="1" applyAlignment="1">
      <alignment horizontal="center" vertical="center" wrapText="1"/>
    </xf>
    <xf numFmtId="0" fontId="161" fillId="0" borderId="3" xfId="1614" applyFont="1" applyBorder="1" applyAlignment="1">
      <alignment horizontal="center" vertical="center"/>
    </xf>
    <xf numFmtId="0" fontId="161" fillId="0" borderId="3" xfId="1652" applyFont="1" applyBorder="1" applyAlignment="1">
      <alignment horizontal="center" vertical="center"/>
    </xf>
    <xf numFmtId="207" fontId="161" fillId="0" borderId="3" xfId="1614" applyNumberFormat="1" applyFont="1" applyBorder="1" applyAlignment="1">
      <alignment horizontal="center" vertical="center"/>
    </xf>
    <xf numFmtId="3" fontId="154" fillId="0" borderId="3" xfId="1614" applyNumberFormat="1" applyFont="1" applyBorder="1" applyAlignment="1">
      <alignment horizontal="center" vertical="center"/>
    </xf>
    <xf numFmtId="3" fontId="154" fillId="0" borderId="39" xfId="1614" applyNumberFormat="1" applyFont="1" applyBorder="1" applyAlignment="1">
      <alignment horizontal="center" vertical="center"/>
    </xf>
    <xf numFmtId="0" fontId="161" fillId="0" borderId="20" xfId="1652" applyFont="1" applyBorder="1" applyAlignment="1">
      <alignment horizontal="center" vertical="center"/>
    </xf>
    <xf numFmtId="0" fontId="161" fillId="0" borderId="21" xfId="1652" applyFont="1" applyBorder="1" applyAlignment="1">
      <alignment vertical="center" wrapText="1"/>
    </xf>
    <xf numFmtId="0" fontId="154" fillId="0" borderId="23" xfId="1614" applyFont="1" applyBorder="1" applyAlignment="1">
      <alignment horizontal="center" vertical="center"/>
    </xf>
    <xf numFmtId="0" fontId="154" fillId="0" borderId="24" xfId="1614" applyFont="1" applyBorder="1" applyAlignment="1">
      <alignment horizontal="left" vertical="center"/>
    </xf>
    <xf numFmtId="0" fontId="154" fillId="0" borderId="24" xfId="1614" applyFont="1" applyBorder="1" applyAlignment="1">
      <alignment vertical="center"/>
    </xf>
    <xf numFmtId="0" fontId="161" fillId="0" borderId="24" xfId="1614" applyFont="1" applyBorder="1" applyAlignment="1">
      <alignment horizontal="center" vertical="center"/>
    </xf>
    <xf numFmtId="3" fontId="154" fillId="0" borderId="24" xfId="1614" applyNumberFormat="1" applyFont="1" applyBorder="1" applyAlignment="1">
      <alignment horizontal="center" vertical="center"/>
    </xf>
    <xf numFmtId="3" fontId="154" fillId="0" borderId="25" xfId="1614" applyNumberFormat="1" applyFont="1" applyBorder="1" applyAlignment="1">
      <alignment horizontal="center" vertical="center"/>
    </xf>
    <xf numFmtId="0" fontId="156" fillId="0" borderId="26" xfId="1614" applyFont="1" applyBorder="1" applyAlignment="1">
      <alignment horizontal="center" vertical="center"/>
    </xf>
    <xf numFmtId="37" fontId="158" fillId="0" borderId="27" xfId="1614" applyNumberFormat="1" applyFont="1" applyBorder="1" applyAlignment="1">
      <alignment horizontal="center"/>
    </xf>
    <xf numFmtId="37" fontId="156" fillId="0" borderId="27" xfId="1614" applyNumberFormat="1" applyFont="1" applyBorder="1" applyAlignment="1">
      <alignment horizontal="center"/>
    </xf>
    <xf numFmtId="37" fontId="154" fillId="0" borderId="0" xfId="1614" applyNumberFormat="1" applyFont="1" applyAlignment="1">
      <alignment horizontal="center"/>
    </xf>
    <xf numFmtId="0" fontId="156" fillId="0" borderId="28" xfId="1614" applyFont="1" applyBorder="1" applyAlignment="1">
      <alignment horizontal="center" vertical="center"/>
    </xf>
    <xf numFmtId="37" fontId="158" fillId="0" borderId="29" xfId="1614" applyNumberFormat="1" applyFont="1" applyBorder="1" applyAlignment="1">
      <alignment horizontal="center"/>
    </xf>
    <xf numFmtId="37" fontId="156" fillId="0" borderId="29" xfId="1614" applyNumberFormat="1" applyFont="1" applyBorder="1" applyAlignment="1">
      <alignment horizontal="center"/>
    </xf>
    <xf numFmtId="37" fontId="162" fillId="0" borderId="30" xfId="1614" applyNumberFormat="1" applyFont="1" applyBorder="1" applyAlignment="1">
      <alignment horizontal="center"/>
    </xf>
    <xf numFmtId="37" fontId="162" fillId="0" borderId="32" xfId="1614" applyNumberFormat="1" applyFont="1" applyBorder="1" applyAlignment="1">
      <alignment horizontal="center"/>
    </xf>
    <xf numFmtId="0" fontId="162" fillId="0" borderId="34" xfId="1614" applyFont="1" applyBorder="1" applyAlignment="1">
      <alignment vertical="center"/>
    </xf>
    <xf numFmtId="0" fontId="156" fillId="0" borderId="19" xfId="1614" applyFont="1" applyBorder="1"/>
    <xf numFmtId="0" fontId="156" fillId="0" borderId="19" xfId="1614" applyFont="1" applyBorder="1" applyAlignment="1">
      <alignment horizontal="center"/>
    </xf>
    <xf numFmtId="0" fontId="156" fillId="0" borderId="19" xfId="1614" applyFont="1" applyBorder="1" applyAlignment="1">
      <alignment horizontal="right"/>
    </xf>
    <xf numFmtId="0" fontId="156" fillId="0" borderId="31" xfId="1614" applyFont="1" applyBorder="1" applyAlignment="1">
      <alignment horizontal="right"/>
    </xf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vertical="center"/>
    </xf>
    <xf numFmtId="0" fontId="161" fillId="0" borderId="0" xfId="1614" applyFont="1" applyAlignment="1">
      <alignment horizontal="center" vertical="center"/>
    </xf>
    <xf numFmtId="165" fontId="161" fillId="0" borderId="0" xfId="1652" applyNumberFormat="1" applyFont="1" applyAlignment="1">
      <alignment vertical="center"/>
    </xf>
    <xf numFmtId="0" fontId="156" fillId="0" borderId="0" xfId="1652" applyFont="1" applyAlignment="1">
      <alignment horizontal="right"/>
    </xf>
    <xf numFmtId="0" fontId="163" fillId="0" borderId="0" xfId="1644" applyFont="1" applyAlignment="1">
      <alignment horizontal="center" vertical="center"/>
    </xf>
    <xf numFmtId="0" fontId="161" fillId="0" borderId="0" xfId="1652" applyFont="1" applyAlignment="1">
      <alignment vertical="center"/>
    </xf>
    <xf numFmtId="0" fontId="164" fillId="39" borderId="83" xfId="2670" applyFont="1" applyFill="1" applyBorder="1" applyAlignment="1">
      <alignment horizontal="left" vertical="center"/>
    </xf>
    <xf numFmtId="0" fontId="164" fillId="39" borderId="84" xfId="2670" applyFont="1" applyFill="1" applyBorder="1" applyAlignment="1">
      <alignment horizontal="center" vertical="center"/>
    </xf>
    <xf numFmtId="0" fontId="164" fillId="39" borderId="86" xfId="2670" applyFont="1" applyFill="1" applyBorder="1" applyAlignment="1">
      <alignment horizontal="left" vertical="center"/>
    </xf>
    <xf numFmtId="0" fontId="164" fillId="39" borderId="82" xfId="2670" applyFont="1" applyFill="1" applyBorder="1" applyAlignment="1">
      <alignment horizontal="center" vertical="center"/>
    </xf>
    <xf numFmtId="0" fontId="164" fillId="39" borderId="88" xfId="2670" applyFont="1" applyFill="1" applyBorder="1" applyAlignment="1">
      <alignment horizontal="left" vertical="center"/>
    </xf>
    <xf numFmtId="0" fontId="164" fillId="39" borderId="89" xfId="2670" applyFont="1" applyFill="1" applyBorder="1" applyAlignment="1">
      <alignment horizontal="center" vertical="center"/>
    </xf>
    <xf numFmtId="167" fontId="145" fillId="40" borderId="85" xfId="2672" applyFont="1" applyFill="1" applyBorder="1" applyAlignment="1" applyProtection="1">
      <alignment horizontal="right" vertical="center" wrapText="1"/>
      <protection locked="0"/>
    </xf>
    <xf numFmtId="167" fontId="145" fillId="40" borderId="87" xfId="2672" applyFont="1" applyFill="1" applyBorder="1" applyAlignment="1" applyProtection="1">
      <alignment horizontal="right" vertical="center"/>
      <protection locked="0"/>
    </xf>
    <xf numFmtId="169" fontId="145" fillId="40" borderId="87" xfId="2672" applyNumberFormat="1" applyFont="1" applyFill="1" applyBorder="1" applyAlignment="1" applyProtection="1">
      <alignment horizontal="right" vertical="center"/>
      <protection locked="0"/>
    </xf>
    <xf numFmtId="169" fontId="145" fillId="40" borderId="90" xfId="2672" applyNumberFormat="1" applyFont="1" applyFill="1" applyBorder="1" applyAlignment="1" applyProtection="1">
      <alignment horizontal="right" vertical="center"/>
      <protection locked="0"/>
    </xf>
    <xf numFmtId="0" fontId="125" fillId="0" borderId="0" xfId="1451" applyFont="1"/>
    <xf numFmtId="0" fontId="126" fillId="0" borderId="0" xfId="1451" applyFont="1" applyAlignment="1">
      <alignment vertical="center"/>
    </xf>
    <xf numFmtId="0" fontId="152" fillId="0" borderId="0" xfId="1451" applyFont="1"/>
    <xf numFmtId="0" fontId="127" fillId="0" borderId="0" xfId="1451" applyFont="1" applyAlignment="1">
      <alignment vertical="center"/>
    </xf>
    <xf numFmtId="0" fontId="128" fillId="0" borderId="0" xfId="1451" applyFont="1" applyAlignment="1">
      <alignment horizontal="center" vertical="center"/>
    </xf>
    <xf numFmtId="0" fontId="129" fillId="0" borderId="0" xfId="1451" applyFont="1"/>
    <xf numFmtId="0" fontId="130" fillId="0" borderId="0" xfId="1451" applyFont="1"/>
    <xf numFmtId="0" fontId="120" fillId="0" borderId="0" xfId="1451" applyFont="1" applyAlignment="1">
      <alignment vertical="center"/>
    </xf>
    <xf numFmtId="0" fontId="120" fillId="0" borderId="0" xfId="1451" applyFont="1" applyAlignment="1">
      <alignment horizontal="center" vertical="center"/>
    </xf>
    <xf numFmtId="0" fontId="125" fillId="0" borderId="0" xfId="1451" applyFont="1" applyAlignment="1">
      <alignment horizontal="center" vertical="center"/>
    </xf>
    <xf numFmtId="0" fontId="125" fillId="0" borderId="0" xfId="1451" applyFont="1" applyAlignment="1">
      <alignment horizontal="center"/>
    </xf>
    <xf numFmtId="0" fontId="127" fillId="35" borderId="0" xfId="1451" applyFont="1" applyFill="1" applyAlignment="1">
      <alignment vertical="center"/>
    </xf>
    <xf numFmtId="0" fontId="130" fillId="0" borderId="19" xfId="1451" applyFont="1" applyBorder="1" applyAlignment="1">
      <alignment horizontal="center"/>
    </xf>
    <xf numFmtId="0" fontId="130" fillId="0" borderId="19" xfId="1451" applyFont="1" applyBorder="1"/>
    <xf numFmtId="1" fontId="111" fillId="0" borderId="0" xfId="2673" applyNumberFormat="1" applyFont="1" applyAlignment="1">
      <alignment horizontal="center" vertical="center" wrapText="1"/>
    </xf>
    <xf numFmtId="1" fontId="109" fillId="0" borderId="0" xfId="2673" applyNumberFormat="1" applyFont="1" applyAlignment="1">
      <alignment horizontal="center" vertical="center" wrapText="1"/>
    </xf>
    <xf numFmtId="0" fontId="110" fillId="0" borderId="62" xfId="2673" applyFont="1" applyBorder="1" applyAlignment="1">
      <alignment horizontal="center" vertical="center" wrapText="1"/>
    </xf>
    <xf numFmtId="0" fontId="168" fillId="0" borderId="0" xfId="2673" applyFont="1" applyAlignment="1">
      <alignment horizontal="center" vertical="center" wrapText="1"/>
    </xf>
    <xf numFmtId="0" fontId="169" fillId="0" borderId="0" xfId="2673" applyFont="1" applyAlignment="1">
      <alignment vertical="center" wrapText="1"/>
    </xf>
    <xf numFmtId="0" fontId="170" fillId="0" borderId="0" xfId="2673" applyFont="1" applyAlignment="1">
      <alignment vertical="center" wrapText="1"/>
    </xf>
    <xf numFmtId="0" fontId="151" fillId="35" borderId="94" xfId="2673" applyFont="1" applyFill="1" applyBorder="1" applyAlignment="1">
      <alignment vertical="center" wrapText="1"/>
    </xf>
    <xf numFmtId="0" fontId="151" fillId="43" borderId="94" xfId="2673" applyFont="1" applyFill="1" applyBorder="1" applyAlignment="1">
      <alignment vertical="center" wrapText="1"/>
    </xf>
    <xf numFmtId="0" fontId="167" fillId="0" borderId="0" xfId="2673" applyFont="1" applyAlignment="1">
      <alignment vertical="center" wrapText="1"/>
    </xf>
    <xf numFmtId="0" fontId="173" fillId="0" borderId="0" xfId="2673" applyFont="1" applyAlignment="1">
      <alignment horizontal="center" vertical="center" wrapText="1"/>
    </xf>
    <xf numFmtId="1" fontId="174" fillId="0" borderId="0" xfId="2673" applyNumberFormat="1" applyFont="1" applyAlignment="1">
      <alignment horizontal="center" vertical="center" wrapText="1"/>
    </xf>
    <xf numFmtId="0" fontId="110" fillId="0" borderId="0" xfId="2673" applyFont="1" applyAlignment="1">
      <alignment horizontal="center" vertical="center" wrapText="1"/>
    </xf>
    <xf numFmtId="0" fontId="139" fillId="35" borderId="32" xfId="2673" applyFont="1" applyFill="1" applyBorder="1" applyAlignment="1">
      <alignment vertical="center" wrapText="1"/>
    </xf>
    <xf numFmtId="0" fontId="139" fillId="43" borderId="32" xfId="2673" applyFont="1" applyFill="1" applyBorder="1" applyAlignment="1">
      <alignment vertical="center" wrapText="1"/>
    </xf>
    <xf numFmtId="0" fontId="139" fillId="0" borderId="0" xfId="2673" applyFont="1" applyAlignment="1">
      <alignment vertical="center" wrapText="1"/>
    </xf>
    <xf numFmtId="2" fontId="139" fillId="0" borderId="0" xfId="2673" applyNumberFormat="1" applyFont="1" applyAlignment="1">
      <alignment horizontal="center" vertical="center" wrapText="1"/>
    </xf>
    <xf numFmtId="0" fontId="110" fillId="0" borderId="3" xfId="2673" applyFont="1" applyBorder="1" applyAlignment="1">
      <alignment horizontal="center" vertical="center" wrapText="1"/>
    </xf>
    <xf numFmtId="0" fontId="151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2" fillId="0" borderId="0" xfId="2673" applyNumberFormat="1" applyAlignment="1">
      <alignment vertical="center" wrapText="1"/>
    </xf>
    <xf numFmtId="1" fontId="12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9" fillId="0" borderId="0" xfId="2675" applyFont="1" applyFill="1" applyBorder="1" applyAlignment="1">
      <alignment horizontal="center" vertical="center" wrapText="1"/>
    </xf>
    <xf numFmtId="1" fontId="139" fillId="0" borderId="50" xfId="2673" applyNumberFormat="1" applyFont="1" applyBorder="1" applyAlignment="1">
      <alignment vertical="center" wrapText="1"/>
    </xf>
    <xf numFmtId="0" fontId="175" fillId="0" borderId="0" xfId="2673" applyFont="1" applyAlignment="1">
      <alignment vertical="center" wrapText="1"/>
    </xf>
    <xf numFmtId="0" fontId="175" fillId="0" borderId="0" xfId="2673" applyFont="1" applyAlignment="1">
      <alignment horizontal="center" vertical="center" wrapText="1"/>
    </xf>
    <xf numFmtId="2" fontId="175" fillId="0" borderId="0" xfId="2673" applyNumberFormat="1" applyFont="1" applyAlignment="1">
      <alignment horizontal="center" vertical="center" wrapText="1"/>
    </xf>
    <xf numFmtId="1" fontId="175" fillId="0" borderId="0" xfId="2673" applyNumberFormat="1" applyFont="1" applyAlignment="1">
      <alignment horizontal="center" vertical="center" wrapText="1"/>
    </xf>
    <xf numFmtId="0" fontId="176" fillId="0" borderId="0" xfId="2673" applyFont="1" applyAlignment="1">
      <alignment vertical="center" wrapText="1"/>
    </xf>
    <xf numFmtId="0" fontId="151" fillId="35" borderId="51" xfId="2673" applyFont="1" applyFill="1" applyBorder="1" applyAlignment="1">
      <alignment vertical="center" wrapText="1"/>
    </xf>
    <xf numFmtId="0" fontId="151" fillId="0" borderId="53" xfId="2673" applyFont="1" applyBorder="1" applyAlignment="1">
      <alignment horizontal="center" vertical="center" wrapText="1"/>
    </xf>
    <xf numFmtId="0" fontId="151" fillId="35" borderId="49" xfId="2673" applyFont="1" applyFill="1" applyBorder="1" applyAlignment="1">
      <alignment vertical="center" wrapText="1"/>
    </xf>
    <xf numFmtId="1" fontId="139" fillId="0" borderId="58" xfId="2673" applyNumberFormat="1" applyFont="1" applyBorder="1" applyAlignment="1">
      <alignment vertical="center" wrapText="1"/>
    </xf>
    <xf numFmtId="0" fontId="139" fillId="35" borderId="49" xfId="2673" applyFont="1" applyFill="1" applyBorder="1" applyAlignment="1">
      <alignment vertical="center" wrapText="1"/>
    </xf>
    <xf numFmtId="0" fontId="139" fillId="35" borderId="98" xfId="2673" applyFont="1" applyFill="1" applyBorder="1" applyAlignment="1">
      <alignment vertical="center" wrapText="1"/>
    </xf>
    <xf numFmtId="0" fontId="110" fillId="0" borderId="64" xfId="2673" applyFont="1" applyBorder="1" applyAlignment="1">
      <alignment horizontal="center" vertical="center" wrapText="1"/>
    </xf>
    <xf numFmtId="0" fontId="151" fillId="0" borderId="51" xfId="2673" applyFont="1" applyBorder="1" applyAlignment="1">
      <alignment vertical="center" wrapText="1"/>
    </xf>
    <xf numFmtId="0" fontId="151" fillId="0" borderId="49" xfId="2673" applyFont="1" applyBorder="1" applyAlignment="1">
      <alignment vertical="center" wrapText="1"/>
    </xf>
    <xf numFmtId="0" fontId="139" fillId="0" borderId="49" xfId="2673" applyFont="1" applyBorder="1" applyAlignment="1">
      <alignment vertical="center" wrapText="1"/>
    </xf>
    <xf numFmtId="0" fontId="139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6" fillId="33" borderId="60" xfId="0" applyFont="1" applyFill="1" applyBorder="1" applyAlignment="1">
      <alignment horizontal="left" vertical="center"/>
    </xf>
    <xf numFmtId="0" fontId="96" fillId="33" borderId="61" xfId="0" applyFont="1" applyFill="1" applyBorder="1" applyAlignment="1">
      <alignment horizontal="left" vertical="center"/>
    </xf>
    <xf numFmtId="49" fontId="96" fillId="33" borderId="60" xfId="0" applyNumberFormat="1" applyFont="1" applyFill="1" applyBorder="1" applyAlignment="1">
      <alignment horizontal="left" vertical="center" wrapText="1"/>
    </xf>
    <xf numFmtId="49" fontId="96" fillId="33" borderId="61" xfId="0" applyNumberFormat="1" applyFont="1" applyFill="1" applyBorder="1" applyAlignment="1">
      <alignment horizontal="left" vertical="center"/>
    </xf>
    <xf numFmtId="41" fontId="157" fillId="0" borderId="0" xfId="2676" applyFont="1" applyAlignment="1">
      <alignment horizontal="center" vertical="center"/>
    </xf>
    <xf numFmtId="0" fontId="11" fillId="0" borderId="0" xfId="2670" applyFont="1" applyAlignment="1">
      <alignment horizontal="center" vertical="center"/>
    </xf>
    <xf numFmtId="0" fontId="132" fillId="0" borderId="0" xfId="2670" applyFont="1" applyAlignment="1">
      <alignment horizontal="left" vertical="center"/>
    </xf>
    <xf numFmtId="0" fontId="11" fillId="0" borderId="21" xfId="1653" applyFont="1" applyBorder="1" applyAlignment="1">
      <alignment horizontal="left" vertical="center" wrapText="1"/>
    </xf>
    <xf numFmtId="207" fontId="48" fillId="0" borderId="21" xfId="2549" applyNumberFormat="1" applyFont="1" applyBorder="1" applyAlignment="1">
      <alignment horizontal="center" vertical="center" wrapText="1"/>
    </xf>
    <xf numFmtId="0" fontId="48" fillId="0" borderId="21" xfId="2677" applyFont="1" applyBorder="1" applyAlignment="1">
      <alignment horizontal="left" vertical="center" wrapText="1"/>
    </xf>
    <xf numFmtId="0" fontId="120" fillId="33" borderId="0" xfId="0" applyFont="1" applyFill="1" applyAlignment="1">
      <alignment horizontal="left"/>
    </xf>
    <xf numFmtId="169" fontId="149" fillId="47" borderId="0" xfId="2672" applyNumberFormat="1" applyFont="1" applyFill="1" applyBorder="1" applyAlignment="1" applyProtection="1">
      <alignment horizontal="right" vertical="center"/>
    </xf>
    <xf numFmtId="0" fontId="179" fillId="0" borderId="99" xfId="1450" applyFont="1" applyBorder="1" applyAlignment="1">
      <alignment horizontal="center" vertical="center"/>
    </xf>
    <xf numFmtId="0" fontId="132" fillId="0" borderId="20" xfId="1652" applyFont="1" applyBorder="1" applyAlignment="1">
      <alignment horizontal="center" vertical="center"/>
    </xf>
    <xf numFmtId="0" fontId="132" fillId="0" borderId="21" xfId="1652" applyFont="1" applyBorder="1" applyAlignment="1">
      <alignment horizontal="left" vertical="center" wrapText="1"/>
    </xf>
    <xf numFmtId="0" fontId="10" fillId="0" borderId="20" xfId="1652" applyFont="1" applyBorder="1" applyAlignment="1">
      <alignment horizontal="center" vertical="center"/>
    </xf>
    <xf numFmtId="0" fontId="10" fillId="0" borderId="21" xfId="1652" applyFont="1" applyBorder="1" applyAlignment="1">
      <alignment vertical="center" wrapText="1"/>
    </xf>
    <xf numFmtId="0" fontId="132" fillId="0" borderId="21" xfId="1652" applyFont="1" applyBorder="1" applyAlignment="1">
      <alignment vertical="center" wrapText="1"/>
    </xf>
    <xf numFmtId="0" fontId="14" fillId="0" borderId="21" xfId="1614" applyFont="1" applyBorder="1" applyAlignment="1">
      <alignment horizontal="center" vertical="center"/>
    </xf>
    <xf numFmtId="0" fontId="8" fillId="0" borderId="21" xfId="1652" applyFont="1" applyBorder="1" applyAlignment="1">
      <alignment horizontal="left" vertical="center" wrapText="1"/>
    </xf>
    <xf numFmtId="0" fontId="8" fillId="0" borderId="21" xfId="1652" applyFont="1" applyBorder="1" applyAlignment="1">
      <alignment horizontal="center" vertical="center"/>
    </xf>
    <xf numFmtId="0" fontId="25" fillId="0" borderId="21" xfId="1451" applyBorder="1" applyAlignment="1">
      <alignment horizontal="center" vertical="center" wrapText="1"/>
    </xf>
    <xf numFmtId="0" fontId="132" fillId="48" borderId="21" xfId="1652" applyFont="1" applyFill="1" applyBorder="1" applyAlignment="1">
      <alignment vertical="center" wrapText="1"/>
    </xf>
    <xf numFmtId="0" fontId="7" fillId="0" borderId="21" xfId="1652" applyFont="1" applyBorder="1" applyAlignment="1">
      <alignment horizontal="center" vertical="center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180" fillId="33" borderId="0" xfId="0" applyFont="1" applyFill="1" applyAlignment="1">
      <alignment horizontal="left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209" fontId="145" fillId="40" borderId="87" xfId="2672" applyNumberFormat="1" applyFont="1" applyFill="1" applyBorder="1" applyAlignment="1" applyProtection="1">
      <alignment horizontal="right" vertical="center"/>
      <protection locked="0"/>
    </xf>
    <xf numFmtId="0" fontId="14" fillId="0" borderId="21" xfId="1614" applyFont="1" applyBorder="1" applyAlignment="1">
      <alignment horizontal="center" vertical="center"/>
    </xf>
    <xf numFmtId="0" fontId="124" fillId="0" borderId="69" xfId="1450" applyFont="1" applyBorder="1" applyAlignment="1">
      <alignment horizontal="center" vertical="center"/>
    </xf>
    <xf numFmtId="0" fontId="2" fillId="0" borderId="0" xfId="2673" applyFont="1" applyAlignment="1">
      <alignment vertical="center" wrapText="1"/>
    </xf>
    <xf numFmtId="209" fontId="149" fillId="36" borderId="0" xfId="2672" applyNumberFormat="1" applyFont="1" applyFill="1" applyBorder="1" applyAlignment="1" applyProtection="1">
      <alignment horizontal="right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3" fontId="47" fillId="31" borderId="38" xfId="1615" applyNumberFormat="1" applyFont="1" applyFill="1" applyBorder="1" applyAlignment="1">
      <alignment horizontal="center" vertical="center"/>
    </xf>
    <xf numFmtId="3" fontId="47" fillId="31" borderId="66" xfId="1615" applyNumberFormat="1" applyFont="1" applyFill="1" applyBorder="1" applyAlignment="1">
      <alignment horizontal="center" vertical="center"/>
    </xf>
    <xf numFmtId="3" fontId="47" fillId="31" borderId="18" xfId="1615" applyNumberFormat="1" applyFont="1" applyFill="1" applyBorder="1" applyAlignment="1">
      <alignment horizontal="center" vertical="center"/>
    </xf>
    <xf numFmtId="3" fontId="47" fillId="31" borderId="42" xfId="1615" applyNumberFormat="1" applyFont="1" applyFill="1" applyBorder="1" applyAlignment="1">
      <alignment horizontal="center" vertical="center"/>
    </xf>
    <xf numFmtId="3" fontId="47" fillId="31" borderId="43" xfId="1615" applyNumberFormat="1" applyFont="1" applyFill="1" applyBorder="1" applyAlignment="1">
      <alignment horizontal="center" vertical="center"/>
    </xf>
    <xf numFmtId="3" fontId="47" fillId="31" borderId="67" xfId="1615" applyNumberFormat="1" applyFont="1" applyFill="1" applyBorder="1" applyAlignment="1">
      <alignment horizontal="center" vertical="center"/>
    </xf>
    <xf numFmtId="3" fontId="47" fillId="31" borderId="3" xfId="1615" applyNumberFormat="1" applyFont="1" applyFill="1" applyBorder="1" applyAlignment="1">
      <alignment horizontal="center" vertical="center"/>
    </xf>
    <xf numFmtId="0" fontId="100" fillId="0" borderId="0" xfId="1653" applyFont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6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 wrapText="1"/>
    </xf>
    <xf numFmtId="37" fontId="66" fillId="0" borderId="19" xfId="1614" applyNumberFormat="1" applyFont="1" applyBorder="1" applyAlignment="1">
      <alignment horizontal="center"/>
    </xf>
    <xf numFmtId="0" fontId="51" fillId="0" borderId="0" xfId="1652" applyFont="1" applyAlignment="1">
      <alignment horizontal="center" vertical="center"/>
    </xf>
    <xf numFmtId="0" fontId="115" fillId="0" borderId="0" xfId="1652" applyAlignment="1">
      <alignment horizontal="center" vertical="center"/>
    </xf>
    <xf numFmtId="0" fontId="66" fillId="0" borderId="26" xfId="1614" applyFont="1" applyBorder="1" applyAlignment="1">
      <alignment horizontal="left" vertical="center"/>
    </xf>
    <xf numFmtId="0" fontId="66" fillId="0" borderId="36" xfId="1614" applyFont="1" applyBorder="1" applyAlignment="1">
      <alignment horizontal="left" vertical="center"/>
    </xf>
    <xf numFmtId="0" fontId="66" fillId="0" borderId="48" xfId="1614" applyFont="1" applyBorder="1" applyAlignment="1">
      <alignment horizontal="left" vertical="center"/>
    </xf>
    <xf numFmtId="0" fontId="66" fillId="0" borderId="28" xfId="1614" applyFont="1" applyBorder="1" applyAlignment="1">
      <alignment horizontal="left" vertical="center"/>
    </xf>
    <xf numFmtId="0" fontId="66" fillId="0" borderId="0" xfId="1614" applyFont="1" applyAlignment="1">
      <alignment horizontal="left" vertical="center"/>
    </xf>
    <xf numFmtId="0" fontId="66" fillId="0" borderId="37" xfId="1614" applyFont="1" applyBorder="1" applyAlignment="1">
      <alignment horizontal="left" vertical="center"/>
    </xf>
    <xf numFmtId="0" fontId="56" fillId="0" borderId="0" xfId="1614" applyFont="1" applyAlignment="1">
      <alignment horizontal="left" vertical="top" wrapText="1"/>
    </xf>
    <xf numFmtId="37" fontId="115" fillId="0" borderId="36" xfId="1614" applyNumberFormat="1" applyBorder="1" applyAlignment="1">
      <alignment horizontal="center"/>
    </xf>
    <xf numFmtId="37" fontId="115" fillId="0" borderId="0" xfId="1614" applyNumberFormat="1" applyAlignment="1">
      <alignment horizontal="center"/>
    </xf>
    <xf numFmtId="0" fontId="56" fillId="0" borderId="3" xfId="1614" applyFont="1" applyBorder="1" applyAlignment="1">
      <alignment horizontal="center" vertical="center"/>
    </xf>
    <xf numFmtId="0" fontId="56" fillId="0" borderId="39" xfId="1614" applyFont="1" applyBorder="1" applyAlignment="1">
      <alignment horizontal="center" vertical="center"/>
    </xf>
    <xf numFmtId="0" fontId="56" fillId="0" borderId="35" xfId="1652" applyFont="1" applyBorder="1" applyAlignment="1">
      <alignment horizontal="center" vertical="center" wrapText="1"/>
    </xf>
    <xf numFmtId="0" fontId="56" fillId="0" borderId="33" xfId="1652" applyFont="1" applyBorder="1" applyAlignment="1">
      <alignment horizontal="center" vertical="center" wrapText="1"/>
    </xf>
    <xf numFmtId="0" fontId="100" fillId="0" borderId="0" xfId="1652" applyFont="1" applyAlignment="1">
      <alignment horizontal="center" vertical="center"/>
    </xf>
    <xf numFmtId="0" fontId="54" fillId="0" borderId="51" xfId="1614" applyFont="1" applyBorder="1" applyAlignment="1">
      <alignment horizontal="center" vertical="center"/>
    </xf>
    <xf numFmtId="0" fontId="54" fillId="0" borderId="49" xfId="1614" applyFont="1" applyBorder="1" applyAlignment="1">
      <alignment horizontal="center" vertical="center"/>
    </xf>
    <xf numFmtId="0" fontId="54" fillId="0" borderId="52" xfId="1614" applyFont="1" applyBorder="1" applyAlignment="1">
      <alignment horizontal="center" vertical="center"/>
    </xf>
    <xf numFmtId="0" fontId="54" fillId="0" borderId="21" xfId="1614" applyFont="1" applyBorder="1" applyAlignment="1">
      <alignment horizontal="center" vertical="center"/>
    </xf>
    <xf numFmtId="0" fontId="54" fillId="0" borderId="33" xfId="1614" applyFont="1" applyBorder="1" applyAlignment="1">
      <alignment horizontal="center" vertical="center"/>
    </xf>
    <xf numFmtId="0" fontId="56" fillId="0" borderId="53" xfId="1614" applyFont="1" applyBorder="1" applyAlignment="1">
      <alignment horizontal="center" vertical="center"/>
    </xf>
    <xf numFmtId="0" fontId="54" fillId="0" borderId="52" xfId="1614" applyFont="1" applyBorder="1" applyAlignment="1">
      <alignment horizontal="center" vertical="center" wrapText="1"/>
    </xf>
    <xf numFmtId="0" fontId="54" fillId="0" borderId="21" xfId="1614" applyFont="1" applyBorder="1" applyAlignment="1">
      <alignment horizontal="center" vertical="center" wrapText="1"/>
    </xf>
    <xf numFmtId="0" fontId="54" fillId="0" borderId="33" xfId="1614" applyFont="1" applyBorder="1" applyAlignment="1">
      <alignment horizontal="center" vertical="center" wrapText="1"/>
    </xf>
    <xf numFmtId="0" fontId="56" fillId="0" borderId="54" xfId="1614" applyFont="1" applyBorder="1" applyAlignment="1">
      <alignment horizontal="center" vertical="center"/>
    </xf>
    <xf numFmtId="169" fontId="47" fillId="0" borderId="3" xfId="714" applyFont="1" applyFill="1" applyBorder="1" applyAlignment="1">
      <alignment horizontal="center" vertical="center" wrapText="1"/>
    </xf>
    <xf numFmtId="0" fontId="58" fillId="0" borderId="0" xfId="1448" applyFont="1" applyAlignment="1">
      <alignment horizontal="center" wrapText="1"/>
    </xf>
    <xf numFmtId="0" fontId="47" fillId="0" borderId="3" xfId="1448" applyFont="1" applyBorder="1" applyAlignment="1">
      <alignment horizontal="center" vertical="center" wrapText="1"/>
    </xf>
    <xf numFmtId="0" fontId="59" fillId="0" borderId="3" xfId="1448" applyFont="1" applyBorder="1" applyAlignment="1">
      <alignment horizontal="center" vertical="center" wrapText="1"/>
    </xf>
    <xf numFmtId="0" fontId="12" fillId="0" borderId="96" xfId="2673" applyBorder="1" applyAlignment="1">
      <alignment horizontal="center" vertical="center" wrapText="1"/>
    </xf>
    <xf numFmtId="0" fontId="12" fillId="0" borderId="6" xfId="2673" applyBorder="1" applyAlignment="1">
      <alignment horizontal="center" vertical="center" wrapText="1"/>
    </xf>
    <xf numFmtId="0" fontId="12" fillId="0" borderId="97" xfId="2673" applyBorder="1" applyAlignment="1">
      <alignment horizontal="center" vertical="center" wrapText="1"/>
    </xf>
    <xf numFmtId="9" fontId="175" fillId="0" borderId="0" xfId="2675" applyFont="1" applyFill="1" applyBorder="1" applyAlignment="1">
      <alignment horizontal="center" vertical="center" wrapText="1"/>
    </xf>
    <xf numFmtId="0" fontId="172" fillId="37" borderId="0" xfId="2673" applyFont="1" applyFill="1" applyAlignment="1">
      <alignment horizontal="left" vertical="center" wrapText="1"/>
    </xf>
    <xf numFmtId="43" fontId="151" fillId="35" borderId="7" xfId="2673" applyNumberFormat="1" applyFont="1" applyFill="1" applyBorder="1" applyAlignment="1">
      <alignment horizontal="center" vertical="center" wrapText="1"/>
    </xf>
    <xf numFmtId="0" fontId="151" fillId="35" borderId="58" xfId="2673" applyFont="1" applyFill="1" applyBorder="1" applyAlignment="1">
      <alignment horizontal="center" vertical="center" wrapText="1"/>
    </xf>
    <xf numFmtId="2" fontId="139" fillId="35" borderId="62" xfId="2673" applyNumberFormat="1" applyFont="1" applyFill="1" applyBorder="1" applyAlignment="1">
      <alignment horizontal="center" vertical="center" wrapText="1"/>
    </xf>
    <xf numFmtId="2" fontId="139" fillId="35" borderId="95" xfId="2673" applyNumberFormat="1" applyFont="1" applyFill="1" applyBorder="1" applyAlignment="1">
      <alignment horizontal="center" vertical="center" wrapText="1"/>
    </xf>
    <xf numFmtId="0" fontId="168" fillId="41" borderId="91" xfId="2673" applyFont="1" applyFill="1" applyBorder="1" applyAlignment="1">
      <alignment horizontal="center" vertical="center" wrapText="1"/>
    </xf>
    <xf numFmtId="0" fontId="168" fillId="41" borderId="92" xfId="2673" applyFont="1" applyFill="1" applyBorder="1" applyAlignment="1">
      <alignment horizontal="center" vertical="center" wrapText="1"/>
    </xf>
    <xf numFmtId="0" fontId="168" fillId="41" borderId="93" xfId="2673" applyFont="1" applyFill="1" applyBorder="1" applyAlignment="1">
      <alignment horizontal="center" vertical="center" wrapText="1"/>
    </xf>
    <xf numFmtId="0" fontId="139" fillId="35" borderId="7" xfId="2673" applyFont="1" applyFill="1" applyBorder="1" applyAlignment="1">
      <alignment horizontal="center" vertical="center" wrapText="1"/>
    </xf>
    <xf numFmtId="0" fontId="139" fillId="35" borderId="58" xfId="2673" applyFont="1" applyFill="1" applyBorder="1" applyAlignment="1">
      <alignment horizontal="center" vertical="center" wrapText="1"/>
    </xf>
    <xf numFmtId="1" fontId="151" fillId="35" borderId="7" xfId="2673" applyNumberFormat="1" applyFont="1" applyFill="1" applyBorder="1" applyAlignment="1">
      <alignment horizontal="center" vertical="center" wrapText="1"/>
    </xf>
    <xf numFmtId="1" fontId="151" fillId="35" borderId="58" xfId="2673" applyNumberFormat="1" applyFont="1" applyFill="1" applyBorder="1" applyAlignment="1">
      <alignment horizontal="center" vertical="center" wrapText="1"/>
    </xf>
    <xf numFmtId="43" fontId="151" fillId="0" borderId="53" xfId="2673" applyNumberFormat="1" applyFont="1" applyBorder="1" applyAlignment="1">
      <alignment horizontal="center" vertical="center" wrapText="1"/>
    </xf>
    <xf numFmtId="0" fontId="151" fillId="0" borderId="54" xfId="2673" applyFont="1" applyBorder="1" applyAlignment="1">
      <alignment horizontal="center" vertical="center" wrapText="1"/>
    </xf>
    <xf numFmtId="9" fontId="139" fillId="0" borderId="64" xfId="2675" applyFont="1" applyFill="1" applyBorder="1" applyAlignment="1">
      <alignment horizontal="center" vertical="center" wrapText="1"/>
    </xf>
    <xf numFmtId="9" fontId="139" fillId="0" borderId="65" xfId="2675" applyFont="1" applyFill="1" applyBorder="1" applyAlignment="1">
      <alignment horizontal="center" vertical="center" wrapText="1"/>
    </xf>
    <xf numFmtId="1" fontId="151" fillId="0" borderId="3" xfId="2673" applyNumberFormat="1" applyFont="1" applyBorder="1" applyAlignment="1">
      <alignment horizontal="center" vertical="center" wrapText="1"/>
    </xf>
    <xf numFmtId="1" fontId="151" fillId="0" borderId="39" xfId="2673" applyNumberFormat="1" applyFont="1" applyBorder="1" applyAlignment="1">
      <alignment horizontal="center" vertical="center" wrapText="1"/>
    </xf>
    <xf numFmtId="2" fontId="139" fillId="0" borderId="3" xfId="2673" applyNumberFormat="1" applyFont="1" applyBorder="1" applyAlignment="1">
      <alignment horizontal="center" vertical="center" wrapText="1"/>
    </xf>
    <xf numFmtId="2" fontId="139" fillId="0" borderId="39" xfId="2673" applyNumberFormat="1" applyFont="1" applyBorder="1" applyAlignment="1">
      <alignment horizontal="center" vertical="center" wrapText="1"/>
    </xf>
    <xf numFmtId="9" fontId="139" fillId="35" borderId="64" xfId="2675" applyFont="1" applyFill="1" applyBorder="1" applyAlignment="1">
      <alignment horizontal="center" vertical="center" wrapText="1"/>
    </xf>
    <xf numFmtId="9" fontId="139" fillId="35" borderId="65" xfId="2675" applyFont="1" applyFill="1" applyBorder="1" applyAlignment="1">
      <alignment horizontal="center" vertical="center" wrapText="1"/>
    </xf>
    <xf numFmtId="2" fontId="139" fillId="35" borderId="3" xfId="2673" applyNumberFormat="1" applyFont="1" applyFill="1" applyBorder="1" applyAlignment="1">
      <alignment horizontal="center" vertical="center" wrapText="1"/>
    </xf>
    <xf numFmtId="2" fontId="139" fillId="35" borderId="39" xfId="2673" applyNumberFormat="1" applyFont="1" applyFill="1" applyBorder="1" applyAlignment="1">
      <alignment horizontal="center" vertical="center" wrapText="1"/>
    </xf>
    <xf numFmtId="0" fontId="171" fillId="0" borderId="50" xfId="2673" applyFont="1" applyBorder="1" applyAlignment="1">
      <alignment horizontal="center" vertical="center" wrapText="1"/>
    </xf>
    <xf numFmtId="0" fontId="171" fillId="0" borderId="58" xfId="2673" applyFont="1" applyBorder="1" applyAlignment="1">
      <alignment horizontal="center" vertical="center" wrapText="1"/>
    </xf>
    <xf numFmtId="0" fontId="171" fillId="44" borderId="3" xfId="2673" applyFont="1" applyFill="1" applyBorder="1" applyAlignment="1">
      <alignment horizontal="center" vertical="center" wrapText="1"/>
    </xf>
    <xf numFmtId="0" fontId="171" fillId="44" borderId="39" xfId="2673" applyFont="1" applyFill="1" applyBorder="1" applyAlignment="1">
      <alignment horizontal="center" vertical="center" wrapText="1"/>
    </xf>
    <xf numFmtId="184" fontId="139" fillId="0" borderId="3" xfId="2673" applyNumberFormat="1" applyFont="1" applyBorder="1" applyAlignment="1">
      <alignment horizontal="center" vertical="center" wrapText="1"/>
    </xf>
    <xf numFmtId="184" fontId="139" fillId="0" borderId="39" xfId="2673" applyNumberFormat="1" applyFont="1" applyBorder="1" applyAlignment="1">
      <alignment horizontal="center" vertical="center" wrapText="1"/>
    </xf>
    <xf numFmtId="2" fontId="139" fillId="45" borderId="3" xfId="2673" applyNumberFormat="1" applyFont="1" applyFill="1" applyBorder="1" applyAlignment="1">
      <alignment horizontal="center" vertical="center" wrapText="1"/>
    </xf>
    <xf numFmtId="2" fontId="139" fillId="45" borderId="39" xfId="2673" applyNumberFormat="1" applyFont="1" applyFill="1" applyBorder="1" applyAlignment="1">
      <alignment horizontal="center" vertical="center" wrapText="1"/>
    </xf>
    <xf numFmtId="0" fontId="168" fillId="42" borderId="91" xfId="2673" applyFont="1" applyFill="1" applyBorder="1" applyAlignment="1">
      <alignment horizontal="center" vertical="center" wrapText="1"/>
    </xf>
    <xf numFmtId="0" fontId="168" fillId="42" borderId="92" xfId="2673" applyFont="1" applyFill="1" applyBorder="1" applyAlignment="1">
      <alignment horizontal="center" vertical="center" wrapText="1"/>
    </xf>
    <xf numFmtId="0" fontId="168" fillId="42" borderId="93" xfId="2673" applyFont="1" applyFill="1" applyBorder="1" applyAlignment="1">
      <alignment horizontal="center" vertical="center" wrapText="1"/>
    </xf>
    <xf numFmtId="43" fontId="151" fillId="43" borderId="7" xfId="2673" applyNumberFormat="1" applyFont="1" applyFill="1" applyBorder="1" applyAlignment="1">
      <alignment horizontal="center" vertical="center" wrapText="1"/>
    </xf>
    <xf numFmtId="0" fontId="151" fillId="43" borderId="58" xfId="2673" applyFont="1" applyFill="1" applyBorder="1" applyAlignment="1">
      <alignment horizontal="center" vertical="center" wrapText="1"/>
    </xf>
    <xf numFmtId="1" fontId="139" fillId="43" borderId="7" xfId="2673" applyNumberFormat="1" applyFont="1" applyFill="1" applyBorder="1" applyAlignment="1">
      <alignment horizontal="center" vertical="center" wrapText="1"/>
    </xf>
    <xf numFmtId="1" fontId="139" fillId="43" borderId="58" xfId="2673" applyNumberFormat="1" applyFont="1" applyFill="1" applyBorder="1" applyAlignment="1">
      <alignment horizontal="center" vertical="center" wrapText="1"/>
    </xf>
    <xf numFmtId="0" fontId="139" fillId="43" borderId="7" xfId="2673" applyFont="1" applyFill="1" applyBorder="1" applyAlignment="1">
      <alignment horizontal="center" vertical="center" wrapText="1"/>
    </xf>
    <xf numFmtId="0" fontId="139" fillId="43" borderId="58" xfId="2673" applyFont="1" applyFill="1" applyBorder="1" applyAlignment="1">
      <alignment horizontal="center" vertical="center" wrapText="1"/>
    </xf>
    <xf numFmtId="2" fontId="139" fillId="43" borderId="62" xfId="2673" applyNumberFormat="1" applyFont="1" applyFill="1" applyBorder="1" applyAlignment="1">
      <alignment horizontal="center" vertical="center" wrapText="1"/>
    </xf>
    <xf numFmtId="2" fontId="139" fillId="43" borderId="95" xfId="2673" applyNumberFormat="1" applyFont="1" applyFill="1" applyBorder="1" applyAlignment="1">
      <alignment horizontal="center" vertical="center" wrapText="1"/>
    </xf>
    <xf numFmtId="0" fontId="13" fillId="34" borderId="77" xfId="2670" applyFill="1" applyBorder="1" applyAlignment="1">
      <alignment horizontal="center" vertical="center"/>
    </xf>
    <xf numFmtId="0" fontId="143" fillId="0" borderId="78" xfId="2670" applyFont="1" applyBorder="1" applyAlignment="1">
      <alignment horizontal="left" vertical="center"/>
    </xf>
    <xf numFmtId="0" fontId="56" fillId="0" borderId="44" xfId="1538" applyFont="1" applyBorder="1" applyAlignment="1">
      <alignment horizontal="left"/>
    </xf>
    <xf numFmtId="0" fontId="116" fillId="38" borderId="3" xfId="1538" applyFill="1" applyBorder="1" applyAlignment="1">
      <alignment horizontal="center" vertical="center"/>
    </xf>
    <xf numFmtId="0" fontId="116" fillId="38" borderId="3" xfId="1538" applyFill="1" applyBorder="1" applyAlignment="1">
      <alignment horizontal="center" vertical="center" wrapText="1"/>
    </xf>
    <xf numFmtId="0" fontId="107" fillId="38" borderId="3" xfId="1538" applyFont="1" applyFill="1" applyBorder="1" applyAlignment="1">
      <alignment horizontal="center" vertical="center" wrapText="1"/>
    </xf>
    <xf numFmtId="0" fontId="53" fillId="0" borderId="3" xfId="1538" applyFont="1" applyBorder="1" applyAlignment="1">
      <alignment horizontal="center"/>
    </xf>
    <xf numFmtId="0" fontId="116" fillId="38" borderId="35" xfId="1538" applyFill="1" applyBorder="1" applyAlignment="1">
      <alignment horizontal="center" vertical="center" wrapText="1"/>
    </xf>
    <xf numFmtId="0" fontId="116" fillId="38" borderId="33" xfId="1538" applyFill="1" applyBorder="1" applyAlignment="1">
      <alignment horizontal="center" vertical="center" wrapText="1"/>
    </xf>
    <xf numFmtId="0" fontId="158" fillId="30" borderId="3" xfId="1614" applyFont="1" applyFill="1" applyBorder="1" applyAlignment="1">
      <alignment horizontal="center" vertical="center"/>
    </xf>
    <xf numFmtId="0" fontId="159" fillId="0" borderId="0" xfId="1652" applyFont="1" applyAlignment="1">
      <alignment horizontal="center" vertical="center"/>
    </xf>
    <xf numFmtId="37" fontId="156" fillId="0" borderId="36" xfId="1614" applyNumberFormat="1" applyFont="1" applyBorder="1" applyAlignment="1">
      <alignment horizontal="center"/>
    </xf>
    <xf numFmtId="0" fontId="160" fillId="35" borderId="51" xfId="1614" applyFont="1" applyFill="1" applyBorder="1" applyAlignment="1">
      <alignment horizontal="center" vertical="center"/>
    </xf>
    <xf numFmtId="0" fontId="160" fillId="35" borderId="49" xfId="1614" applyFont="1" applyFill="1" applyBorder="1" applyAlignment="1">
      <alignment horizontal="center" vertical="center"/>
    </xf>
    <xf numFmtId="0" fontId="160" fillId="35" borderId="52" xfId="1614" applyFont="1" applyFill="1" applyBorder="1" applyAlignment="1">
      <alignment horizontal="center" vertical="center"/>
    </xf>
    <xf numFmtId="0" fontId="160" fillId="35" borderId="21" xfId="1614" applyFont="1" applyFill="1" applyBorder="1" applyAlignment="1">
      <alignment horizontal="center" vertical="center"/>
    </xf>
    <xf numFmtId="0" fontId="160" fillId="35" borderId="33" xfId="1614" applyFont="1" applyFill="1" applyBorder="1" applyAlignment="1">
      <alignment horizontal="center" vertical="center"/>
    </xf>
    <xf numFmtId="0" fontId="160" fillId="35" borderId="53" xfId="1614" applyFont="1" applyFill="1" applyBorder="1" applyAlignment="1">
      <alignment horizontal="center" vertical="center"/>
    </xf>
    <xf numFmtId="0" fontId="160" fillId="35" borderId="3" xfId="1614" applyFont="1" applyFill="1" applyBorder="1" applyAlignment="1">
      <alignment horizontal="center" vertical="center"/>
    </xf>
    <xf numFmtId="0" fontId="160" fillId="35" borderId="52" xfId="1614" applyFont="1" applyFill="1" applyBorder="1" applyAlignment="1">
      <alignment horizontal="center" vertical="center" wrapText="1"/>
    </xf>
    <xf numFmtId="0" fontId="160" fillId="35" borderId="21" xfId="1614" applyFont="1" applyFill="1" applyBorder="1" applyAlignment="1">
      <alignment horizontal="center" vertical="center" wrapText="1"/>
    </xf>
    <xf numFmtId="0" fontId="160" fillId="35" borderId="33" xfId="1614" applyFont="1" applyFill="1" applyBorder="1" applyAlignment="1">
      <alignment horizontal="center" vertical="center" wrapText="1"/>
    </xf>
    <xf numFmtId="0" fontId="160" fillId="35" borderId="35" xfId="1652" applyFont="1" applyFill="1" applyBorder="1" applyAlignment="1">
      <alignment horizontal="center" vertical="center" wrapText="1"/>
    </xf>
    <xf numFmtId="0" fontId="160" fillId="35" borderId="33" xfId="1652" applyFont="1" applyFill="1" applyBorder="1" applyAlignment="1">
      <alignment horizontal="center" vertical="center" wrapText="1"/>
    </xf>
    <xf numFmtId="0" fontId="155" fillId="0" borderId="0" xfId="1644" applyFont="1" applyAlignment="1">
      <alignment horizontal="center" vertical="center"/>
    </xf>
    <xf numFmtId="37" fontId="162" fillId="0" borderId="19" xfId="1614" applyNumberFormat="1" applyFont="1" applyBorder="1" applyAlignment="1">
      <alignment horizontal="center"/>
    </xf>
    <xf numFmtId="0" fontId="158" fillId="0" borderId="0" xfId="1614" applyFont="1" applyAlignment="1">
      <alignment horizontal="left" vertical="top" wrapText="1"/>
    </xf>
    <xf numFmtId="37" fontId="156" fillId="0" borderId="0" xfId="1614" applyNumberFormat="1" applyFont="1" applyAlignment="1">
      <alignment horizontal="center"/>
    </xf>
    <xf numFmtId="0" fontId="177" fillId="0" borderId="26" xfId="1614" applyFont="1" applyBorder="1" applyAlignment="1">
      <alignment horizontal="left" vertical="center" wrapText="1"/>
    </xf>
    <xf numFmtId="0" fontId="177" fillId="0" borderId="36" xfId="1614" applyFont="1" applyBorder="1" applyAlignment="1">
      <alignment horizontal="left" vertical="center" wrapText="1"/>
    </xf>
    <xf numFmtId="0" fontId="177" fillId="0" borderId="48" xfId="1614" applyFont="1" applyBorder="1" applyAlignment="1">
      <alignment horizontal="left" vertical="center" wrapText="1"/>
    </xf>
    <xf numFmtId="0" fontId="177" fillId="0" borderId="28" xfId="1614" applyFont="1" applyBorder="1" applyAlignment="1">
      <alignment horizontal="left" vertical="center" wrapText="1"/>
    </xf>
    <xf numFmtId="0" fontId="177" fillId="0" borderId="0" xfId="1614" applyFont="1" applyAlignment="1">
      <alignment horizontal="left" vertical="center" wrapText="1"/>
    </xf>
    <xf numFmtId="0" fontId="177" fillId="0" borderId="37" xfId="1614" applyFont="1" applyBorder="1" applyAlignment="1">
      <alignment horizontal="left" vertical="center" wrapText="1"/>
    </xf>
    <xf numFmtId="0" fontId="161" fillId="0" borderId="0" xfId="1652" applyFont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0" fontId="160" fillId="35" borderId="54" xfId="1614" applyFont="1" applyFill="1" applyBorder="1" applyAlignment="1">
      <alignment horizontal="center" vertical="center"/>
    </xf>
    <xf numFmtId="0" fontId="160" fillId="35" borderId="39" xfId="1614" applyFont="1" applyFill="1" applyBorder="1" applyAlignment="1">
      <alignment horizontal="center" vertical="center"/>
    </xf>
    <xf numFmtId="0" fontId="135" fillId="35" borderId="55" xfId="0" applyFont="1" applyFill="1" applyBorder="1" applyAlignment="1">
      <alignment horizontal="center" vertical="center"/>
    </xf>
    <xf numFmtId="0" fontId="135" fillId="35" borderId="36" xfId="0" applyFont="1" applyFill="1" applyBorder="1" applyAlignment="1">
      <alignment horizontal="center" vertical="center"/>
    </xf>
    <xf numFmtId="0" fontId="135" fillId="35" borderId="48" xfId="0" applyFont="1" applyFill="1" applyBorder="1" applyAlignment="1">
      <alignment horizontal="center" vertical="center"/>
    </xf>
    <xf numFmtId="0" fontId="135" fillId="35" borderId="43" xfId="0" applyFont="1" applyFill="1" applyBorder="1" applyAlignment="1">
      <alignment horizontal="center" vertical="center"/>
    </xf>
    <xf numFmtId="0" fontId="135" fillId="35" borderId="44" xfId="0" applyFont="1" applyFill="1" applyBorder="1" applyAlignment="1">
      <alignment horizontal="center" vertical="center"/>
    </xf>
    <xf numFmtId="0" fontId="135" fillId="35" borderId="45" xfId="0" applyFont="1" applyFill="1" applyBorder="1" applyAlignment="1">
      <alignment horizontal="center" vertical="center"/>
    </xf>
    <xf numFmtId="0" fontId="119" fillId="33" borderId="3" xfId="0" applyFont="1" applyFill="1" applyBorder="1" applyAlignment="1">
      <alignment horizontal="center"/>
    </xf>
    <xf numFmtId="0" fontId="119" fillId="33" borderId="39" xfId="0" applyFont="1" applyFill="1" applyBorder="1" applyAlignment="1">
      <alignment horizontal="center"/>
    </xf>
    <xf numFmtId="0" fontId="120" fillId="33" borderId="18" xfId="0" applyFont="1" applyFill="1" applyBorder="1" applyAlignment="1">
      <alignment horizontal="left"/>
    </xf>
    <xf numFmtId="0" fontId="120" fillId="33" borderId="0" xfId="0" applyFont="1" applyFill="1" applyAlignment="1">
      <alignment horizontal="left"/>
    </xf>
    <xf numFmtId="0" fontId="120" fillId="33" borderId="37" xfId="0" applyFont="1" applyFill="1" applyBorder="1" applyAlignment="1">
      <alignment horizontal="left"/>
    </xf>
    <xf numFmtId="0" fontId="136" fillId="33" borderId="50" xfId="0" applyFont="1" applyFill="1" applyBorder="1" applyAlignment="1">
      <alignment horizontal="center" vertical="center"/>
    </xf>
    <xf numFmtId="0" fontId="136" fillId="33" borderId="7" xfId="0" applyFont="1" applyFill="1" applyBorder="1" applyAlignment="1">
      <alignment horizontal="center" vertical="center"/>
    </xf>
    <xf numFmtId="0" fontId="136" fillId="33" borderId="41" xfId="0" applyFont="1" applyFill="1" applyBorder="1" applyAlignment="1">
      <alignment horizontal="center" vertical="center"/>
    </xf>
    <xf numFmtId="0" fontId="120" fillId="33" borderId="50" xfId="0" applyFont="1" applyFill="1" applyBorder="1" applyAlignment="1">
      <alignment horizontal="center" vertical="center"/>
    </xf>
    <xf numFmtId="0" fontId="120" fillId="33" borderId="7" xfId="0" applyFont="1" applyFill="1" applyBorder="1" applyAlignment="1">
      <alignment horizontal="center" vertical="center"/>
    </xf>
    <xf numFmtId="0" fontId="120" fillId="33" borderId="58" xfId="0" applyFont="1" applyFill="1" applyBorder="1" applyAlignment="1">
      <alignment horizontal="center" vertical="center"/>
    </xf>
    <xf numFmtId="208" fontId="124" fillId="0" borderId="73" xfId="1450" applyNumberFormat="1" applyFont="1" applyBorder="1" applyAlignment="1">
      <alignment horizontal="left" vertical="center"/>
    </xf>
    <xf numFmtId="208" fontId="179" fillId="0" borderId="74" xfId="1450" applyNumberFormat="1" applyFont="1" applyBorder="1" applyAlignment="1">
      <alignment horizontal="left" vertical="center"/>
    </xf>
    <xf numFmtId="49" fontId="137" fillId="33" borderId="59" xfId="0" applyNumberFormat="1" applyFont="1" applyFill="1" applyBorder="1" applyAlignment="1">
      <alignment horizontal="left" vertical="center"/>
    </xf>
    <xf numFmtId="49" fontId="137" fillId="33" borderId="40" xfId="0" applyNumberFormat="1" applyFont="1" applyFill="1" applyBorder="1" applyAlignment="1">
      <alignment horizontal="left" vertical="center"/>
    </xf>
    <xf numFmtId="49" fontId="119" fillId="33" borderId="50" xfId="0" applyNumberFormat="1" applyFont="1" applyFill="1" applyBorder="1" applyAlignment="1">
      <alignment horizontal="left" vertical="center"/>
    </xf>
    <xf numFmtId="49" fontId="119" fillId="33" borderId="41" xfId="0" applyNumberFormat="1" applyFont="1" applyFill="1" applyBorder="1" applyAlignment="1">
      <alignment horizontal="left" vertical="center"/>
    </xf>
    <xf numFmtId="0" fontId="119" fillId="33" borderId="56" xfId="0" applyFont="1" applyFill="1" applyBorder="1" applyAlignment="1">
      <alignment horizontal="center"/>
    </xf>
    <xf numFmtId="0" fontId="119" fillId="33" borderId="57" xfId="0" applyFont="1" applyFill="1" applyBorder="1" applyAlignment="1">
      <alignment horizontal="center"/>
    </xf>
    <xf numFmtId="49" fontId="119" fillId="33" borderId="50" xfId="0" applyNumberFormat="1" applyFont="1" applyFill="1" applyBorder="1" applyAlignment="1">
      <alignment horizontal="center" vertical="center"/>
    </xf>
    <xf numFmtId="49" fontId="119" fillId="33" borderId="41" xfId="0" applyNumberFormat="1" applyFont="1" applyFill="1" applyBorder="1" applyAlignment="1">
      <alignment horizontal="center" vertical="center"/>
    </xf>
    <xf numFmtId="0" fontId="96" fillId="33" borderId="60" xfId="0" applyFont="1" applyFill="1" applyBorder="1" applyAlignment="1">
      <alignment horizontal="left" vertical="center"/>
    </xf>
    <xf numFmtId="0" fontId="96" fillId="33" borderId="79" xfId="0" applyFont="1" applyFill="1" applyBorder="1" applyAlignment="1">
      <alignment horizontal="left" vertical="center"/>
    </xf>
    <xf numFmtId="0" fontId="137" fillId="33" borderId="60" xfId="0" applyFont="1" applyFill="1" applyBorder="1" applyAlignment="1">
      <alignment horizontal="left" vertical="center"/>
    </xf>
    <xf numFmtId="0" fontId="137" fillId="33" borderId="61" xfId="0" applyFont="1" applyFill="1" applyBorder="1" applyAlignment="1">
      <alignment horizontal="left" vertical="center"/>
    </xf>
    <xf numFmtId="0" fontId="96" fillId="33" borderId="80" xfId="0" applyFont="1" applyFill="1" applyBorder="1" applyAlignment="1">
      <alignment horizontal="center" vertical="center"/>
    </xf>
    <xf numFmtId="0" fontId="96" fillId="33" borderId="81" xfId="0" applyFont="1" applyFill="1" applyBorder="1" applyAlignment="1">
      <alignment horizontal="center" vertical="center"/>
    </xf>
    <xf numFmtId="49" fontId="119" fillId="33" borderId="7" xfId="0" applyNumberFormat="1" applyFont="1" applyFill="1" applyBorder="1" applyAlignment="1">
      <alignment horizontal="center" vertical="center"/>
    </xf>
    <xf numFmtId="0" fontId="123" fillId="33" borderId="73" xfId="0" applyFont="1" applyFill="1" applyBorder="1" applyAlignment="1">
      <alignment horizontal="center" vertical="center"/>
    </xf>
    <xf numFmtId="0" fontId="123" fillId="33" borderId="74" xfId="0" applyFont="1" applyFill="1" applyBorder="1" applyAlignment="1">
      <alignment horizontal="center" vertical="center"/>
    </xf>
    <xf numFmtId="49" fontId="119" fillId="33" borderId="7" xfId="0" applyNumberFormat="1" applyFont="1" applyFill="1" applyBorder="1" applyAlignment="1">
      <alignment horizontal="center" vertical="top" wrapText="1"/>
    </xf>
    <xf numFmtId="49" fontId="119" fillId="33" borderId="41" xfId="0" applyNumberFormat="1" applyFont="1" applyFill="1" applyBorder="1" applyAlignment="1">
      <alignment horizontal="center" vertical="top" wrapText="1"/>
    </xf>
    <xf numFmtId="0" fontId="119" fillId="33" borderId="7" xfId="0" applyFont="1" applyFill="1" applyBorder="1" applyAlignment="1">
      <alignment horizontal="center" vertical="top" wrapText="1"/>
    </xf>
    <xf numFmtId="0" fontId="119" fillId="33" borderId="41" xfId="0" applyFont="1" applyFill="1" applyBorder="1" applyAlignment="1">
      <alignment horizontal="center" vertical="top" wrapText="1"/>
    </xf>
    <xf numFmtId="0" fontId="96" fillId="33" borderId="61" xfId="0" applyFont="1" applyFill="1" applyBorder="1" applyAlignment="1">
      <alignment horizontal="left" vertical="center"/>
    </xf>
    <xf numFmtId="0" fontId="119" fillId="33" borderId="7" xfId="0" applyFont="1" applyFill="1" applyBorder="1" applyAlignment="1">
      <alignment horizontal="center"/>
    </xf>
    <xf numFmtId="0" fontId="119" fillId="33" borderId="41" xfId="0" applyFont="1" applyFill="1" applyBorder="1" applyAlignment="1">
      <alignment horizontal="center"/>
    </xf>
    <xf numFmtId="15" fontId="119" fillId="33" borderId="3" xfId="0" applyNumberFormat="1" applyFont="1" applyFill="1" applyBorder="1" applyAlignment="1">
      <alignment horizontal="center"/>
    </xf>
    <xf numFmtId="0" fontId="96" fillId="33" borderId="59" xfId="0" applyFont="1" applyFill="1" applyBorder="1" applyAlignment="1">
      <alignment horizontal="center" vertical="center"/>
    </xf>
    <xf numFmtId="0" fontId="96" fillId="33" borderId="40" xfId="0" applyFont="1" applyFill="1" applyBorder="1" applyAlignment="1">
      <alignment horizontal="center" vertical="center"/>
    </xf>
    <xf numFmtId="0" fontId="124" fillId="33" borderId="75" xfId="0" applyFont="1" applyFill="1" applyBorder="1" applyAlignment="1">
      <alignment horizontal="center" vertical="center" wrapText="1"/>
    </xf>
    <xf numFmtId="0" fontId="124" fillId="33" borderId="76" xfId="0" applyFont="1" applyFill="1" applyBorder="1" applyAlignment="1">
      <alignment horizontal="center" vertical="center" wrapText="1"/>
    </xf>
    <xf numFmtId="0" fontId="120" fillId="33" borderId="18" xfId="0" applyFont="1" applyFill="1" applyBorder="1" applyAlignment="1">
      <alignment horizontal="left" vertical="top" wrapText="1"/>
    </xf>
    <xf numFmtId="0" fontId="120" fillId="33" borderId="0" xfId="0" applyFont="1" applyFill="1" applyAlignment="1">
      <alignment horizontal="left" vertical="top" wrapText="1"/>
    </xf>
    <xf numFmtId="0" fontId="119" fillId="33" borderId="64" xfId="0" applyFont="1" applyFill="1" applyBorder="1" applyAlignment="1">
      <alignment horizontal="center"/>
    </xf>
    <xf numFmtId="0" fontId="119" fillId="33" borderId="62" xfId="0" applyFont="1" applyFill="1" applyBorder="1" applyAlignment="1">
      <alignment horizontal="center"/>
    </xf>
    <xf numFmtId="0" fontId="119" fillId="33" borderId="63" xfId="0" applyFont="1" applyFill="1" applyBorder="1" applyAlignment="1">
      <alignment horizontal="center"/>
    </xf>
    <xf numFmtId="0" fontId="119" fillId="33" borderId="65" xfId="0" applyFont="1" applyFill="1" applyBorder="1" applyAlignment="1">
      <alignment horizontal="center"/>
    </xf>
    <xf numFmtId="0" fontId="119" fillId="33" borderId="56" xfId="0" applyFont="1" applyFill="1" applyBorder="1" applyAlignment="1">
      <alignment horizontal="center" vertical="center"/>
    </xf>
    <xf numFmtId="0" fontId="119" fillId="33" borderId="57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 vertical="center" wrapText="1"/>
    </xf>
    <xf numFmtId="0" fontId="119" fillId="33" borderId="37" xfId="0" applyFont="1" applyFill="1" applyBorder="1" applyAlignment="1">
      <alignment horizontal="center" vertical="center" wrapText="1"/>
    </xf>
    <xf numFmtId="0" fontId="119" fillId="33" borderId="44" xfId="0" applyFont="1" applyFill="1" applyBorder="1" applyAlignment="1">
      <alignment horizontal="center" vertical="center" wrapText="1"/>
    </xf>
    <xf numFmtId="0" fontId="119" fillId="33" borderId="45" xfId="0" applyFont="1" applyFill="1" applyBorder="1" applyAlignment="1">
      <alignment horizontal="center" vertical="center" wrapText="1"/>
    </xf>
    <xf numFmtId="0" fontId="127" fillId="35" borderId="26" xfId="1451" applyFont="1" applyFill="1" applyBorder="1" applyAlignment="1">
      <alignment horizontal="center" vertical="center"/>
    </xf>
    <xf numFmtId="0" fontId="127" fillId="35" borderId="36" xfId="1451" applyFont="1" applyFill="1" applyBorder="1" applyAlignment="1">
      <alignment horizontal="center" vertical="center"/>
    </xf>
    <xf numFmtId="0" fontId="127" fillId="35" borderId="48" xfId="1451" applyFont="1" applyFill="1" applyBorder="1" applyAlignment="1">
      <alignment horizontal="center" vertical="center"/>
    </xf>
    <xf numFmtId="0" fontId="127" fillId="35" borderId="28" xfId="1451" applyFont="1" applyFill="1" applyBorder="1" applyAlignment="1">
      <alignment horizontal="center" vertical="center"/>
    </xf>
    <xf numFmtId="0" fontId="127" fillId="35" borderId="0" xfId="1451" applyFont="1" applyFill="1" applyAlignment="1">
      <alignment horizontal="center" vertical="center"/>
    </xf>
    <xf numFmtId="0" fontId="127" fillId="35" borderId="37" xfId="1451" applyFont="1" applyFill="1" applyBorder="1" applyAlignment="1">
      <alignment horizontal="center" vertical="center"/>
    </xf>
    <xf numFmtId="0" fontId="127" fillId="35" borderId="34" xfId="1451" applyFont="1" applyFill="1" applyBorder="1" applyAlignment="1">
      <alignment horizontal="center" vertical="center"/>
    </xf>
    <xf numFmtId="0" fontId="127" fillId="35" borderId="19" xfId="1451" applyFont="1" applyFill="1" applyBorder="1" applyAlignment="1">
      <alignment horizontal="center" vertical="center"/>
    </xf>
    <xf numFmtId="0" fontId="127" fillId="35" borderId="31" xfId="1451" applyFont="1" applyFill="1" applyBorder="1" applyAlignment="1">
      <alignment horizontal="center" vertical="center"/>
    </xf>
    <xf numFmtId="0" fontId="165" fillId="0" borderId="0" xfId="1451" applyFont="1" applyAlignment="1">
      <alignment horizontal="left"/>
    </xf>
  </cellXfs>
  <cellStyles count="3417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0 2" xfId="3392" xr:uid="{48EE8D97-68EF-44B0-AB22-623F636BD666}"/>
    <cellStyle name="Check Cell 11" xfId="504" xr:uid="{00000000-0005-0000-0000-0000F7010000}"/>
    <cellStyle name="Check Cell 11 2" xfId="3393" xr:uid="{1AC0344F-A8EE-4542-BA76-DADF85E87C42}"/>
    <cellStyle name="Check Cell 12" xfId="505" xr:uid="{00000000-0005-0000-0000-0000F8010000}"/>
    <cellStyle name="Check Cell 12 2" xfId="3394" xr:uid="{9EDFD4FD-CFA8-4498-BCFF-06EE40E6C0D4}"/>
    <cellStyle name="Check Cell 13" xfId="506" xr:uid="{00000000-0005-0000-0000-0000F9010000}"/>
    <cellStyle name="Check Cell 13 2" xfId="3395" xr:uid="{7506F7C8-FB38-4730-9E26-BCA4AE3A7E03}"/>
    <cellStyle name="Check Cell 14" xfId="507" xr:uid="{00000000-0005-0000-0000-0000FA010000}"/>
    <cellStyle name="Check Cell 14 2" xfId="3396" xr:uid="{3D32555E-D8B6-47FA-B77C-1F041A86D949}"/>
    <cellStyle name="Check Cell 15" xfId="508" xr:uid="{00000000-0005-0000-0000-0000FB010000}"/>
    <cellStyle name="Check Cell 15 2" xfId="3397" xr:uid="{DD0EC692-B2F7-479F-8DBE-571C8B1AA57C}"/>
    <cellStyle name="Check Cell 16" xfId="509" xr:uid="{00000000-0005-0000-0000-0000FC010000}"/>
    <cellStyle name="Check Cell 16 2" xfId="3398" xr:uid="{DF951DBB-FB91-4F6B-B4B0-7C34A0B6F0C3}"/>
    <cellStyle name="Check Cell 17" xfId="3389" xr:uid="{CAD16F9C-7719-4886-8C86-C24E31849665}"/>
    <cellStyle name="Check Cell 2" xfId="510" xr:uid="{00000000-0005-0000-0000-0000FD010000}"/>
    <cellStyle name="Check Cell 2 2" xfId="511" xr:uid="{00000000-0005-0000-0000-0000FE010000}"/>
    <cellStyle name="Check Cell 2 2 2" xfId="3400" xr:uid="{A0F539B4-2A92-4B2A-960A-E54FBBED7A1B}"/>
    <cellStyle name="Check Cell 2 3" xfId="512" xr:uid="{00000000-0005-0000-0000-0000FF010000}"/>
    <cellStyle name="Check Cell 2 3 2" xfId="3401" xr:uid="{FA5924F0-735C-43D3-A54C-3492885028F5}"/>
    <cellStyle name="Check Cell 2 4" xfId="3399" xr:uid="{AC527170-B5C1-4588-A8AD-2BB0BEFB106C}"/>
    <cellStyle name="Check Cell 3" xfId="513" xr:uid="{00000000-0005-0000-0000-000000020000}"/>
    <cellStyle name="Check Cell 3 2" xfId="514" xr:uid="{00000000-0005-0000-0000-000001020000}"/>
    <cellStyle name="Check Cell 3 2 2" xfId="3403" xr:uid="{BF0C5EEB-E896-4453-9CC3-41BFC06F73D1}"/>
    <cellStyle name="Check Cell 3 3" xfId="3402" xr:uid="{90995B97-AF2D-4FF6-BC52-FF5D209D2442}"/>
    <cellStyle name="Check Cell 4" xfId="515" xr:uid="{00000000-0005-0000-0000-000002020000}"/>
    <cellStyle name="Check Cell 4 2" xfId="516" xr:uid="{00000000-0005-0000-0000-000003020000}"/>
    <cellStyle name="Check Cell 4 2 2" xfId="3405" xr:uid="{D2331B11-8633-4082-B82B-0A4C8C64B02F}"/>
    <cellStyle name="Check Cell 4 3" xfId="3404" xr:uid="{6F458600-178B-46F2-9090-9051D78D319C}"/>
    <cellStyle name="Check Cell 5" xfId="517" xr:uid="{00000000-0005-0000-0000-000004020000}"/>
    <cellStyle name="Check Cell 5 2" xfId="518" xr:uid="{00000000-0005-0000-0000-000005020000}"/>
    <cellStyle name="Check Cell 5 2 2" xfId="3407" xr:uid="{DB1CDF4E-EA63-4399-8F04-571A3F95C140}"/>
    <cellStyle name="Check Cell 5 3" xfId="3406" xr:uid="{35307328-125F-4C39-8C4A-AF7662E656FF}"/>
    <cellStyle name="Check Cell 6" xfId="519" xr:uid="{00000000-0005-0000-0000-000006020000}"/>
    <cellStyle name="Check Cell 6 2" xfId="3408" xr:uid="{2A5902D7-CE13-4A90-B071-B16DC66B6CED}"/>
    <cellStyle name="Check Cell 7" xfId="520" xr:uid="{00000000-0005-0000-0000-000007020000}"/>
    <cellStyle name="Check Cell 7 2" xfId="3409" xr:uid="{D39D3302-5209-42B5-B4DF-93CFEA382F84}"/>
    <cellStyle name="Check Cell 8" xfId="521" xr:uid="{00000000-0005-0000-0000-000008020000}"/>
    <cellStyle name="Check Cell 8 2" xfId="3410" xr:uid="{03C46D1B-F6D3-404F-8E0E-DEB78B5A25C9}"/>
    <cellStyle name="Check Cell 9" xfId="522" xr:uid="{00000000-0005-0000-0000-000009020000}"/>
    <cellStyle name="Check Cell 9 2" xfId="3411" xr:uid="{24171650-A343-4948-A02A-A95ACB0409B1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3 5" xfId="3412" xr:uid="{CA37C16C-A278-4EFE-9A02-6525BF5D6404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3" xfId="3414" xr:uid="{9789841A-C2EC-49F1-8E1E-2F314CD3C01F}"/>
    <cellStyle name="Format a column of totals 3" xfId="1206" xr:uid="{00000000-0005-0000-0000-0000B6040000}"/>
    <cellStyle name="Format a column of totals 4" xfId="3413" xr:uid="{7FC59038-298D-4462-A097-DDE89F6F005A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 5" xfId="3391" xr:uid="{14E5387A-22E8-40D7-ACC3-FD08036602D8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 6" xfId="3390" xr:uid="{CF343702-B3DA-488F-92BF-57B3DE12C363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 5" xfId="3415" xr:uid="{DCB1D12E-6170-4B80-9AC7-60047B91AF06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 9" xfId="3416" xr:uid="{82D6B2C4-2CFA-49D7-8D6C-6B9DC4A07456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0.61085665996696104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0.39885665996696101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5" Type="http://schemas.openxmlformats.org/officeDocument/2006/relationships/image" Target="../media/image11.jpeg"/><Relationship Id="rId4" Type="http://schemas.openxmlformats.org/officeDocument/2006/relationships/image" Target="../media/image10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emf"/><Relationship Id="rId13" Type="http://schemas.openxmlformats.org/officeDocument/2006/relationships/image" Target="../media/image27.emf"/><Relationship Id="rId3" Type="http://schemas.openxmlformats.org/officeDocument/2006/relationships/image" Target="../media/image17.emf"/><Relationship Id="rId7" Type="http://schemas.openxmlformats.org/officeDocument/2006/relationships/image" Target="../media/image21.emf"/><Relationship Id="rId12" Type="http://schemas.openxmlformats.org/officeDocument/2006/relationships/image" Target="../media/image26.emf"/><Relationship Id="rId2" Type="http://schemas.openxmlformats.org/officeDocument/2006/relationships/image" Target="../media/image16.emf"/><Relationship Id="rId1" Type="http://schemas.openxmlformats.org/officeDocument/2006/relationships/image" Target="../media/image15.emf"/><Relationship Id="rId6" Type="http://schemas.openxmlformats.org/officeDocument/2006/relationships/image" Target="../media/image20.emf"/><Relationship Id="rId11" Type="http://schemas.openxmlformats.org/officeDocument/2006/relationships/image" Target="../media/image25.emf"/><Relationship Id="rId5" Type="http://schemas.openxmlformats.org/officeDocument/2006/relationships/image" Target="../media/image19.emf"/><Relationship Id="rId10" Type="http://schemas.openxmlformats.org/officeDocument/2006/relationships/image" Target="../media/image24.emf"/><Relationship Id="rId4" Type="http://schemas.openxmlformats.org/officeDocument/2006/relationships/image" Target="../media/image18.emf"/><Relationship Id="rId9" Type="http://schemas.openxmlformats.org/officeDocument/2006/relationships/image" Target="../media/image23.emf"/><Relationship Id="rId14" Type="http://schemas.openxmlformats.org/officeDocument/2006/relationships/image" Target="../media/image28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228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22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 editAs="oneCell">
    <xdr:from>
      <xdr:col>13</xdr:col>
      <xdr:colOff>0</xdr:colOff>
      <xdr:row>3</xdr:row>
      <xdr:rowOff>0</xdr:rowOff>
    </xdr:from>
    <xdr:to>
      <xdr:col>21</xdr:col>
      <xdr:colOff>290945</xdr:colOff>
      <xdr:row>23</xdr:row>
      <xdr:rowOff>71582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839495A-8ED2-4970-8986-061BA2A56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9727" y="588818"/>
          <a:ext cx="7772400" cy="7772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4203471" y="14461690"/>
          <a:ext cx="7031023" cy="45676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102</xdr:row>
      <xdr:rowOff>81642</xdr:rowOff>
    </xdr:from>
    <xdr:to>
      <xdr:col>12</xdr:col>
      <xdr:colOff>41108</xdr:colOff>
      <xdr:row>105</xdr:row>
      <xdr:rowOff>179159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82178</xdr:colOff>
      <xdr:row>15</xdr:row>
      <xdr:rowOff>89647</xdr:rowOff>
    </xdr:from>
    <xdr:to>
      <xdr:col>8</xdr:col>
      <xdr:colOff>276412</xdr:colOff>
      <xdr:row>32</xdr:row>
      <xdr:rowOff>119529</xdr:rowOff>
    </xdr:to>
    <xdr:cxnSp macro="">
      <xdr:nvCxnSpPr>
        <xdr:cNvPr id="215" name="Straight Connector 214">
          <a:extLst>
            <a:ext uri="{FF2B5EF4-FFF2-40B4-BE49-F238E27FC236}">
              <a16:creationId xmlns:a16="http://schemas.microsoft.com/office/drawing/2014/main" id="{D1CED688-166D-45F3-B3E6-C0EFB937C2CF}"/>
            </a:ext>
          </a:extLst>
        </xdr:cNvPr>
        <xdr:cNvCxnSpPr>
          <a:cxnSpLocks/>
        </xdr:cNvCxnSpPr>
      </xdr:nvCxnSpPr>
      <xdr:spPr>
        <a:xfrm flipH="1">
          <a:off x="1621119" y="2353235"/>
          <a:ext cx="1404469" cy="2562412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253999</xdr:colOff>
      <xdr:row>40</xdr:row>
      <xdr:rowOff>63859</xdr:rowOff>
    </xdr:from>
    <xdr:to>
      <xdr:col>9</xdr:col>
      <xdr:colOff>89646</xdr:colOff>
      <xdr:row>53</xdr:row>
      <xdr:rowOff>104586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B75841AA-694A-41BA-863D-EB7C4DC6D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3175" y="6070212"/>
          <a:ext cx="2779059" cy="2087668"/>
        </a:xfrm>
        <a:prstGeom prst="rect">
          <a:avLst/>
        </a:prstGeom>
      </xdr:spPr>
    </xdr:pic>
    <xdr:clientData/>
  </xdr:twoCellAnchor>
  <xdr:twoCellAnchor>
    <xdr:from>
      <xdr:col>3</xdr:col>
      <xdr:colOff>37354</xdr:colOff>
      <xdr:row>28</xdr:row>
      <xdr:rowOff>104588</xdr:rowOff>
    </xdr:from>
    <xdr:to>
      <xdr:col>16</xdr:col>
      <xdr:colOff>22411</xdr:colOff>
      <xdr:row>49</xdr:row>
      <xdr:rowOff>29883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55663F0D-54C9-48A3-9BDA-485C0206CA10}"/>
            </a:ext>
          </a:extLst>
        </xdr:cNvPr>
        <xdr:cNvCxnSpPr>
          <a:cxnSpLocks/>
        </xdr:cNvCxnSpPr>
      </xdr:nvCxnSpPr>
      <xdr:spPr>
        <a:xfrm flipH="1" flipV="1">
          <a:off x="769472" y="4310529"/>
          <a:ext cx="5229410" cy="3077883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951866" y="813210"/>
          <a:ext cx="1539705" cy="1794463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8</xdr:col>
      <xdr:colOff>128537</xdr:colOff>
      <xdr:row>18</xdr:row>
      <xdr:rowOff>133949</xdr:rowOff>
    </xdr:from>
    <xdr:to>
      <xdr:col>8</xdr:col>
      <xdr:colOff>232975</xdr:colOff>
      <xdr:row>19</xdr:row>
      <xdr:rowOff>84001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B69D30DA-A132-2B7B-A535-9D04829B9C17}"/>
            </a:ext>
          </a:extLst>
        </xdr:cNvPr>
        <xdr:cNvGrpSpPr/>
      </xdr:nvGrpSpPr>
      <xdr:grpSpPr>
        <a:xfrm>
          <a:off x="2843709" y="2906052"/>
          <a:ext cx="104438" cy="10332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6" name="Oval 65">
            <a:extLst>
              <a:ext uri="{FF2B5EF4-FFF2-40B4-BE49-F238E27FC236}">
                <a16:creationId xmlns:a16="http://schemas.microsoft.com/office/drawing/2014/main" id="{10FC9EAF-4C13-BE96-48C7-BEA5F8DEC6E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7" name="Straight Connector 66">
            <a:extLst>
              <a:ext uri="{FF2B5EF4-FFF2-40B4-BE49-F238E27FC236}">
                <a16:creationId xmlns:a16="http://schemas.microsoft.com/office/drawing/2014/main" id="{F4EC4E9C-0A2B-CDBA-245B-680EF392FF94}"/>
              </a:ext>
            </a:extLst>
          </xdr:cNvPr>
          <xdr:cNvCxnSpPr>
            <a:stCxn id="66" idx="1"/>
            <a:endCxn id="6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" name="Straight Connector 67">
            <a:extLst>
              <a:ext uri="{FF2B5EF4-FFF2-40B4-BE49-F238E27FC236}">
                <a16:creationId xmlns:a16="http://schemas.microsoft.com/office/drawing/2014/main" id="{F1FE10C7-5C4C-9151-893F-994B5EEE6665}"/>
              </a:ext>
            </a:extLst>
          </xdr:cNvPr>
          <xdr:cNvCxnSpPr>
            <a:stCxn id="66" idx="3"/>
            <a:endCxn id="6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311253</xdr:colOff>
      <xdr:row>14</xdr:row>
      <xdr:rowOff>129291</xdr:rowOff>
    </xdr:from>
    <xdr:to>
      <xdr:col>13</xdr:col>
      <xdr:colOff>349069</xdr:colOff>
      <xdr:row>25</xdr:row>
      <xdr:rowOff>52150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5D83670-65CC-1E07-8204-BFBB3FD64F6E}"/>
            </a:ext>
          </a:extLst>
        </xdr:cNvPr>
        <xdr:cNvSpPr/>
      </xdr:nvSpPr>
      <xdr:spPr>
        <a:xfrm rot="1459218">
          <a:off x="3060429" y="2243467"/>
          <a:ext cx="2054875" cy="1566389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MASJID</a:t>
          </a:r>
          <a:r>
            <a:rPr lang="en-ID" sz="800" baseline="0">
              <a:solidFill>
                <a:srgbClr val="FF0000"/>
              </a:solidFill>
            </a:rPr>
            <a:t> HAJAR ASWAD</a:t>
          </a:r>
          <a:endParaRPr lang="en-ID" sz="8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337872</xdr:colOff>
      <xdr:row>22</xdr:row>
      <xdr:rowOff>5834</xdr:rowOff>
    </xdr:from>
    <xdr:to>
      <xdr:col>9</xdr:col>
      <xdr:colOff>48170</xdr:colOff>
      <xdr:row>22</xdr:row>
      <xdr:rowOff>100724</xdr:rowOff>
    </xdr:to>
    <xdr:grpSp>
      <xdr:nvGrpSpPr>
        <xdr:cNvPr id="190" name="Group 189">
          <a:extLst>
            <a:ext uri="{FF2B5EF4-FFF2-40B4-BE49-F238E27FC236}">
              <a16:creationId xmlns:a16="http://schemas.microsoft.com/office/drawing/2014/main" id="{108E7204-E74D-4C02-BB85-9256A527ECA6}"/>
            </a:ext>
          </a:extLst>
        </xdr:cNvPr>
        <xdr:cNvGrpSpPr/>
      </xdr:nvGrpSpPr>
      <xdr:grpSpPr>
        <a:xfrm>
          <a:off x="3053044" y="3391041"/>
          <a:ext cx="108816" cy="9489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1" name="Oval 190">
            <a:extLst>
              <a:ext uri="{FF2B5EF4-FFF2-40B4-BE49-F238E27FC236}">
                <a16:creationId xmlns:a16="http://schemas.microsoft.com/office/drawing/2014/main" id="{58BE2DCC-E1BB-4983-FECB-918E0615DF2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2" name="Straight Connector 191">
            <a:extLst>
              <a:ext uri="{FF2B5EF4-FFF2-40B4-BE49-F238E27FC236}">
                <a16:creationId xmlns:a16="http://schemas.microsoft.com/office/drawing/2014/main" id="{C1747A3E-9350-F373-C115-75007E2F6305}"/>
              </a:ext>
            </a:extLst>
          </xdr:cNvPr>
          <xdr:cNvCxnSpPr>
            <a:stCxn id="191" idx="1"/>
            <a:endCxn id="19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CCEF1296-D2B3-02AA-DD18-3B4605E4D277}"/>
              </a:ext>
            </a:extLst>
          </xdr:cNvPr>
          <xdr:cNvCxnSpPr>
            <a:stCxn id="191" idx="3"/>
            <a:endCxn id="19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250021</xdr:colOff>
      <xdr:row>21</xdr:row>
      <xdr:rowOff>15022</xdr:rowOff>
    </xdr:from>
    <xdr:to>
      <xdr:col>8</xdr:col>
      <xdr:colOff>35891</xdr:colOff>
      <xdr:row>23</xdr:row>
      <xdr:rowOff>39113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27086B3C-17D8-4839-87A8-3E04FCE6E5DF}"/>
            </a:ext>
          </a:extLst>
        </xdr:cNvPr>
        <xdr:cNvSpPr/>
      </xdr:nvSpPr>
      <xdr:spPr>
        <a:xfrm rot="6817746">
          <a:off x="2528970" y="3241897"/>
          <a:ext cx="322914" cy="18928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////</a:t>
          </a:r>
        </a:p>
      </xdr:txBody>
    </xdr:sp>
    <xdr:clientData/>
  </xdr:twoCellAnchor>
  <xdr:twoCellAnchor>
    <xdr:from>
      <xdr:col>11</xdr:col>
      <xdr:colOff>46583</xdr:colOff>
      <xdr:row>39</xdr:row>
      <xdr:rowOff>25460</xdr:rowOff>
    </xdr:from>
    <xdr:to>
      <xdr:col>11</xdr:col>
      <xdr:colOff>360711</xdr:colOff>
      <xdr:row>40</xdr:row>
      <xdr:rowOff>87741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F33BEAF8-0824-42E0-821D-39FD998C894C}"/>
            </a:ext>
          </a:extLst>
        </xdr:cNvPr>
        <xdr:cNvSpPr/>
      </xdr:nvSpPr>
      <xdr:spPr>
        <a:xfrm rot="2105229">
          <a:off x="4005995" y="5882401"/>
          <a:ext cx="314128" cy="211693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////</a:t>
          </a:r>
        </a:p>
      </xdr:txBody>
    </xdr:sp>
    <xdr:clientData/>
  </xdr:twoCellAnchor>
  <xdr:twoCellAnchor>
    <xdr:from>
      <xdr:col>8</xdr:col>
      <xdr:colOff>217680</xdr:colOff>
      <xdr:row>19</xdr:row>
      <xdr:rowOff>68869</xdr:rowOff>
    </xdr:from>
    <xdr:to>
      <xdr:col>8</xdr:col>
      <xdr:colOff>353808</xdr:colOff>
      <xdr:row>22</xdr:row>
      <xdr:rowOff>19730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EC798038-034C-4AF1-929F-F9E194E117EF}"/>
            </a:ext>
          </a:extLst>
        </xdr:cNvPr>
        <xdr:cNvCxnSpPr>
          <a:stCxn id="66" idx="5"/>
          <a:endCxn id="191" idx="1"/>
        </xdr:cNvCxnSpPr>
      </xdr:nvCxnSpPr>
      <xdr:spPr>
        <a:xfrm>
          <a:off x="2932852" y="2994248"/>
          <a:ext cx="136128" cy="410689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42453</xdr:colOff>
      <xdr:row>24</xdr:row>
      <xdr:rowOff>141248</xdr:rowOff>
    </xdr:from>
    <xdr:to>
      <xdr:col>7</xdr:col>
      <xdr:colOff>149764</xdr:colOff>
      <xdr:row>25</xdr:row>
      <xdr:rowOff>91300</xdr:rowOff>
    </xdr:to>
    <xdr:grpSp>
      <xdr:nvGrpSpPr>
        <xdr:cNvPr id="164" name="Group 163">
          <a:extLst>
            <a:ext uri="{FF2B5EF4-FFF2-40B4-BE49-F238E27FC236}">
              <a16:creationId xmlns:a16="http://schemas.microsoft.com/office/drawing/2014/main" id="{5E1A908C-6D81-46E5-B18A-C76ACA1AF3A3}"/>
            </a:ext>
          </a:extLst>
        </xdr:cNvPr>
        <xdr:cNvGrpSpPr/>
      </xdr:nvGrpSpPr>
      <xdr:grpSpPr>
        <a:xfrm>
          <a:off x="2359108" y="3833007"/>
          <a:ext cx="107311" cy="10332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65" name="Oval 164">
            <a:extLst>
              <a:ext uri="{FF2B5EF4-FFF2-40B4-BE49-F238E27FC236}">
                <a16:creationId xmlns:a16="http://schemas.microsoft.com/office/drawing/2014/main" id="{56A1CD1A-D1EE-4079-9F79-07BA7ACFA32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7A43CE97-9813-4191-9FB0-F75825874AF1}"/>
              </a:ext>
            </a:extLst>
          </xdr:cNvPr>
          <xdr:cNvCxnSpPr>
            <a:stCxn id="165" idx="1"/>
            <a:endCxn id="16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Straight Connector 166">
            <a:extLst>
              <a:ext uri="{FF2B5EF4-FFF2-40B4-BE49-F238E27FC236}">
                <a16:creationId xmlns:a16="http://schemas.microsoft.com/office/drawing/2014/main" id="{804888B8-0A79-49C1-BDD8-651B695758DC}"/>
              </a:ext>
            </a:extLst>
          </xdr:cNvPr>
          <xdr:cNvCxnSpPr>
            <a:stCxn id="165" idx="3"/>
            <a:endCxn id="16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105494</xdr:colOff>
      <xdr:row>29</xdr:row>
      <xdr:rowOff>140213</xdr:rowOff>
    </xdr:from>
    <xdr:to>
      <xdr:col>6</xdr:col>
      <xdr:colOff>212805</xdr:colOff>
      <xdr:row>30</xdr:row>
      <xdr:rowOff>98023</xdr:rowOff>
    </xdr:to>
    <xdr:grpSp>
      <xdr:nvGrpSpPr>
        <xdr:cNvPr id="168" name="Group 167">
          <a:extLst>
            <a:ext uri="{FF2B5EF4-FFF2-40B4-BE49-F238E27FC236}">
              <a16:creationId xmlns:a16="http://schemas.microsoft.com/office/drawing/2014/main" id="{49CD558F-8A6F-4215-9E89-223D925EFFA1}"/>
            </a:ext>
          </a:extLst>
        </xdr:cNvPr>
        <xdr:cNvGrpSpPr/>
      </xdr:nvGrpSpPr>
      <xdr:grpSpPr>
        <a:xfrm>
          <a:off x="2023632" y="4598351"/>
          <a:ext cx="107311" cy="9794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69" name="Oval 168">
            <a:extLst>
              <a:ext uri="{FF2B5EF4-FFF2-40B4-BE49-F238E27FC236}">
                <a16:creationId xmlns:a16="http://schemas.microsoft.com/office/drawing/2014/main" id="{EE40640E-A163-4241-B066-5C4C8FE9B24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0" name="Straight Connector 169">
            <a:extLst>
              <a:ext uri="{FF2B5EF4-FFF2-40B4-BE49-F238E27FC236}">
                <a16:creationId xmlns:a16="http://schemas.microsoft.com/office/drawing/2014/main" id="{C60991DF-722A-43B7-AED2-6AC0749A16E7}"/>
              </a:ext>
            </a:extLst>
          </xdr:cNvPr>
          <xdr:cNvCxnSpPr>
            <a:stCxn id="169" idx="1"/>
            <a:endCxn id="16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A57AF174-DDB8-4F9D-A1F0-644504EF7989}"/>
              </a:ext>
            </a:extLst>
          </xdr:cNvPr>
          <xdr:cNvCxnSpPr>
            <a:stCxn id="169" idx="3"/>
            <a:endCxn id="16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31190</xdr:colOff>
      <xdr:row>36</xdr:row>
      <xdr:rowOff>98091</xdr:rowOff>
    </xdr:from>
    <xdr:to>
      <xdr:col>9</xdr:col>
      <xdr:colOff>135627</xdr:colOff>
      <xdr:row>37</xdr:row>
      <xdr:rowOff>38374</xdr:rowOff>
    </xdr:to>
    <xdr:grpSp>
      <xdr:nvGrpSpPr>
        <xdr:cNvPr id="172" name="Group 171">
          <a:extLst>
            <a:ext uri="{FF2B5EF4-FFF2-40B4-BE49-F238E27FC236}">
              <a16:creationId xmlns:a16="http://schemas.microsoft.com/office/drawing/2014/main" id="{955E6CE0-51E2-47B7-A4CE-84CF540187C4}"/>
            </a:ext>
          </a:extLst>
        </xdr:cNvPr>
        <xdr:cNvGrpSpPr/>
      </xdr:nvGrpSpPr>
      <xdr:grpSpPr>
        <a:xfrm>
          <a:off x="3144880" y="5616022"/>
          <a:ext cx="104437" cy="9793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3" name="Oval 172">
            <a:extLst>
              <a:ext uri="{FF2B5EF4-FFF2-40B4-BE49-F238E27FC236}">
                <a16:creationId xmlns:a16="http://schemas.microsoft.com/office/drawing/2014/main" id="{35CBC3A0-9BCA-41AA-BFC7-A297D06157A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4" name="Straight Connector 173">
            <a:extLst>
              <a:ext uri="{FF2B5EF4-FFF2-40B4-BE49-F238E27FC236}">
                <a16:creationId xmlns:a16="http://schemas.microsoft.com/office/drawing/2014/main" id="{55B9A408-E6C7-4C13-89B0-6DD5E27A40B9}"/>
              </a:ext>
            </a:extLst>
          </xdr:cNvPr>
          <xdr:cNvCxnSpPr>
            <a:stCxn id="173" idx="1"/>
            <a:endCxn id="17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174">
            <a:extLst>
              <a:ext uri="{FF2B5EF4-FFF2-40B4-BE49-F238E27FC236}">
                <a16:creationId xmlns:a16="http://schemas.microsoft.com/office/drawing/2014/main" id="{23C75AE3-15BC-4C9D-A24E-29607EE1313B}"/>
              </a:ext>
            </a:extLst>
          </xdr:cNvPr>
          <xdr:cNvCxnSpPr>
            <a:stCxn id="173" idx="3"/>
            <a:endCxn id="17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264904</xdr:colOff>
      <xdr:row>42</xdr:row>
      <xdr:rowOff>1950</xdr:rowOff>
    </xdr:from>
    <xdr:to>
      <xdr:col>12</xdr:col>
      <xdr:colOff>372215</xdr:colOff>
      <xdr:row>42</xdr:row>
      <xdr:rowOff>101414</xdr:rowOff>
    </xdr:to>
    <xdr:grpSp>
      <xdr:nvGrpSpPr>
        <xdr:cNvPr id="176" name="Group 175">
          <a:extLst>
            <a:ext uri="{FF2B5EF4-FFF2-40B4-BE49-F238E27FC236}">
              <a16:creationId xmlns:a16="http://schemas.microsoft.com/office/drawing/2014/main" id="{05FBB755-705C-46FD-B75B-6F438C8EBAE6}"/>
            </a:ext>
          </a:extLst>
        </xdr:cNvPr>
        <xdr:cNvGrpSpPr/>
      </xdr:nvGrpSpPr>
      <xdr:grpSpPr>
        <a:xfrm>
          <a:off x="4574145" y="6448295"/>
          <a:ext cx="107311" cy="9946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7" name="Oval 176">
            <a:extLst>
              <a:ext uri="{FF2B5EF4-FFF2-40B4-BE49-F238E27FC236}">
                <a16:creationId xmlns:a16="http://schemas.microsoft.com/office/drawing/2014/main" id="{8005ED54-C908-482E-8233-BB3AC0E064B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8" name="Straight Connector 177">
            <a:extLst>
              <a:ext uri="{FF2B5EF4-FFF2-40B4-BE49-F238E27FC236}">
                <a16:creationId xmlns:a16="http://schemas.microsoft.com/office/drawing/2014/main" id="{E8DF0F9A-57B3-41E3-B081-2DF321D49D90}"/>
              </a:ext>
            </a:extLst>
          </xdr:cNvPr>
          <xdr:cNvCxnSpPr>
            <a:stCxn id="177" idx="1"/>
            <a:endCxn id="17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F963D4AC-A4E8-43F5-8F32-89FBC4C50F0E}"/>
              </a:ext>
            </a:extLst>
          </xdr:cNvPr>
          <xdr:cNvCxnSpPr>
            <a:stCxn id="177" idx="3"/>
            <a:endCxn id="17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121209</xdr:colOff>
      <xdr:row>19</xdr:row>
      <xdr:rowOff>69435</xdr:rowOff>
    </xdr:from>
    <xdr:to>
      <xdr:col>8</xdr:col>
      <xdr:colOff>143832</xdr:colOff>
      <xdr:row>30</xdr:row>
      <xdr:rowOff>12880</xdr:rowOff>
    </xdr:to>
    <xdr:cxnSp macro="">
      <xdr:nvCxnSpPr>
        <xdr:cNvPr id="189" name="Straight Connector 188">
          <a:extLst>
            <a:ext uri="{FF2B5EF4-FFF2-40B4-BE49-F238E27FC236}">
              <a16:creationId xmlns:a16="http://schemas.microsoft.com/office/drawing/2014/main" id="{58427DEB-1D5F-4A5A-8E6E-AC6ECA7F152E}"/>
            </a:ext>
          </a:extLst>
        </xdr:cNvPr>
        <xdr:cNvCxnSpPr>
          <a:stCxn id="169" idx="1"/>
          <a:endCxn id="66" idx="3"/>
        </xdr:cNvCxnSpPr>
      </xdr:nvCxnSpPr>
      <xdr:spPr>
        <a:xfrm flipV="1">
          <a:off x="2063562" y="2930670"/>
          <a:ext cx="829446" cy="1579504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149412</xdr:colOff>
      <xdr:row>29</xdr:row>
      <xdr:rowOff>127001</xdr:rowOff>
    </xdr:from>
    <xdr:to>
      <xdr:col>12</xdr:col>
      <xdr:colOff>280619</xdr:colOff>
      <xdr:row>42</xdr:row>
      <xdr:rowOff>86848</xdr:rowOff>
    </xdr:to>
    <xdr:cxnSp macro="">
      <xdr:nvCxnSpPr>
        <xdr:cNvPr id="195" name="Straight Connector 194">
          <a:extLst>
            <a:ext uri="{FF2B5EF4-FFF2-40B4-BE49-F238E27FC236}">
              <a16:creationId xmlns:a16="http://schemas.microsoft.com/office/drawing/2014/main" id="{EA9E8F63-1BBF-4138-82E2-995477E850D9}"/>
            </a:ext>
          </a:extLst>
        </xdr:cNvPr>
        <xdr:cNvCxnSpPr>
          <a:stCxn id="177" idx="3"/>
        </xdr:cNvCxnSpPr>
      </xdr:nvCxnSpPr>
      <xdr:spPr>
        <a:xfrm flipH="1" flipV="1">
          <a:off x="1284941" y="4482354"/>
          <a:ext cx="3358502" cy="1909670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32234</xdr:colOff>
      <xdr:row>22</xdr:row>
      <xdr:rowOff>86828</xdr:rowOff>
    </xdr:from>
    <xdr:to>
      <xdr:col>11</xdr:col>
      <xdr:colOff>225932</xdr:colOff>
      <xdr:row>25</xdr:row>
      <xdr:rowOff>53889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37FA9E93-BECC-4451-A722-91E1E939D604}"/>
            </a:ext>
          </a:extLst>
        </xdr:cNvPr>
        <xdr:cNvCxnSpPr>
          <a:stCxn id="191" idx="5"/>
          <a:endCxn id="182" idx="1"/>
        </xdr:cNvCxnSpPr>
      </xdr:nvCxnSpPr>
      <xdr:spPr>
        <a:xfrm>
          <a:off x="3145924" y="3472035"/>
          <a:ext cx="990732" cy="426888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121598</xdr:colOff>
      <xdr:row>25</xdr:row>
      <xdr:rowOff>107525</xdr:rowOff>
    </xdr:from>
    <xdr:to>
      <xdr:col>12</xdr:col>
      <xdr:colOff>233855</xdr:colOff>
      <xdr:row>26</xdr:row>
      <xdr:rowOff>100526</xdr:rowOff>
    </xdr:to>
    <xdr:sp macro="" textlink="">
      <xdr:nvSpPr>
        <xdr:cNvPr id="199" name="Rectangle 198">
          <a:extLst>
            <a:ext uri="{FF2B5EF4-FFF2-40B4-BE49-F238E27FC236}">
              <a16:creationId xmlns:a16="http://schemas.microsoft.com/office/drawing/2014/main" id="{BE6761FB-7FB9-44AF-A288-EB0C9BD0DFC0}"/>
            </a:ext>
          </a:extLst>
        </xdr:cNvPr>
        <xdr:cNvSpPr/>
      </xdr:nvSpPr>
      <xdr:spPr>
        <a:xfrm rot="7329294">
          <a:off x="4413829" y="3969569"/>
          <a:ext cx="146277" cy="112257"/>
        </a:xfrm>
        <a:prstGeom prst="rect">
          <a:avLst/>
        </a:prstGeom>
        <a:solidFill>
          <a:srgbClr val="FF0000"/>
        </a:solidFill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ID" sz="8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318432</xdr:colOff>
      <xdr:row>23</xdr:row>
      <xdr:rowOff>124522</xdr:rowOff>
    </xdr:from>
    <xdr:to>
      <xdr:col>9</xdr:col>
      <xdr:colOff>128880</xdr:colOff>
      <xdr:row>29</xdr:row>
      <xdr:rowOff>100724</xdr:rowOff>
    </xdr:to>
    <xdr:sp macro="" textlink="">
      <xdr:nvSpPr>
        <xdr:cNvPr id="203" name="Rectangle 202">
          <a:extLst>
            <a:ext uri="{FF2B5EF4-FFF2-40B4-BE49-F238E27FC236}">
              <a16:creationId xmlns:a16="http://schemas.microsoft.com/office/drawing/2014/main" id="{BE25656F-9CD4-4C18-A092-8B5A5FB9C7E6}"/>
            </a:ext>
          </a:extLst>
        </xdr:cNvPr>
        <xdr:cNvSpPr/>
      </xdr:nvSpPr>
      <xdr:spPr>
        <a:xfrm>
          <a:off x="2635087" y="3663005"/>
          <a:ext cx="607483" cy="895857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K3-359/27/4</a:t>
          </a:r>
        </a:p>
        <a:p>
          <a:pPr algn="l"/>
          <a:r>
            <a:rPr lang="en-US" sz="600">
              <a:solidFill>
                <a:srgbClr val="FF0000"/>
              </a:solidFill>
            </a:rPr>
            <a:t>1 C9-200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MJ6-T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CE1-2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F1-2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CM2-12A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159150</xdr:colOff>
      <xdr:row>30</xdr:row>
      <xdr:rowOff>98023</xdr:rowOff>
    </xdr:from>
    <xdr:to>
      <xdr:col>6</xdr:col>
      <xdr:colOff>261567</xdr:colOff>
      <xdr:row>32</xdr:row>
      <xdr:rowOff>87077</xdr:rowOff>
    </xdr:to>
    <xdr:cxnSp macro="">
      <xdr:nvCxnSpPr>
        <xdr:cNvPr id="208" name="Straight Connector 207">
          <a:extLst>
            <a:ext uri="{FF2B5EF4-FFF2-40B4-BE49-F238E27FC236}">
              <a16:creationId xmlns:a16="http://schemas.microsoft.com/office/drawing/2014/main" id="{252F4F5F-3B35-44C1-8A41-0E49FB3EC01F}"/>
            </a:ext>
          </a:extLst>
        </xdr:cNvPr>
        <xdr:cNvCxnSpPr>
          <a:stCxn id="211" idx="7"/>
          <a:endCxn id="169" idx="4"/>
        </xdr:cNvCxnSpPr>
      </xdr:nvCxnSpPr>
      <xdr:spPr>
        <a:xfrm flipH="1" flipV="1">
          <a:off x="2101503" y="4595317"/>
          <a:ext cx="102417" cy="287878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321237</xdr:colOff>
      <xdr:row>29</xdr:row>
      <xdr:rowOff>67235</xdr:rowOff>
    </xdr:from>
    <xdr:to>
      <xdr:col>12</xdr:col>
      <xdr:colOff>356500</xdr:colOff>
      <xdr:row>42</xdr:row>
      <xdr:rowOff>16516</xdr:rowOff>
    </xdr:to>
    <xdr:cxnSp macro="">
      <xdr:nvCxnSpPr>
        <xdr:cNvPr id="213" name="Straight Connector 212">
          <a:extLst>
            <a:ext uri="{FF2B5EF4-FFF2-40B4-BE49-F238E27FC236}">
              <a16:creationId xmlns:a16="http://schemas.microsoft.com/office/drawing/2014/main" id="{3B28D5DE-82E4-4493-9BA8-B77C68468660}"/>
            </a:ext>
          </a:extLst>
        </xdr:cNvPr>
        <xdr:cNvCxnSpPr>
          <a:stCxn id="177" idx="7"/>
        </xdr:cNvCxnSpPr>
      </xdr:nvCxnSpPr>
      <xdr:spPr>
        <a:xfrm flipH="1" flipV="1">
          <a:off x="1456766" y="4422588"/>
          <a:ext cx="3262558" cy="1899104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356500</xdr:colOff>
      <xdr:row>42</xdr:row>
      <xdr:rowOff>86848</xdr:rowOff>
    </xdr:from>
    <xdr:to>
      <xdr:col>16</xdr:col>
      <xdr:colOff>29882</xdr:colOff>
      <xdr:row>47</xdr:row>
      <xdr:rowOff>97118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FB0652C-4DF4-4D95-B223-5CFB43BF1E85}"/>
            </a:ext>
          </a:extLst>
        </xdr:cNvPr>
        <xdr:cNvCxnSpPr>
          <a:endCxn id="177" idx="5"/>
        </xdr:cNvCxnSpPr>
      </xdr:nvCxnSpPr>
      <xdr:spPr>
        <a:xfrm flipH="1" flipV="1">
          <a:off x="4719324" y="6392024"/>
          <a:ext cx="1287029" cy="757329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169971</xdr:colOff>
      <xdr:row>32</xdr:row>
      <xdr:rowOff>72805</xdr:rowOff>
    </xdr:from>
    <xdr:to>
      <xdr:col>6</xdr:col>
      <xdr:colOff>277282</xdr:colOff>
      <xdr:row>33</xdr:row>
      <xdr:rowOff>20846</xdr:rowOff>
    </xdr:to>
    <xdr:grpSp>
      <xdr:nvGrpSpPr>
        <xdr:cNvPr id="209" name="Group 208">
          <a:extLst>
            <a:ext uri="{FF2B5EF4-FFF2-40B4-BE49-F238E27FC236}">
              <a16:creationId xmlns:a16="http://schemas.microsoft.com/office/drawing/2014/main" id="{CC1AD78C-D9C4-4004-A2F1-73FEF3A499D5}"/>
            </a:ext>
          </a:extLst>
        </xdr:cNvPr>
        <xdr:cNvGrpSpPr/>
      </xdr:nvGrpSpPr>
      <xdr:grpSpPr>
        <a:xfrm>
          <a:off x="2088109" y="4977633"/>
          <a:ext cx="107311" cy="10131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11" name="Oval 210">
            <a:extLst>
              <a:ext uri="{FF2B5EF4-FFF2-40B4-BE49-F238E27FC236}">
                <a16:creationId xmlns:a16="http://schemas.microsoft.com/office/drawing/2014/main" id="{F2FE7D29-06B1-4418-8293-C24412496CE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2" name="Straight Connector 211">
            <a:extLst>
              <a:ext uri="{FF2B5EF4-FFF2-40B4-BE49-F238E27FC236}">
                <a16:creationId xmlns:a16="http://schemas.microsoft.com/office/drawing/2014/main" id="{3A57F339-08A5-4FEA-AC8A-20A98450EEF2}"/>
              </a:ext>
            </a:extLst>
          </xdr:cNvPr>
          <xdr:cNvCxnSpPr>
            <a:stCxn id="211" idx="1"/>
            <a:endCxn id="21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Straight Connector 213">
            <a:extLst>
              <a:ext uri="{FF2B5EF4-FFF2-40B4-BE49-F238E27FC236}">
                <a16:creationId xmlns:a16="http://schemas.microsoft.com/office/drawing/2014/main" id="{DAAE9902-CE5F-4B61-B9A2-3685C1F47EC3}"/>
              </a:ext>
            </a:extLst>
          </xdr:cNvPr>
          <xdr:cNvCxnSpPr>
            <a:stCxn id="211" idx="3"/>
            <a:endCxn id="21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206454</xdr:colOff>
      <xdr:row>33</xdr:row>
      <xdr:rowOff>118096</xdr:rowOff>
    </xdr:from>
    <xdr:to>
      <xdr:col>8</xdr:col>
      <xdr:colOff>117171</xdr:colOff>
      <xdr:row>35</xdr:row>
      <xdr:rowOff>30965</xdr:rowOff>
    </xdr:to>
    <xdr:sp macro="" textlink="">
      <xdr:nvSpPr>
        <xdr:cNvPr id="216" name="Rectangle 215">
          <a:extLst>
            <a:ext uri="{FF2B5EF4-FFF2-40B4-BE49-F238E27FC236}">
              <a16:creationId xmlns:a16="http://schemas.microsoft.com/office/drawing/2014/main" id="{6FF59309-84D0-460E-BA70-482AAC3981BB}"/>
            </a:ext>
          </a:extLst>
        </xdr:cNvPr>
        <xdr:cNvSpPr/>
      </xdr:nvSpPr>
      <xdr:spPr>
        <a:xfrm rot="2105229">
          <a:off x="2552219" y="5063625"/>
          <a:ext cx="314128" cy="211693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////</a:t>
          </a:r>
        </a:p>
      </xdr:txBody>
    </xdr:sp>
    <xdr:clientData/>
  </xdr:twoCellAnchor>
  <xdr:twoCellAnchor>
    <xdr:from>
      <xdr:col>4</xdr:col>
      <xdr:colOff>381266</xdr:colOff>
      <xdr:row>29</xdr:row>
      <xdr:rowOff>106142</xdr:rowOff>
    </xdr:from>
    <xdr:to>
      <xdr:col>5</xdr:col>
      <xdr:colOff>291982</xdr:colOff>
      <xdr:row>31</xdr:row>
      <xdr:rowOff>26482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33564C72-1BC4-4357-9AE9-0700306F2ECD}"/>
            </a:ext>
          </a:extLst>
        </xdr:cNvPr>
        <xdr:cNvSpPr/>
      </xdr:nvSpPr>
      <xdr:spPr>
        <a:xfrm rot="2105229">
          <a:off x="1516795" y="4461495"/>
          <a:ext cx="314128" cy="211693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////</a:t>
          </a:r>
        </a:p>
      </xdr:txBody>
    </xdr:sp>
    <xdr:clientData/>
  </xdr:twoCellAnchor>
  <xdr:twoCellAnchor>
    <xdr:from>
      <xdr:col>6</xdr:col>
      <xdr:colOff>253009</xdr:colOff>
      <xdr:row>26</xdr:row>
      <xdr:rowOff>18010</xdr:rowOff>
    </xdr:from>
    <xdr:to>
      <xdr:col>7</xdr:col>
      <xdr:colOff>38878</xdr:colOff>
      <xdr:row>28</xdr:row>
      <xdr:rowOff>42101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A6967A26-92FB-422A-BD92-402116BAC94E}"/>
            </a:ext>
          </a:extLst>
        </xdr:cNvPr>
        <xdr:cNvSpPr/>
      </xdr:nvSpPr>
      <xdr:spPr>
        <a:xfrm rot="6817746">
          <a:off x="2128546" y="3991944"/>
          <a:ext cx="322914" cy="18928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////</a:t>
          </a:r>
        </a:p>
      </xdr:txBody>
    </xdr:sp>
    <xdr:clientData/>
  </xdr:twoCellAnchor>
  <xdr:twoCellAnchor>
    <xdr:from>
      <xdr:col>6</xdr:col>
      <xdr:colOff>88836</xdr:colOff>
      <xdr:row>30</xdr:row>
      <xdr:rowOff>62397</xdr:rowOff>
    </xdr:from>
    <xdr:to>
      <xdr:col>6</xdr:col>
      <xdr:colOff>300529</xdr:colOff>
      <xdr:row>32</xdr:row>
      <xdr:rowOff>77701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747093A3-1858-495C-B7A5-10736C632E12}"/>
            </a:ext>
          </a:extLst>
        </xdr:cNvPr>
        <xdr:cNvSpPr/>
      </xdr:nvSpPr>
      <xdr:spPr>
        <a:xfrm rot="3988609">
          <a:off x="1979972" y="4610908"/>
          <a:ext cx="314128" cy="211693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////</a:t>
          </a:r>
        </a:p>
      </xdr:txBody>
    </xdr:sp>
    <xdr:clientData/>
  </xdr:twoCellAnchor>
  <xdr:twoCellAnchor>
    <xdr:from>
      <xdr:col>8</xdr:col>
      <xdr:colOff>205347</xdr:colOff>
      <xdr:row>19</xdr:row>
      <xdr:rowOff>77880</xdr:rowOff>
    </xdr:from>
    <xdr:to>
      <xdr:col>8</xdr:col>
      <xdr:colOff>391505</xdr:colOff>
      <xdr:row>21</xdr:row>
      <xdr:rowOff>140350</xdr:rowOff>
    </xdr:to>
    <xdr:sp macro="" textlink="">
      <xdr:nvSpPr>
        <xdr:cNvPr id="225" name="Rectangle 224">
          <a:extLst>
            <a:ext uri="{FF2B5EF4-FFF2-40B4-BE49-F238E27FC236}">
              <a16:creationId xmlns:a16="http://schemas.microsoft.com/office/drawing/2014/main" id="{DD701FBF-CAAB-455E-B7B8-8EC19615EDBE}"/>
            </a:ext>
          </a:extLst>
        </xdr:cNvPr>
        <xdr:cNvSpPr/>
      </xdr:nvSpPr>
      <xdr:spPr>
        <a:xfrm rot="3145055">
          <a:off x="2829087" y="3094691"/>
          <a:ext cx="369022" cy="186158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6</xdr:col>
      <xdr:colOff>252344</xdr:colOff>
      <xdr:row>15</xdr:row>
      <xdr:rowOff>120749</xdr:rowOff>
    </xdr:from>
    <xdr:to>
      <xdr:col>8</xdr:col>
      <xdr:colOff>54537</xdr:colOff>
      <xdr:row>18</xdr:row>
      <xdr:rowOff>104215</xdr:rowOff>
    </xdr:to>
    <xdr:sp macro="" textlink="">
      <xdr:nvSpPr>
        <xdr:cNvPr id="226" name="Rectangle 225">
          <a:extLst>
            <a:ext uri="{FF2B5EF4-FFF2-40B4-BE49-F238E27FC236}">
              <a16:creationId xmlns:a16="http://schemas.microsoft.com/office/drawing/2014/main" id="{AB4B09B8-D403-40CF-8533-DFB7DCC8BD6C}"/>
            </a:ext>
          </a:extLst>
        </xdr:cNvPr>
        <xdr:cNvSpPr/>
      </xdr:nvSpPr>
      <xdr:spPr>
        <a:xfrm>
          <a:off x="2194697" y="2384337"/>
          <a:ext cx="609016" cy="431702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K3-359/27/3</a:t>
          </a:r>
        </a:p>
        <a:p>
          <a:pPr algn="l"/>
          <a:r>
            <a:rPr lang="en-US" sz="600">
              <a:solidFill>
                <a:schemeClr val="tx1"/>
              </a:solidFill>
            </a:rPr>
            <a:t>1 C9-200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600" baseline="0">
              <a:solidFill>
                <a:schemeClr val="tx1"/>
              </a:solidFill>
            </a:rPr>
            <a:t>1CM2-12</a:t>
          </a:r>
          <a:endParaRPr lang="en-US" sz="6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320261</xdr:colOff>
      <xdr:row>41</xdr:row>
      <xdr:rowOff>16565</xdr:rowOff>
    </xdr:from>
    <xdr:to>
      <xdr:col>13</xdr:col>
      <xdr:colOff>12127</xdr:colOff>
      <xdr:row>41</xdr:row>
      <xdr:rowOff>79498</xdr:rowOff>
    </xdr:to>
    <xdr:sp macro="" textlink="">
      <xdr:nvSpPr>
        <xdr:cNvPr id="228" name="Isosceles Triangle 227">
          <a:extLst>
            <a:ext uri="{FF2B5EF4-FFF2-40B4-BE49-F238E27FC236}">
              <a16:creationId xmlns:a16="http://schemas.microsoft.com/office/drawing/2014/main" id="{875B3AC7-9F48-4315-8DF6-3D52C3728FCD}"/>
            </a:ext>
          </a:extLst>
        </xdr:cNvPr>
        <xdr:cNvSpPr/>
      </xdr:nvSpPr>
      <xdr:spPr>
        <a:xfrm>
          <a:off x="4616174" y="6366565"/>
          <a:ext cx="89431" cy="62933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351182</xdr:colOff>
      <xdr:row>41</xdr:row>
      <xdr:rowOff>19878</xdr:rowOff>
    </xdr:from>
    <xdr:to>
      <xdr:col>13</xdr:col>
      <xdr:colOff>43048</xdr:colOff>
      <xdr:row>41</xdr:row>
      <xdr:rowOff>82811</xdr:rowOff>
    </xdr:to>
    <xdr:sp macro="" textlink="">
      <xdr:nvSpPr>
        <xdr:cNvPr id="229" name="Isosceles Triangle 228">
          <a:extLst>
            <a:ext uri="{FF2B5EF4-FFF2-40B4-BE49-F238E27FC236}">
              <a16:creationId xmlns:a16="http://schemas.microsoft.com/office/drawing/2014/main" id="{1A3D302A-B01A-455A-A8C4-726855CDE7A2}"/>
            </a:ext>
          </a:extLst>
        </xdr:cNvPr>
        <xdr:cNvSpPr/>
      </xdr:nvSpPr>
      <xdr:spPr>
        <a:xfrm>
          <a:off x="4647095" y="6369878"/>
          <a:ext cx="89431" cy="62933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387626</xdr:colOff>
      <xdr:row>41</xdr:row>
      <xdr:rowOff>17669</xdr:rowOff>
    </xdr:from>
    <xdr:to>
      <xdr:col>13</xdr:col>
      <xdr:colOff>79492</xdr:colOff>
      <xdr:row>41</xdr:row>
      <xdr:rowOff>80602</xdr:rowOff>
    </xdr:to>
    <xdr:sp macro="" textlink="">
      <xdr:nvSpPr>
        <xdr:cNvPr id="230" name="Isosceles Triangle 229">
          <a:extLst>
            <a:ext uri="{FF2B5EF4-FFF2-40B4-BE49-F238E27FC236}">
              <a16:creationId xmlns:a16="http://schemas.microsoft.com/office/drawing/2014/main" id="{43A0CA09-5838-4169-92FE-D633D7F44DAD}"/>
            </a:ext>
          </a:extLst>
        </xdr:cNvPr>
        <xdr:cNvSpPr/>
      </xdr:nvSpPr>
      <xdr:spPr>
        <a:xfrm>
          <a:off x="4683539" y="6367669"/>
          <a:ext cx="89431" cy="62933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343834</xdr:colOff>
      <xdr:row>19</xdr:row>
      <xdr:rowOff>44820</xdr:rowOff>
    </xdr:from>
    <xdr:to>
      <xdr:col>9</xdr:col>
      <xdr:colOff>223345</xdr:colOff>
      <xdr:row>20</xdr:row>
      <xdr:rowOff>78830</xdr:rowOff>
    </xdr:to>
    <xdr:sp macro="" textlink="">
      <xdr:nvSpPr>
        <xdr:cNvPr id="235" name="Rectangle 234">
          <a:extLst>
            <a:ext uri="{FF2B5EF4-FFF2-40B4-BE49-F238E27FC236}">
              <a16:creationId xmlns:a16="http://schemas.microsoft.com/office/drawing/2014/main" id="{2C80D274-7D07-43FF-B875-77B260606EF8}"/>
            </a:ext>
          </a:extLst>
        </xdr:cNvPr>
        <xdr:cNvSpPr/>
      </xdr:nvSpPr>
      <xdr:spPr>
        <a:xfrm>
          <a:off x="3059006" y="2970199"/>
          <a:ext cx="278029" cy="187286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20</a:t>
          </a:r>
        </a:p>
      </xdr:txBody>
    </xdr:sp>
    <xdr:clientData/>
  </xdr:twoCellAnchor>
  <xdr:twoCellAnchor>
    <xdr:from>
      <xdr:col>10</xdr:col>
      <xdr:colOff>106475</xdr:colOff>
      <xdr:row>22</xdr:row>
      <xdr:rowOff>17668</xdr:rowOff>
    </xdr:from>
    <xdr:to>
      <xdr:col>10</xdr:col>
      <xdr:colOff>384504</xdr:colOff>
      <xdr:row>23</xdr:row>
      <xdr:rowOff>51678</xdr:rowOff>
    </xdr:to>
    <xdr:sp macro="" textlink="">
      <xdr:nvSpPr>
        <xdr:cNvPr id="236" name="Rectangle 235">
          <a:extLst>
            <a:ext uri="{FF2B5EF4-FFF2-40B4-BE49-F238E27FC236}">
              <a16:creationId xmlns:a16="http://schemas.microsoft.com/office/drawing/2014/main" id="{3F6B3376-C9A2-4970-96A2-9CD6788338DE}"/>
            </a:ext>
          </a:extLst>
        </xdr:cNvPr>
        <xdr:cNvSpPr/>
      </xdr:nvSpPr>
      <xdr:spPr>
        <a:xfrm>
          <a:off x="3618682" y="3402875"/>
          <a:ext cx="278029" cy="187286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42</a:t>
          </a:r>
        </a:p>
      </xdr:txBody>
    </xdr:sp>
    <xdr:clientData/>
  </xdr:twoCellAnchor>
  <xdr:twoCellAnchor>
    <xdr:from>
      <xdr:col>12</xdr:col>
      <xdr:colOff>387624</xdr:colOff>
      <xdr:row>37</xdr:row>
      <xdr:rowOff>49198</xdr:rowOff>
    </xdr:from>
    <xdr:to>
      <xdr:col>15</xdr:col>
      <xdr:colOff>52551</xdr:colOff>
      <xdr:row>40</xdr:row>
      <xdr:rowOff>87586</xdr:rowOff>
    </xdr:to>
    <xdr:sp macro="" textlink="">
      <xdr:nvSpPr>
        <xdr:cNvPr id="239" name="Rectangle 238">
          <a:extLst>
            <a:ext uri="{FF2B5EF4-FFF2-40B4-BE49-F238E27FC236}">
              <a16:creationId xmlns:a16="http://schemas.microsoft.com/office/drawing/2014/main" id="{B910130B-852D-4062-87FA-776933858B54}"/>
            </a:ext>
          </a:extLst>
        </xdr:cNvPr>
        <xdr:cNvSpPr/>
      </xdr:nvSpPr>
      <xdr:spPr>
        <a:xfrm>
          <a:off x="4696865" y="5724784"/>
          <a:ext cx="860479" cy="502595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K3-359/25</a:t>
          </a:r>
        </a:p>
        <a:p>
          <a:pPr algn="l"/>
          <a:r>
            <a:rPr lang="en-US" sz="600">
              <a:solidFill>
                <a:schemeClr val="tx1"/>
              </a:solidFill>
            </a:rPr>
            <a:t>1C12-200DAN</a:t>
          </a:r>
        </a:p>
        <a:p>
          <a:pPr algn="l"/>
          <a:r>
            <a:rPr lang="en-US" sz="600">
              <a:solidFill>
                <a:schemeClr val="tx1"/>
              </a:solidFill>
            </a:rPr>
            <a:t>1CC1-A</a:t>
          </a:r>
        </a:p>
        <a:p>
          <a:pPr algn="l"/>
          <a:r>
            <a:rPr lang="en-US" sz="600">
              <a:solidFill>
                <a:schemeClr val="tx1"/>
              </a:solidFill>
            </a:rPr>
            <a:t>1CG312A (50</a:t>
          </a:r>
          <a:r>
            <a:rPr lang="en-US" sz="600" baseline="0">
              <a:solidFill>
                <a:schemeClr val="tx1"/>
              </a:solidFill>
            </a:rPr>
            <a:t> KVA)</a:t>
          </a:r>
          <a:endParaRPr lang="en-US" sz="6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218966</xdr:colOff>
      <xdr:row>21</xdr:row>
      <xdr:rowOff>135759</xdr:rowOff>
    </xdr:from>
    <xdr:to>
      <xdr:col>8</xdr:col>
      <xdr:colOff>337872</xdr:colOff>
      <xdr:row>22</xdr:row>
      <xdr:rowOff>53279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D936DDB5-48A3-4665-957C-40033C26154E}"/>
            </a:ext>
          </a:extLst>
        </xdr:cNvPr>
        <xdr:cNvCxnSpPr>
          <a:cxnSpLocks/>
          <a:stCxn id="191" idx="2"/>
        </xdr:cNvCxnSpPr>
      </xdr:nvCxnSpPr>
      <xdr:spPr>
        <a:xfrm flipH="1" flipV="1">
          <a:off x="2934138" y="3367690"/>
          <a:ext cx="118906" cy="7079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209996</xdr:colOff>
      <xdr:row>25</xdr:row>
      <xdr:rowOff>39993</xdr:rowOff>
    </xdr:from>
    <xdr:to>
      <xdr:col>11</xdr:col>
      <xdr:colOff>318812</xdr:colOff>
      <xdr:row>25</xdr:row>
      <xdr:rowOff>134883</xdr:rowOff>
    </xdr:to>
    <xdr:grpSp>
      <xdr:nvGrpSpPr>
        <xdr:cNvPr id="181" name="Group 180">
          <a:extLst>
            <a:ext uri="{FF2B5EF4-FFF2-40B4-BE49-F238E27FC236}">
              <a16:creationId xmlns:a16="http://schemas.microsoft.com/office/drawing/2014/main" id="{49702B9C-B371-4163-92C1-50DFB1E3D011}"/>
            </a:ext>
          </a:extLst>
        </xdr:cNvPr>
        <xdr:cNvGrpSpPr/>
      </xdr:nvGrpSpPr>
      <xdr:grpSpPr>
        <a:xfrm>
          <a:off x="4120720" y="3885027"/>
          <a:ext cx="108816" cy="9489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2" name="Oval 181">
            <a:extLst>
              <a:ext uri="{FF2B5EF4-FFF2-40B4-BE49-F238E27FC236}">
                <a16:creationId xmlns:a16="http://schemas.microsoft.com/office/drawing/2014/main" id="{DA2F7BD6-A869-4251-A785-0D70CC86A18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3" name="Straight Connector 182">
            <a:extLst>
              <a:ext uri="{FF2B5EF4-FFF2-40B4-BE49-F238E27FC236}">
                <a16:creationId xmlns:a16="http://schemas.microsoft.com/office/drawing/2014/main" id="{9BBEB539-B690-4E0F-B9A1-DAB4E83CDDBA}"/>
              </a:ext>
            </a:extLst>
          </xdr:cNvPr>
          <xdr:cNvCxnSpPr>
            <a:stCxn id="182" idx="1"/>
            <a:endCxn id="18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79D5F941-8AE9-47D0-BDFA-D45D285C21FD}"/>
              </a:ext>
            </a:extLst>
          </xdr:cNvPr>
          <xdr:cNvCxnSpPr>
            <a:stCxn id="182" idx="3"/>
            <a:endCxn id="18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302876</xdr:colOff>
      <xdr:row>25</xdr:row>
      <xdr:rowOff>120987</xdr:rowOff>
    </xdr:from>
    <xdr:to>
      <xdr:col>12</xdr:col>
      <xdr:colOff>8759</xdr:colOff>
      <xdr:row>26</xdr:row>
      <xdr:rowOff>0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1B9EFDE3-2A3E-409E-B478-D25A356F11F7}"/>
            </a:ext>
          </a:extLst>
        </xdr:cNvPr>
        <xdr:cNvCxnSpPr>
          <a:cxnSpLocks/>
          <a:stCxn id="182" idx="5"/>
        </xdr:cNvCxnSpPr>
      </xdr:nvCxnSpPr>
      <xdr:spPr>
        <a:xfrm>
          <a:off x="4213600" y="3966021"/>
          <a:ext cx="104400" cy="3228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205003</xdr:colOff>
      <xdr:row>22</xdr:row>
      <xdr:rowOff>146540</xdr:rowOff>
    </xdr:from>
    <xdr:to>
      <xdr:col>10</xdr:col>
      <xdr:colOff>175508</xdr:colOff>
      <xdr:row>24</xdr:row>
      <xdr:rowOff>26146</xdr:rowOff>
    </xdr:to>
    <xdr:sp macro="" textlink="">
      <xdr:nvSpPr>
        <xdr:cNvPr id="186" name="Rectangle 185">
          <a:extLst>
            <a:ext uri="{FF2B5EF4-FFF2-40B4-BE49-F238E27FC236}">
              <a16:creationId xmlns:a16="http://schemas.microsoft.com/office/drawing/2014/main" id="{7675079A-3EBF-4EFD-A774-8D82F43A5E55}"/>
            </a:ext>
          </a:extLst>
        </xdr:cNvPr>
        <xdr:cNvSpPr/>
      </xdr:nvSpPr>
      <xdr:spPr>
        <a:xfrm rot="1333016">
          <a:off x="3318693" y="3531747"/>
          <a:ext cx="369022" cy="186158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11</xdr:col>
      <xdr:colOff>318812</xdr:colOff>
      <xdr:row>25</xdr:row>
      <xdr:rowOff>87438</xdr:rowOff>
    </xdr:from>
    <xdr:to>
      <xdr:col>12</xdr:col>
      <xdr:colOff>130207</xdr:colOff>
      <xdr:row>25</xdr:row>
      <xdr:rowOff>150792</xdr:rowOff>
    </xdr:to>
    <xdr:cxnSp macro="">
      <xdr:nvCxnSpPr>
        <xdr:cNvPr id="187" name="Straight Connector 186">
          <a:extLst>
            <a:ext uri="{FF2B5EF4-FFF2-40B4-BE49-F238E27FC236}">
              <a16:creationId xmlns:a16="http://schemas.microsoft.com/office/drawing/2014/main" id="{069AC17D-1E5C-4FB9-842F-D9708F8FCA73}"/>
            </a:ext>
          </a:extLst>
        </xdr:cNvPr>
        <xdr:cNvCxnSpPr>
          <a:stCxn id="199" idx="2"/>
          <a:endCxn id="182" idx="6"/>
        </xdr:cNvCxnSpPr>
      </xdr:nvCxnSpPr>
      <xdr:spPr>
        <a:xfrm flipH="1" flipV="1">
          <a:off x="4229536" y="3932472"/>
          <a:ext cx="209912" cy="63354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246527</xdr:colOff>
      <xdr:row>7</xdr:row>
      <xdr:rowOff>87781</xdr:rowOff>
    </xdr:from>
    <xdr:to>
      <xdr:col>19</xdr:col>
      <xdr:colOff>238124</xdr:colOff>
      <xdr:row>53</xdr:row>
      <xdr:rowOff>123278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155151-B63B-47C6-9ABA-3BC6A3B11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9277" y="1341906"/>
          <a:ext cx="9516597" cy="733799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ColWidth="9.1796875" defaultRowHeight="14.5"/>
  <cols>
    <col min="1" max="1" width="5.26953125" style="112" customWidth="1"/>
    <col min="2" max="2" width="5.1796875" style="113" customWidth="1"/>
    <col min="3" max="3" width="51.453125" style="139" customWidth="1"/>
    <col min="4" max="4" width="12.453125" style="139" customWidth="1"/>
    <col min="5" max="5" width="8.7265625" style="116" customWidth="1"/>
    <col min="6" max="6" width="12.54296875" style="116" customWidth="1"/>
    <col min="7" max="7" width="12.7265625" style="116" customWidth="1"/>
    <col min="8" max="8" width="20.7265625" style="117" hidden="1" customWidth="1"/>
    <col min="9" max="9" width="24.7265625" style="117" hidden="1" customWidth="1"/>
    <col min="10" max="10" width="45.7265625" style="117" hidden="1" customWidth="1"/>
    <col min="11" max="12" width="18.54296875" style="117" hidden="1" customWidth="1"/>
    <col min="13" max="16384" width="9.179687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9" t="s">
        <v>1134</v>
      </c>
      <c r="C4" s="529"/>
      <c r="D4" s="529"/>
      <c r="E4" s="529"/>
      <c r="F4" s="529"/>
      <c r="G4" s="529"/>
      <c r="H4" s="52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0" t="s">
        <v>0</v>
      </c>
      <c r="C7" s="530" t="s">
        <v>1</v>
      </c>
      <c r="D7" s="531" t="s">
        <v>42</v>
      </c>
      <c r="E7" s="531" t="s">
        <v>43</v>
      </c>
      <c r="F7" s="531" t="s">
        <v>1135</v>
      </c>
      <c r="G7" s="532" t="s">
        <v>41</v>
      </c>
      <c r="H7" s="528" t="s">
        <v>1042</v>
      </c>
      <c r="I7" s="528" t="s">
        <v>1137</v>
      </c>
      <c r="J7" s="528" t="s">
        <v>1026</v>
      </c>
      <c r="K7" s="522" t="s">
        <v>1024</v>
      </c>
      <c r="L7" s="523"/>
    </row>
    <row r="8" spans="1:12" ht="15" customHeight="1">
      <c r="B8" s="530"/>
      <c r="C8" s="530"/>
      <c r="D8" s="531"/>
      <c r="E8" s="531"/>
      <c r="F8" s="531"/>
      <c r="G8" s="532"/>
      <c r="H8" s="528"/>
      <c r="I8" s="528"/>
      <c r="J8" s="528"/>
      <c r="K8" s="524"/>
      <c r="L8" s="525"/>
    </row>
    <row r="9" spans="1:12" ht="15" customHeight="1">
      <c r="B9" s="530"/>
      <c r="C9" s="530"/>
      <c r="D9" s="531"/>
      <c r="E9" s="531"/>
      <c r="F9" s="531"/>
      <c r="G9" s="532"/>
      <c r="H9" s="528"/>
      <c r="I9" s="528"/>
      <c r="J9" s="528"/>
      <c r="K9" s="526"/>
      <c r="L9" s="52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29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10.6 kVA MCCB 16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3x70+1x70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62</v>
      </c>
      <c r="G14" s="41">
        <f ca="1">IF(ISERROR(OFFSET('HARGA SATUAN'!$I$6,MATCH(C14,'HARGA SATUAN'!$C$7:$C$1492,0),0)),"",OFFSET('HARGA SATUAN'!$I$6,MATCH(C14,'HARGA SATUAN'!$C$7:$C$1492,0),0))</f>
        <v>54500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 4 x 16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25</v>
      </c>
      <c r="G15" s="41">
        <f ca="1">IF(ISERROR(OFFSET('HARGA SATUAN'!$I$6,MATCH(C15,'HARGA SATUAN'!$C$7:$C$1492,0),0)),"",OFFSET('HARGA SATUAN'!$I$6,MATCH(C15,'HARGA SATUAN'!$C$7:$C$1492,0),0))</f>
        <v>13500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SUMIFS(RAB!$F$14:$F$86,RAB!$C$14:$C$86,C714)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SUMIFS(RAB!$F$14:$F$86,RAB!$C$14:$C$86,C715)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SUMIFS(RAB!$F$14:$F$86,RAB!$C$14:$C$86,C716)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SUMIFS(RAB!$F$14:$F$86,RAB!$C$14:$C$86,C717)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SUMIFS(RAB!$F$14:$F$86,RAB!$C$14:$C$86,C718)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SUMIFS(RAB!$F$14:$F$86,RAB!$C$14:$C$86,C719)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SUMIFS(RAB!$F$14:$F$86,RAB!$C$14:$C$86,C720)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SUMIFS(RAB!$F$14:$F$86,RAB!$C$14:$C$86,C721)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SUMIFS(RAB!$F$14:$F$86,RAB!$C$14:$C$86,C722)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SUMIFS(RAB!$F$14:$F$86,RAB!$C$14:$C$86,C723)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SUMIFS(RAB!$F$14:$F$86,RAB!$C$14:$C$86,C724)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SUMIFS(RAB!$F$14:$F$86,RAB!$C$14:$C$86,C725)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SUMIFS(RAB!$F$14:$F$86,RAB!$C$14:$C$86,C726)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SUMIFS(RAB!$F$14:$F$86,RAB!$C$14:$C$86,C727)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SUMIFS(RAB!$F$14:$F$86,RAB!$C$14:$C$86,C728)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SUMIFS(RAB!$F$14:$F$86,RAB!$C$14:$C$86,C729)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SUMIFS(RAB!$F$14:$F$86,RAB!$C$14:$C$86,C730)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SUMIFS(RAB!$F$14:$F$86,RAB!$C$14:$C$86,C731)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SUMIFS(RAB!$F$14:$F$86,RAB!$C$14:$C$86,C732)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SUMIFS(RAB!$F$14:$F$86,RAB!$C$14:$C$86,C733)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SUMIFS(RAB!$F$14:$F$86,RAB!$C$14:$C$86,C734)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SUMIFS(RAB!$F$14:$F$86,RAB!$C$14:$C$86,C735)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SUMIFS(RAB!$F$14:$F$86,RAB!$C$14:$C$86,C736)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SUMIFS(RAB!$F$14:$F$86,RAB!$C$14:$C$86,C737)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SUMIFS(RAB!$F$14:$F$86,RAB!$C$14:$C$86,C738)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SUMIFS(RAB!$F$14:$F$86,RAB!$C$14:$C$86,C739)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SUMIFS(RAB!$F$14:$F$86,RAB!$C$14:$C$86,C740)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SUMIFS(RAB!$F$14:$F$86,RAB!$C$14:$C$86,C741)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SUMIFS(RAB!$F$14:$F$86,RAB!$C$14:$C$86,C742)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SUMIFS(RAB!$F$14:$F$86,RAB!$C$14:$C$86,C743)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SUMIFS(RAB!$F$14:$F$86,RAB!$C$14:$C$86,C744)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SUMIFS(RAB!$F$14:$F$86,RAB!$C$14:$C$86,C745)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SUMIFS(RAB!$F$14:$F$86,RAB!$C$14:$C$86,C746)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SUMIFS(RAB!$F$14:$F$86,RAB!$C$14:$C$86,C747)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SUMIFS(RAB!$F$14:$F$86,RAB!$C$14:$C$86,C748)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SUMIFS(RAB!$F$14:$F$86,RAB!$C$14:$C$86,C749)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SUMIFS(RAB!$F$14:$F$86,RAB!$C$14:$C$86,C750)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SUMIFS(RAB!$F$14:$F$86,RAB!$C$14:$C$86,C751)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SUMIFS(RAB!$F$14:$F$86,RAB!$C$14:$C$86,C752)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SUMIFS(RAB!$F$14:$F$86,RAB!$C$14:$C$86,C753)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SUMIFS(RAB!$F$14:$F$86,RAB!$C$14:$C$86,C754)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SUMIFS(RAB!$F$14:$F$86,RAB!$C$14:$C$86,C755)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SUMIFS(RAB!$F$14:$F$86,RAB!$C$14:$C$86,C756)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SUMIFS(RAB!$F$14:$F$86,RAB!$C$14:$C$86,C757)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SUMIFS(RAB!$F$14:$F$86,RAB!$C$14:$C$86,C758)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SUMIFS(RAB!$F$14:$F$86,RAB!$C$14:$C$86,C759)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SUMIFS(RAB!$F$14:$F$86,RAB!$C$14:$C$86,C760)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SUMIFS(RAB!$F$14:$F$86,RAB!$C$14:$C$86,C761)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SUMIFS(RAB!$F$14:$F$86,RAB!$C$14:$C$86,C762)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SUMIFS(RAB!$F$14:$F$86,RAB!$C$14:$C$86,C763)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SUMIFS(RAB!$F$14:$F$86,RAB!$C$14:$C$86,C764)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SUMIFS(RAB!$F$14:$F$86,RAB!$C$14:$C$86,C765)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SUMIFS(RAB!$F$14:$F$86,RAB!$C$14:$C$86,C766)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SUMIFS(RAB!$F$14:$F$86,RAB!$C$14:$C$86,C767)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SUMIFS(RAB!$F$14:$F$86,RAB!$C$14:$C$86,C768)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SUMIFS(RAB!$F$14:$F$86,RAB!$C$14:$C$86,C769)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SUMIFS(RAB!$F$14:$F$86,RAB!$C$14:$C$86,C770)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SUMIFS(RAB!$F$14:$F$86,RAB!$C$14:$C$86,C771)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SUMIFS(RAB!$F$14:$F$86,RAB!$C$14:$C$86,C772)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SUMIFS(RAB!$F$14:$F$86,RAB!$C$14:$C$86,C773)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SUMIFS(RAB!$F$14:$F$86,RAB!$C$14:$C$86,C774)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SUMIFS(RAB!$F$14:$F$86,RAB!$C$14:$C$86,C775)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SUMIFS(RAB!$F$14:$F$86,RAB!$C$14:$C$86,C776)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SUMIFS(RAB!$F$14:$F$86,RAB!$C$14:$C$86,C777)</f>
        <v>1</v>
      </c>
      <c r="E777" s="26">
        <f t="shared" ca="1" si="33"/>
        <v>1</v>
      </c>
      <c r="F777" s="26">
        <f ca="1">IF(D777=0,0,SUM($E$713:E777))</f>
        <v>2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SUMIFS(RAB!$F$14:$F$86,RAB!$C$14:$C$86,C778)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SUMIFS(RAB!$F$14:$F$86,RAB!$C$14:$C$86,C779)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SUMIFS(RAB!$F$14:$F$86,RAB!$C$14:$C$86,C780)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SUMIFS(RAB!$F$14:$F$86,RAB!$C$14:$C$86,C781)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SUMIFS(RAB!$F$14:$F$86,RAB!$C$14:$C$86,C782)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SUMIFS(RAB!$F$14:$F$86,RAB!$C$14:$C$86,C783)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SUMIFS(RAB!$F$14:$F$86,RAB!$C$14:$C$86,C784)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SUMIFS(RAB!$F$14:$F$86,RAB!$C$14:$C$86,C785)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SUMIFS(RAB!$F$14:$F$86,RAB!$C$14:$C$86,C786)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SUMIFS(RAB!$F$14:$F$86,RAB!$C$14:$C$86,C787)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SUMIFS(RAB!$F$14:$F$86,RAB!$C$14:$C$86,C788)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SUMIFS(RAB!$F$14:$F$86,RAB!$C$14:$C$86,C789)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SUMIFS(RAB!$F$14:$F$86,RAB!$C$14:$C$86,C790)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SUMIFS(RAB!$F$14:$F$86,RAB!$C$14:$C$86,C791)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SUMIFS(RAB!$F$14:$F$86,RAB!$C$14:$C$86,C792)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SUMIFS(RAB!$F$14:$F$86,RAB!$C$14:$C$86,C793)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SUMIFS(RAB!$F$14:$F$86,RAB!$C$14:$C$86,C794)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SUMIFS(RAB!$F$14:$F$86,RAB!$C$14:$C$86,C795)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SUMIFS(RAB!$F$14:$F$86,RAB!$C$14:$C$86,C796)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SUMIFS(RAB!$F$14:$F$86,RAB!$C$14:$C$86,C797)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SUMIFS(RAB!$F$14:$F$86,RAB!$C$14:$C$86,C798)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SUMIFS(RAB!$F$14:$F$86,RAB!$C$14:$C$86,C799)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SUMIFS(RAB!$F$14:$F$86,RAB!$C$14:$C$86,C800)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SUMIFS(RAB!$F$14:$F$86,RAB!$C$14:$C$86,C801)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SUMIFS(RAB!$F$14:$F$86,RAB!$C$14:$C$86,C802)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SUMIFS(RAB!$F$14:$F$86,RAB!$C$14:$C$86,C803)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SUMIFS(RAB!$F$14:$F$86,RAB!$C$14:$C$86,C804)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SUMIFS(RAB!$F$14:$F$86,RAB!$C$14:$C$86,C805)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SUMIFS(RAB!$F$14:$F$86,RAB!$C$14:$C$86,C806)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SUMIFS(RAB!$F$14:$F$86,RAB!$C$14:$C$86,C807)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SUMIFS(RAB!$F$14:$F$86,RAB!$C$14:$C$86,C808)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SUMIFS(RAB!$F$14:$F$86,RAB!$C$14:$C$86,C809)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SUMIFS(RAB!$F$14:$F$86,RAB!$C$14:$C$86,C810)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SUMIFS(RAB!$F$14:$F$86,RAB!$C$14:$C$86,C811)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SUMIFS(RAB!$F$14:$F$86,RAB!$C$14:$C$86,C812)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SUMIFS(RAB!$F$14:$F$86,RAB!$C$14:$C$86,C813)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SUMIFS(RAB!$F$14:$F$86,RAB!$C$14:$C$86,C814)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SUMIFS(RAB!$F$14:$F$86,RAB!$C$14:$C$86,C815)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SUMIFS(RAB!$F$14:$F$86,RAB!$C$14:$C$86,C816)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SUMIFS(RAB!$F$14:$F$86,RAB!$C$14:$C$86,C817)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SUMIFS(RAB!$F$14:$F$86,RAB!$C$14:$C$86,C818)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SUMIFS(RAB!$F$14:$F$86,RAB!$C$14:$C$86,C819)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SUMIFS(RAB!$F$14:$F$86,RAB!$C$14:$C$86,C820)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SUMIFS(RAB!$F$14:$F$86,RAB!$C$14:$C$86,C821)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SUMIFS(RAB!$F$14:$F$86,RAB!$C$14:$C$86,C822)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SUMIFS(RAB!$F$14:$F$86,RAB!$C$14:$C$86,C823)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SUMIFS(RAB!$F$14:$F$86,RAB!$C$14:$C$86,C824)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SUMIFS(RAB!$F$14:$F$86,RAB!$C$14:$C$86,C825)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SUMIFS(RAB!$F$14:$F$86,RAB!$C$14:$C$86,C826)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SUMIFS(RAB!$F$14:$F$86,RAB!$C$14:$C$86,C827)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SUMIFS(RAB!$F$14:$F$86,RAB!$C$14:$C$86,C828)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SUMIFS(RAB!$F$14:$F$86,RAB!$C$14:$C$86,C829)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SUMIFS(RAB!$F$14:$F$86,RAB!$C$14:$C$86,C830)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SUMIFS(RAB!$F$14:$F$86,RAB!$C$14:$C$86,C831)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SUMIFS(RAB!$F$14:$F$86,RAB!$C$14:$C$86,C832)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SUMIFS(RAB!$F$14:$F$86,RAB!$C$14:$C$86,C833)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SUMIFS(RAB!$F$14:$F$86,RAB!$C$14:$C$86,C834)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SUMIFS(RAB!$F$14:$F$86,RAB!$C$14:$C$86,C835)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SUMIFS(RAB!$F$14:$F$86,RAB!$C$14:$C$86,C836)</f>
        <v>62</v>
      </c>
      <c r="E836" s="26">
        <f t="shared" ca="1" si="34"/>
        <v>1</v>
      </c>
      <c r="F836" s="26">
        <f ca="1">IF(D836=0,0,SUM($E$713:E836))</f>
        <v>3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SUMIFS(RAB!$F$14:$F$86,RAB!$C$14:$C$86,C837)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SUMIFS(RAB!$F$14:$F$86,RAB!$C$14:$C$86,C838)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SUMIFS(RAB!$F$14:$F$86,RAB!$C$14:$C$86,C839)</f>
        <v>25</v>
      </c>
      <c r="E839" s="26">
        <f t="shared" ca="1" si="34"/>
        <v>1</v>
      </c>
      <c r="F839" s="26">
        <f ca="1">IF(D839=0,0,SUM($E$713:E839))</f>
        <v>4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SUMIFS(RAB!$F$14:$F$86,RAB!$C$14:$C$86,C840)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SUMIFS(RAB!$F$14:$F$86,RAB!$C$14:$C$86,C841)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SUMIFS(RAB!$F$14:$F$86,RAB!$C$14:$C$86,C842)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SUMIFS(RAB!$F$14:$F$86,RAB!$C$14:$C$86,C843)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SUMIFS(RAB!$F$14:$F$86,RAB!$C$14:$C$86,C844)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SUMIFS(RAB!$F$14:$F$86,RAB!$C$14:$C$86,C845)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SUMIFS(RAB!$F$14:$F$86,RAB!$C$14:$C$86,C846)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SUMIFS(RAB!$F$14:$F$86,RAB!$C$14:$C$86,C847)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SUMIFS(RAB!$F$14:$F$86,RAB!$C$14:$C$86,C848)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SUMIFS(RAB!$F$14:$F$86,RAB!$C$14:$C$86,C849)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SUMIFS(RAB!$F$14:$F$86,RAB!$C$14:$C$86,C850)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SUMIFS(RAB!$F$14:$F$86,RAB!$C$14:$C$86,C851)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SUMIFS(RAB!$F$14:$F$86,RAB!$C$14:$C$86,C852)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SUMIFS(RAB!$F$14:$F$86,RAB!$C$14:$C$86,C853)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SUMIFS(RAB!$F$14:$F$86,RAB!$C$14:$C$86,C854)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SUMIFS(RAB!$F$14:$F$86,RAB!$C$14:$C$86,C855)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SUMIFS(RAB!$F$14:$F$86,RAB!$C$14:$C$86,C856)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SUMIFS(RAB!$F$14:$F$86,RAB!$C$14:$C$86,C857)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SUMIFS(RAB!$F$14:$F$86,RAB!$C$14:$C$86,C858)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SUMIFS(RAB!$F$14:$F$86,RAB!$C$14:$C$86,C859)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SUMIFS(RAB!$F$14:$F$86,RAB!$C$14:$C$86,C860)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SUMIFS(RAB!$F$14:$F$86,RAB!$C$14:$C$86,C861)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SUMIFS(RAB!$F$14:$F$86,RAB!$C$14:$C$86,C862)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SUMIFS(RAB!$F$14:$F$86,RAB!$C$14:$C$86,C863)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SUMIFS(RAB!$F$14:$F$86,RAB!$C$14:$C$86,C864)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SUMIFS(RAB!$F$14:$F$86,RAB!$C$14:$C$86,C865)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SUMIFS(RAB!$F$14:$F$86,RAB!$C$14:$C$86,C866)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SUMIFS(RAB!$F$14:$F$86,RAB!$C$14:$C$86,C867)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SUMIFS(RAB!$F$14:$F$86,RAB!$C$14:$C$86,C868)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SUMIFS(RAB!$F$14:$F$86,RAB!$C$14:$C$86,C869)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SUMIFS(RAB!$F$14:$F$86,RAB!$C$14:$C$86,C870)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SUMIFS(RAB!$F$14:$F$86,RAB!$C$14:$C$86,C871)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SUMIFS(RAB!$F$14:$F$86,RAB!$C$14:$C$86,C872)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SUMIFS(RAB!$F$14:$F$86,RAB!$C$14:$C$86,C873)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SUMIFS(RAB!$F$14:$F$86,RAB!$C$14:$C$86,C874)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SUMIFS(RAB!$F$14:$F$86,RAB!$C$14:$C$86,C875)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SUMIFS(RAB!$F$14:$F$86,RAB!$C$14:$C$86,C876)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SUMIFS(RAB!$F$14:$F$86,RAB!$C$14:$C$86,C877)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SUMIFS(RAB!$F$14:$F$86,RAB!$C$14:$C$86,C878)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SUMIFS(RAB!$F$14:$F$86,RAB!$C$14:$C$86,C879)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SUMIFS(RAB!$F$14:$F$86,RAB!$C$14:$C$86,C880)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SUMIFS(RAB!$F$14:$F$86,RAB!$C$14:$C$86,C881)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SUMIFS(RAB!$F$14:$F$86,RAB!$C$14:$C$86,C882)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SUMIFS(RAB!$F$14:$F$86,RAB!$C$14:$C$86,C883)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SUMIFS(RAB!$F$14:$F$86,RAB!$C$14:$C$86,C884)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SUMIFS(RAB!$F$14:$F$86,RAB!$C$14:$C$86,C885)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SUMIFS(RAB!$F$14:$F$86,RAB!$C$14:$C$86,C886)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SUMIFS(RAB!$F$14:$F$86,RAB!$C$14:$C$86,C887)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SUMIFS(RAB!$F$14:$F$86,RAB!$C$14:$C$86,C888)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SUMIFS(RAB!$F$14:$F$86,RAB!$C$14:$C$86,C889)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SUMIFS(RAB!$F$14:$F$86,RAB!$C$14:$C$86,C890)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SUMIFS(RAB!$F$14:$F$86,RAB!$C$14:$C$86,C891)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SUMIFS(RAB!$F$14:$F$86,RAB!$C$14:$C$86,C892)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SUMIFS(RAB!$F$14:$F$86,RAB!$C$14:$C$86,C893)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SUMIFS(RAB!$F$14:$F$86,RAB!$C$14:$C$86,C894)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SUMIFS(RAB!$F$14:$F$86,RAB!$C$14:$C$86,C895)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SUMIFS(RAB!$F$14:$F$86,RAB!$C$14:$C$86,C896)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SUMIFS(RAB!$F$14:$F$86,RAB!$C$14:$C$86,C897)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SUMIFS(RAB!$F$14:$F$86,RAB!$C$14:$C$86,C898)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SUMIFS(RAB!$F$14:$F$86,RAB!$C$14:$C$86,C899)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SUMIFS(RAB!$F$14:$F$86,RAB!$C$14:$C$86,C900)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SUMIFS(RAB!$F$14:$F$86,RAB!$C$14:$C$86,C901)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SUMIFS(RAB!$F$14:$F$86,RAB!$C$14:$C$86,C902)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SUMIFS(RAB!$F$14:$F$86,RAB!$C$14:$C$86,C903)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SUMIFS(RAB!$F$14:$F$86,RAB!$C$14:$C$86,C904)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SUMIFS(RAB!$F$14:$F$86,RAB!$C$14:$C$86,C905)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SUMIFS(RAB!$F$14:$F$86,RAB!$C$14:$C$86,C906)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SUMIFS(RAB!$F$14:$F$86,RAB!$C$14:$C$86,C907)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SUMIFS(RAB!$F$14:$F$86,RAB!$C$14:$C$86,C908)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SUMIFS(RAB!$F$14:$F$86,RAB!$C$14:$C$86,C909)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SUMIFS(RAB!$F$14:$F$86,RAB!$C$14:$C$86,C910)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SUMIFS(RAB!$F$14:$F$86,RAB!$C$14:$C$86,C911)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SUMIFS(RAB!$F$14:$F$86,RAB!$C$14:$C$86,C912)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SUMIFS(RAB!$F$14:$F$86,RAB!$C$14:$C$86,C913)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SUMIFS(RAB!$F$14:$F$86,RAB!$C$14:$C$86,C914)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SUMIFS(RAB!$F$14:$F$86,RAB!$C$14:$C$86,C915)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SUMIFS(RAB!$F$14:$F$86,RAB!$C$14:$C$86,C916)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SUMIFS(RAB!$F$14:$F$86,RAB!$C$14:$C$86,C917)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SUMIFS(RAB!$F$14:$F$86,RAB!$C$14:$C$86,C918)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SUMIFS(RAB!$F$14:$F$86,RAB!$C$14:$C$86,C919)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SUMIFS(RAB!$F$14:$F$86,RAB!$C$14:$C$86,C920)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SUMIFS(RAB!$F$14:$F$86,RAB!$C$14:$C$86,C921)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SUMIFS(RAB!$F$14:$F$86,RAB!$C$14:$C$86,C922)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SUMIFS(RAB!$F$14:$F$86,RAB!$C$14:$C$86,C923)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SUMIFS(RAB!$F$14:$F$86,RAB!$C$14:$C$86,C924)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SUMIFS(RAB!$F$14:$F$86,RAB!$C$14:$C$86,C925)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SUMIFS(RAB!$F$14:$F$86,RAB!$C$14:$C$86,C926)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SUMIFS(RAB!$F$14:$F$86,RAB!$C$14:$C$86,C927)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SUMIFS(RAB!$F$14:$F$86,RAB!$C$14:$C$86,C928)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SUMIFS(RAB!$F$14:$F$86,RAB!$C$14:$C$86,C929)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SUMIFS(RAB!$F$14:$F$86,RAB!$C$14:$C$86,C930)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SUMIFS(RAB!$F$14:$F$86,RAB!$C$14:$C$86,C931)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SUMIFS(RAB!$F$14:$F$86,RAB!$C$14:$C$86,C932)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SUMIFS(RAB!$F$14:$F$86,RAB!$C$14:$C$86,C933)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SUMIFS(RAB!$F$14:$F$86,RAB!$C$14:$C$86,C934)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SUMIFS(RAB!$F$14:$F$86,RAB!$C$14:$C$86,C935)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SUMIFS(RAB!$F$14:$F$86,RAB!$C$14:$C$86,C936)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SUMIFS(RAB!$F$14:$F$86,RAB!$C$14:$C$86,C937)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SUMIFS(RAB!$F$14:$F$86,RAB!$C$14:$C$86,C938)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SUMIFS(RAB!$F$14:$F$86,RAB!$C$14:$C$86,C939)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SUMIFS(RAB!$F$14:$F$86,RAB!$C$14:$C$86,C940)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SUMIFS(RAB!$F$14:$F$86,RAB!$C$14:$C$86,C941)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SUMIFS(RAB!$F$14:$F$86,RAB!$C$14:$C$86,C942)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SUMIFS(RAB!$F$14:$F$86,RAB!$C$14:$C$86,C943)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SUMIFS(RAB!$F$14:$F$86,RAB!$C$14:$C$86,C944)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SUMIFS(RAB!$F$14:$F$86,RAB!$C$14:$C$86,C945)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SUMIFS(RAB!$F$14:$F$86,RAB!$C$14:$C$86,C946)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SUMIFS(RAB!$F$14:$F$86,RAB!$C$14:$C$86,C947)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SUMIFS(RAB!$F$14:$F$86,RAB!$C$14:$C$86,C948)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SUMIFS(RAB!$F$14:$F$86,RAB!$C$14:$C$86,C949)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SUMIFS(RAB!$F$14:$F$86,RAB!$C$14:$C$86,C950)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SUMIFS(RAB!$F$14:$F$86,RAB!$C$14:$C$86,C951)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SUMIFS(RAB!$F$14:$F$86,RAB!$C$14:$C$86,C952)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SUMIFS(RAB!$F$14:$F$86,RAB!$C$14:$C$86,C953)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SUMIFS(RAB!$F$14:$F$86,RAB!$C$14:$C$86,C954)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SUMIFS(RAB!$F$14:$F$86,RAB!$C$14:$C$86,C955)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SUMIFS(RAB!$F$14:$F$86,RAB!$C$14:$C$86,C956)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SUMIFS(RAB!$F$14:$F$86,RAB!$C$14:$C$86,C957)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SUMIFS(RAB!$F$14:$F$86,RAB!$C$14:$C$86,C958)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SUMIFS(RAB!$F$14:$F$86,RAB!$C$14:$C$86,C959)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SUMIFS(RAB!$F$14:$F$86,RAB!$C$14:$C$86,C960)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SUMIFS(RAB!$F$14:$F$86,RAB!$C$14:$C$86,C961)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SUMIFS(RAB!$F$14:$F$86,RAB!$C$14:$C$86,C962)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SUMIFS(RAB!$F$14:$F$86,RAB!$C$14:$C$86,C963)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SUMIFS(RAB!$F$14:$F$86,RAB!$C$14:$C$86,C964)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SUMIFS(RAB!$F$14:$F$86,RAB!$C$14:$C$86,C965)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SUMIFS(RAB!$F$14:$F$86,RAB!$C$14:$C$86,C966)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SUMIFS(RAB!$F$14:$F$86,RAB!$C$14:$C$86,C967)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SUMIFS(RAB!$F$14:$F$86,RAB!$C$14:$C$86,C968)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SUMIFS(RAB!$F$14:$F$86,RAB!$C$14:$C$86,C969)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SUMIFS(RAB!$F$14:$F$86,RAB!$C$14:$C$86,C970)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SUMIFS(RAB!$F$14:$F$86,RAB!$C$14:$C$86,C971)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SUMIFS(RAB!$F$14:$F$86,RAB!$C$14:$C$86,C972)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SUMIFS(RAB!$F$14:$F$86,RAB!$C$14:$C$86,C973)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SUMIFS(RAB!$F$14:$F$86,RAB!$C$14:$C$86,C974)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SUMIFS(RAB!$F$14:$F$86,RAB!$C$14:$C$86,C975)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SUMIFS(RAB!$F$14:$F$86,RAB!$C$14:$C$86,C976)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SUMIFS(RAB!$F$14:$F$86,RAB!$C$14:$C$86,C977)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SUMIFS(RAB!$F$14:$F$86,RAB!$C$14:$C$86,C978)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SUMIFS(RAB!$F$14:$F$86,RAB!$C$14:$C$86,C979)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SUMIFS(RAB!$F$14:$F$86,RAB!$C$14:$C$86,C980)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SUMIFS(RAB!$F$14:$F$86,RAB!$C$14:$C$86,C981)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SUMIFS(RAB!$F$14:$F$86,RAB!$C$14:$C$86,C982)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SUMIFS(RAB!$F$14:$F$86,RAB!$C$14:$C$86,C983)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SUMIFS(RAB!$F$14:$F$86,RAB!$C$14:$C$86,C984)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SUMIFS(RAB!$F$14:$F$86,RAB!$C$14:$C$86,C985)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SUMIFS(RAB!$F$14:$F$86,RAB!$C$14:$C$86,C986)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SUMIFS(RAB!$F$14:$F$86,RAB!$C$14:$C$86,C987)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SUMIFS(RAB!$F$14:$F$86,RAB!$C$14:$C$86,C988)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SUMIFS(RAB!$F$14:$F$86,RAB!$C$14:$C$86,C989)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SUMIFS(RAB!$F$14:$F$86,RAB!$C$14:$C$86,C990)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SUMIFS(RAB!$F$14:$F$86,RAB!$C$14:$C$86,C991)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SUMIFS(RAB!$F$14:$F$86,RAB!$C$14:$C$86,C992)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SUMIFS(RAB!$F$14:$F$86,RAB!$C$14:$C$86,C993)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SUMIFS(RAB!$F$14:$F$86,RAB!$C$14:$C$86,C994)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SUMIFS(RAB!$F$14:$F$86,RAB!$C$14:$C$86,C995)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SUMIFS(RAB!$F$14:$F$86,RAB!$C$14:$C$86,C996)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SUMIFS(RAB!$F$14:$F$86,RAB!$C$14:$C$86,C997)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SUMIFS(RAB!$F$14:$F$86,RAB!$C$14:$C$86,C998)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SUMIFS(RAB!$F$14:$F$86,RAB!$C$14:$C$86,C999)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SUMIFS(RAB!$F$14:$F$86,RAB!$C$14:$C$86,C1000)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SUMIFS(RAB!$F$14:$F$86,RAB!$C$14:$C$86,C1001)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SUMIFS(RAB!$F$14:$F$86,RAB!$C$14:$C$86,C1002)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SUMIFS(RAB!$F$14:$F$86,RAB!$C$14:$C$86,C1003)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SUMIFS(RAB!$F$14:$F$86,RAB!$C$14:$C$86,C1004)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SUMIFS(RAB!$F$14:$F$86,RAB!$C$14:$C$86,C1005)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SUMIFS(RAB!$F$14:$F$86,RAB!$C$14:$C$86,C1006)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SUMIFS(RAB!$F$14:$F$86,RAB!$C$14:$C$86,C1007)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SUMIFS(RAB!$F$14:$F$86,RAB!$C$14:$C$86,C1008)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SUMIFS(RAB!$F$14:$F$86,RAB!$C$14:$C$86,C1009)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SUMIFS(RAB!$F$14:$F$86,RAB!$C$14:$C$86,C1010)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SUMIFS(RAB!$F$14:$F$86,RAB!$C$14:$C$86,C1011)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SUMIFS(RAB!$F$14:$F$86,RAB!$C$14:$C$86,C1012)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SUMIFS(RAB!$F$14:$F$86,RAB!$C$14:$C$86,C1013)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SUMIFS(RAB!$F$14:$F$86,RAB!$C$14:$C$86,C1014)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SUMIFS(RAB!$F$14:$F$86,RAB!$C$14:$C$86,C1015)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SUMIFS(RAB!$F$14:$F$86,RAB!$C$14:$C$86,C1016)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SUMIFS(RAB!$F$14:$F$86,RAB!$C$14:$C$86,C1017)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SUMIFS(RAB!$F$14:$F$86,RAB!$C$14:$C$86,C1018)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SUMIFS(RAB!$F$14:$F$86,RAB!$C$14:$C$86,C1019)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SUMIFS(RAB!$F$14:$F$86,RAB!$C$14:$C$86,C1020)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SUMIFS(RAB!$F$14:$F$86,RAB!$C$14:$C$86,C1021)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SUMIFS(RAB!$F$14:$F$86,RAB!$C$14:$C$86,C1022)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SUMIFS(RAB!$F$14:$F$86,RAB!$C$14:$C$86,C1023)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SUMIFS(RAB!$F$14:$F$86,RAB!$C$14:$C$86,C1024)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SUMIFS(RAB!$F$14:$F$86,RAB!$C$14:$C$86,C1025)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SUMIFS(RAB!$F$14:$F$86,RAB!$C$14:$C$86,C1026)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SUMIFS(RAB!$F$14:$F$86,RAB!$C$14:$C$86,C1027)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SUMIFS(RAB!$F$14:$F$86,RAB!$C$14:$C$86,C1028)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SUMIFS(RAB!$F$14:$F$86,RAB!$C$14:$C$86,C1029)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SUMIFS(RAB!$F$14:$F$86,RAB!$C$14:$C$86,C1030)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SUMIFS(RAB!$F$14:$F$86,RAB!$C$14:$C$86,C1031)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SUMIFS(RAB!$F$14:$F$86,RAB!$C$14:$C$86,C1032)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SUMIFS(RAB!$F$14:$F$86,RAB!$C$14:$C$86,C1033)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SUMIFS(RAB!$F$14:$F$86,RAB!$C$14:$C$86,C1034)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SUMIFS(RAB!$F$14:$F$86,RAB!$C$14:$C$86,C1035)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SUMIFS(RAB!$F$14:$F$86,RAB!$C$14:$C$86,C1036)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SUMIFS(RAB!$F$14:$F$86,RAB!$C$14:$C$86,C1037)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SUMIFS(RAB!$F$14:$F$86,RAB!$C$14:$C$86,C1038)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SUMIFS(RAB!$F$14:$F$86,RAB!$C$14:$C$86,C1039)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SUMIFS(RAB!$F$14:$F$86,RAB!$C$14:$C$86,C1040)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SUMIFS(RAB!$F$14:$F$86,RAB!$C$14:$C$86,C1041)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SUMIFS(RAB!$F$14:$F$86,RAB!$C$14:$C$86,C1042)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SUMIFS(RAB!$F$14:$F$86,RAB!$C$14:$C$86,C1043)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SUMIFS(RAB!$F$14:$F$86,RAB!$C$14:$C$86,C1044)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SUMIFS(RAB!$F$14:$F$86,RAB!$C$14:$C$86,C1045)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SUMIFS(RAB!$F$14:$F$86,RAB!$C$14:$C$86,C1046)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SUMIFS(RAB!$F$14:$F$86,RAB!$C$14:$C$86,C1047)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SUMIFS(RAB!$F$14:$F$86,RAB!$C$14:$C$86,C1048)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SUMIFS(RAB!$F$14:$F$86,RAB!$C$14:$C$86,C1049)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SUMIFS(RAB!$F$14:$F$86,RAB!$C$14:$C$86,C1050)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SUMIFS(RAB!$F$14:$F$86,RAB!$C$14:$C$86,C1051)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SUMIFS(RAB!$F$14:$F$86,RAB!$C$14:$C$86,C1052)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SUMIFS(RAB!$F$14:$F$86,RAB!$C$14:$C$86,C1053)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SUMIFS(RAB!$F$14:$F$86,RAB!$C$14:$C$86,C1054)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SUMIFS(RAB!$F$14:$F$86,RAB!$C$14:$C$86,C1055)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SUMIFS(RAB!$F$14:$F$86,RAB!$C$14:$C$86,C1056)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SUMIFS(RAB!$F$14:$F$86,RAB!$C$14:$C$86,C1057)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SUMIFS(RAB!$F$14:$F$86,RAB!$C$14:$C$86,C1058)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SUMIFS(RAB!$F$14:$F$86,RAB!$C$14:$C$86,C1059)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SUMIFS(RAB!$F$14:$F$86,RAB!$C$14:$C$86,C1060)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SUMIFS(RAB!$F$14:$F$86,RAB!$C$14:$C$86,C1061)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SUMIFS(RAB!$F$14:$F$86,RAB!$C$14:$C$86,C1062)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SUMIFS(RAB!$F$14:$F$86,RAB!$C$14:$C$86,C1063)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SUMIFS(RAB!$F$14:$F$86,RAB!$C$14:$C$86,C1064)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SUMIFS(RAB!$F$14:$F$86,RAB!$C$14:$C$86,C1065)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SUMIFS(RAB!$F$14:$F$86,RAB!$C$14:$C$86,C1066)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SUMIFS(RAB!$F$14:$F$86,RAB!$C$14:$C$86,C1067)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SUMIFS(RAB!$F$14:$F$86,RAB!$C$14:$C$86,C1068)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SUMIFS(RAB!$F$14:$F$86,RAB!$C$14:$C$86,C1069)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SUMIFS(RAB!$F$14:$F$86,RAB!$C$14:$C$86,C1070)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SUMIFS(RAB!$F$14:$F$86,RAB!$C$14:$C$86,C1071)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SUMIFS(RAB!$F$14:$F$86,RAB!$C$14:$C$86,C1072)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SUMIFS(RAB!$F$14:$F$86,RAB!$C$14:$C$86,C1073)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SUMIFS(RAB!$F$14:$F$86,RAB!$C$14:$C$86,C1074)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SUMIFS(RAB!$F$14:$F$86,RAB!$C$14:$C$86,C1075)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SUMIFS(RAB!$F$14:$F$86,RAB!$C$14:$C$86,C1076)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SUMIFS(RAB!$F$14:$F$86,RAB!$C$14:$C$86,C1077)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SUMIFS(RAB!$F$14:$F$86,RAB!$C$14:$C$86,C1078)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SUMIFS(RAB!$F$14:$F$86,RAB!$C$14:$C$86,C1079)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SUMIFS(RAB!$F$14:$F$86,RAB!$C$14:$C$86,C1080)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SUMIFS(RAB!$F$14:$F$86,RAB!$C$14:$C$86,C1081)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SUMIFS(RAB!$F$14:$F$86,RAB!$C$14:$C$86,C1082)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SUMIFS(RAB!$F$14:$F$86,RAB!$C$14:$C$86,C1083)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SUMIFS(RAB!$F$14:$F$86,RAB!$C$14:$C$86,C1084)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SUMIFS(RAB!$F$14:$F$86,RAB!$C$14:$C$86,C1085)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SUMIFS(RAB!$F$14:$F$86,RAB!$C$14:$C$86,C1086)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SUMIFS(RAB!$F$14:$F$86,RAB!$C$14:$C$86,C1087)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SUMIFS(RAB!$F$14:$F$86,RAB!$C$14:$C$86,C1088)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SUMIFS(RAB!$F$14:$F$86,RAB!$C$14:$C$86,C1089)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SUMIFS(RAB!$F$14:$F$86,RAB!$C$14:$C$86,C1090)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SUMIFS(RAB!$F$14:$F$86,RAB!$C$14:$C$86,C1091)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SUMIFS(RAB!$F$14:$F$86,RAB!$C$14:$C$86,C1092)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SUMIFS(RAB!$F$14:$F$86,RAB!$C$14:$C$86,C1093)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SUMIFS(RAB!$F$14:$F$86,RAB!$C$14:$C$86,C1094)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SUMIFS(RAB!$F$14:$F$86,RAB!$C$14:$C$86,C1095)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SUMIFS(RAB!$F$14:$F$86,RAB!$C$14:$C$86,C1096)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SUMIFS(RAB!$F$14:$F$86,RAB!$C$14:$C$86,C1097)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SUMIFS(RAB!$F$14:$F$86,RAB!$C$14:$C$86,C1098)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SUMIFS(RAB!$F$14:$F$86,RAB!$C$14:$C$86,C1099)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SUMIFS(RAB!$F$14:$F$86,RAB!$C$14:$C$86,C1100)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SUMIFS(RAB!$F$14:$F$86,RAB!$C$14:$C$86,C1101)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SUMIFS(RAB!$F$14:$F$86,RAB!$C$14:$C$86,C1102)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SUMIFS(RAB!$F$14:$F$86,RAB!$C$14:$C$86,C1103)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SUMIFS(RAB!$F$14:$F$86,RAB!$C$14:$C$86,C1104)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SUMIFS(RAB!$F$14:$F$86,RAB!$C$14:$C$86,C1105)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SUMIFS(RAB!$F$14:$F$86,RAB!$C$14:$C$86,C1106)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SUMIFS(RAB!$F$14:$F$86,RAB!$C$14:$C$86,C1107)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SUMIFS(RAB!$F$14:$F$86,RAB!$C$14:$C$86,C1108)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SUMIFS(RAB!$F$14:$F$86,RAB!$C$14:$C$86,C1109)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SUMIFS(RAB!$F$14:$F$86,RAB!$C$14:$C$86,C1110)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SUMIFS(RAB!$F$14:$F$86,RAB!$C$14:$C$86,C1111)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SUMIFS(RAB!$F$14:$F$86,RAB!$C$14:$C$86,C1112)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SUMIFS(RAB!$F$14:$F$86,RAB!$C$14:$C$86,C1113)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SUMIFS(RAB!$F$14:$F$86,RAB!$C$14:$C$86,C1114)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SUMIFS(RAB!$F$14:$F$86,RAB!$C$14:$C$86,C1115)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SUMIFS(RAB!$F$14:$F$86,RAB!$C$14:$C$86,C1116)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SUMIFS(RAB!$F$14:$F$86,RAB!$C$14:$C$86,C1117)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SUMIFS(RAB!$F$14:$F$86,RAB!$C$14:$C$86,C1118)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SUMIFS(RAB!$F$14:$F$86,RAB!$C$14:$C$86,C1119)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SUMIFS(RAB!$F$14:$F$86,RAB!$C$14:$C$86,C1120)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SUMIFS(RAB!$F$14:$F$86,RAB!$C$14:$C$86,C1121)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SUMIFS(RAB!$F$14:$F$86,RAB!$C$14:$C$86,C1122)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SUMIFS(RAB!$F$14:$F$86,RAB!$C$14:$C$86,C1123)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SUMIFS(RAB!$F$14:$F$86,RAB!$C$14:$C$86,C1124)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SUMIFS(RAB!$F$14:$F$86,RAB!$C$14:$C$86,C1125)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SUMIFS(RAB!$F$14:$F$86,RAB!$C$14:$C$86,C1126)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SUMIFS(RAB!$F$14:$F$86,RAB!$C$14:$C$86,C1127)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SUMIFS(RAB!$F$14:$F$86,RAB!$C$14:$C$86,C1128)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SUMIFS(RAB!$F$14:$F$86,RAB!$C$14:$C$86,C1129)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SUMIFS(RAB!$F$14:$F$86,RAB!$C$14:$C$86,C1130)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SUMIFS(RAB!$F$14:$F$86,RAB!$C$14:$C$86,C1131)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SUMIFS(RAB!$F$14:$F$86,RAB!$C$14:$C$86,C1132)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SUMIFS(RAB!$F$14:$F$86,RAB!$C$14:$C$86,C1133)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SUMIFS(RAB!$F$14:$F$86,RAB!$C$14:$C$86,C1134)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SUMIFS(RAB!$F$14:$F$86,RAB!$C$14:$C$86,C1135)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SUMIFS(RAB!$F$14:$F$86,RAB!$C$14:$C$86,C1136)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SUMIFS(RAB!$F$14:$F$86,RAB!$C$14:$C$86,C1137)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SUMIFS(RAB!$F$14:$F$86,RAB!$C$14:$C$86,C1138)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SUMIFS(RAB!$F$14:$F$86,RAB!$C$14:$C$86,C1139)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SUMIFS(RAB!$F$14:$F$86,RAB!$C$14:$C$86,C1140)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SUMIFS(RAB!$F$14:$F$86,RAB!$C$14:$C$86,C1141)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SUMIFS(RAB!$F$14:$F$86,RAB!$C$14:$C$86,C1142)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SUMIFS(RAB!$F$14:$F$86,RAB!$C$14:$C$86,C1143)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SUMIFS(RAB!$F$14:$F$86,RAB!$C$14:$C$86,C1144)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SUMIFS(RAB!$F$14:$F$86,RAB!$C$14:$C$86,C1145)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SUMIFS(RAB!$F$14:$F$86,RAB!$C$14:$C$86,C1146)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SUMIFS(RAB!$F$14:$F$86,RAB!$C$14:$C$86,C1147)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SUMIFS(RAB!$F$14:$F$86,RAB!$C$14:$C$86,C1148)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SUMIFS(RAB!$F$14:$F$86,RAB!$C$14:$C$86,C1149)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SUMIFS(RAB!$F$14:$F$86,RAB!$C$14:$C$86,C1150)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SUMIFS(RAB!$F$14:$F$86,RAB!$C$14:$C$86,C1151)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SUMIFS(RAB!$F$14:$F$86,RAB!$C$14:$C$86,C1152)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SUMIFS(RAB!$F$14:$F$86,RAB!$C$14:$C$86,C1153)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SUMIFS(RAB!$F$14:$F$86,RAB!$C$14:$C$86,C1154)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SUMIFS(RAB!$F$14:$F$86,RAB!$C$14:$C$86,C1155)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SUMIFS(RAB!$F$14:$F$86,RAB!$C$14:$C$86,C1156)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SUMIFS(RAB!$F$14:$F$86,RAB!$C$14:$C$86,C1157)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SUMIFS(RAB!$F$14:$F$86,RAB!$C$14:$C$86,C1158)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SUMIFS(RAB!$F$14:$F$86,RAB!$C$14:$C$86,C1159)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SUMIFS(RAB!$F$14:$F$86,RAB!$C$14:$C$86,C1160)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SUMIFS(RAB!$F$14:$F$86,RAB!$C$14:$C$86,C1161)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SUMIFS(RAB!$F$14:$F$86,RAB!$C$14:$C$86,C1162)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SUMIFS(RAB!$F$14:$F$86,RAB!$C$14:$C$86,C1163)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SUMIFS(RAB!$F$14:$F$86,RAB!$C$14:$C$86,C1164)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SUMIFS(RAB!$F$14:$F$86,RAB!$C$14:$C$86,C1165)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SUMIFS(RAB!$F$14:$F$86,RAB!$C$14:$C$86,C1166)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SUMIFS(RAB!$F$14:$F$86,RAB!$C$14:$C$86,C1167)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SUMIFS(RAB!$F$14:$F$86,RAB!$C$14:$C$86,C1168)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SUMIFS(RAB!$F$14:$F$86,RAB!$C$14:$C$86,C1169)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SUMIFS(RAB!$F$14:$F$86,RAB!$C$14:$C$86,C1170)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SUMIFS(RAB!$F$14:$F$86,RAB!$C$14:$C$86,C1171)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SUMIFS(RAB!$F$14:$F$86,RAB!$C$14:$C$86,C1172)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SUMIFS(RAB!$F$14:$F$86,RAB!$C$14:$C$86,C1173)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SUMIFS(RAB!$F$14:$F$86,RAB!$C$14:$C$86,C1174)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SUMIFS(RAB!$F$14:$F$86,RAB!$C$14:$C$86,C1175)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SUMIFS(RAB!$F$14:$F$86,RAB!$C$14:$C$86,C1176)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SUMIFS(RAB!$F$14:$F$86,RAB!$C$14:$C$86,C1177)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SUMIFS(RAB!$F$14:$F$86,RAB!$C$14:$C$86,C1178)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SUMIFS(RAB!$F$14:$F$86,RAB!$C$14:$C$86,C1179)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SUMIFS(RAB!$F$14:$F$86,RAB!$C$14:$C$86,C1180)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SUMIFS(RAB!$F$14:$F$86,RAB!$C$14:$C$86,C1181)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SUMIFS(RAB!$F$14:$F$86,RAB!$C$14:$C$86,C1182)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SUMIFS(RAB!$F$14:$F$86,RAB!$C$14:$C$86,C1183)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SUMIFS(RAB!$F$14:$F$86,RAB!$C$14:$C$86,C1184)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SUMIFS(RAB!$F$14:$F$86,RAB!$C$14:$C$86,C1185)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SUMIFS(RAB!$F$14:$F$86,RAB!$C$14:$C$86,C1186)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SUMIFS(RAB!$F$14:$F$86,RAB!$C$14:$C$86,C1187)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SUMIFS(RAB!$F$14:$F$86,RAB!$C$14:$C$86,C1188)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SUMIFS(RAB!$F$14:$F$86,RAB!$C$14:$C$86,C1189)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SUMIFS(RAB!$F$14:$F$86,RAB!$C$14:$C$86,C1190)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SUMIFS(RAB!$F$14:$F$86,RAB!$C$14:$C$86,C1191)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SUMIFS(RAB!$F$14:$F$86,RAB!$C$14:$C$86,C1192)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SUMIFS(RAB!$F$14:$F$86,RAB!$C$14:$C$86,C1193)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SUMIFS(RAB!$F$14:$F$86,RAB!$C$14:$C$86,C1194)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SUMIFS(RAB!$F$14:$F$86,RAB!$C$14:$C$86,C1195)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SUMIFS(RAB!$F$14:$F$86,RAB!$C$14:$C$86,C1196)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SUMIFS(RAB!$F$14:$F$86,RAB!$C$14:$C$86,C1197)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SUMIFS(RAB!$F$14:$F$86,RAB!$C$14:$C$86,C1198)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SUMIFS(RAB!$F$14:$F$86,RAB!$C$14:$C$86,C1199)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SUMIFS(RAB!$F$14:$F$86,RAB!$C$14:$C$86,C1200)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SUMIFS(RAB!$F$14:$F$86,RAB!$C$14:$C$86,C1201)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SUMIFS(RAB!$F$14:$F$86,RAB!$C$14:$C$86,C1202)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SUMIFS(RAB!$F$14:$F$86,RAB!$C$14:$C$86,C1203)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SUMIFS(RAB!$F$14:$F$86,RAB!$C$14:$C$86,C1204)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SUMIFS(RAB!$F$14:$F$86,RAB!$C$14:$C$86,C1205)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SUMIFS(RAB!$F$14:$F$86,RAB!$C$14:$C$86,C1206)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SUMIFS(RAB!$F$14:$F$86,RAB!$C$14:$C$86,C1207)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SUMIFS(RAB!$F$14:$F$86,RAB!$C$14:$C$86,C1208)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SUMIFS(RAB!$F$14:$F$86,RAB!$C$14:$C$86,C1209)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SUMIFS(RAB!$F$14:$F$86,RAB!$C$14:$C$86,C1210)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SUMIFS(RAB!$F$14:$F$86,RAB!$C$14:$C$86,C1211)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SUMIFS(RAB!$F$14:$F$86,RAB!$C$14:$C$86,C1212)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SUMIFS(RAB!$F$14:$F$86,RAB!$C$14:$C$86,C1213)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SUMIFS(RAB!$F$14:$F$86,RAB!$C$14:$C$86,C1214)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SUMIFS(RAB!$F$14:$F$86,RAB!$C$14:$C$86,C1215)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SUMIFS(RAB!$F$14:$F$86,RAB!$C$14:$C$86,C1216)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SUMIFS(RAB!$F$14:$F$86,RAB!$C$14:$C$86,C1217)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SUMIFS(RAB!$F$14:$F$86,RAB!$C$14:$C$86,C1218)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SUMIFS(RAB!$F$14:$F$86,RAB!$C$14:$C$86,C1219)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SUMIFS(RAB!$F$14:$F$86,RAB!$C$14:$C$86,C1220)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SUMIFS(RAB!$F$14:$F$86,RAB!$C$14:$C$86,C1221)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SUMIFS(RAB!$F$14:$F$86,RAB!$C$14:$C$86,C1222)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SUMIFS(RAB!$F$14:$F$86,RAB!$C$14:$C$86,C1223)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SUMIFS(RAB!$F$14:$F$86,RAB!$C$14:$C$86,C1224)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SUMIFS(RAB!$F$14:$F$86,RAB!$C$14:$C$86,C1225)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SUMIFS(RAB!$F$14:$F$86,RAB!$C$14:$C$86,C1226)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SUMIFS(RAB!$F$14:$F$86,RAB!$C$14:$C$86,C1227)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SUMIFS(RAB!$F$14:$F$86,RAB!$C$14:$C$86,C1228)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SUMIFS(RAB!$F$14:$F$86,RAB!$C$14:$C$86,C1229)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SUMIFS(RAB!$F$14:$F$86,RAB!$C$14:$C$86,C1230)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SUMIFS(RAB!$F$14:$F$86,RAB!$C$14:$C$86,C1231)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SUMIFS(RAB!$F$14:$F$86,RAB!$C$14:$C$86,C1232)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SUMIFS(RAB!$F$14:$F$86,RAB!$C$14:$C$86,C1233)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SUMIFS(RAB!$F$14:$F$86,RAB!$C$14:$C$86,C1234)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SUMIFS(RAB!$F$14:$F$86,RAB!$C$14:$C$86,C1235)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SUMIFS(RAB!$F$14:$F$86,RAB!$C$14:$C$86,C1236)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SUMIFS(RAB!$F$14:$F$86,RAB!$C$14:$C$86,C1237)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SUMIFS(RAB!$F$14:$F$86,RAB!$C$14:$C$86,C1238)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SUMIFS(RAB!$F$14:$F$86,RAB!$C$14:$C$86,C1239)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SUMIFS(RAB!$F$14:$F$86,RAB!$C$14:$C$86,C1240)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SUMIFS(RAB!$F$14:$F$86,RAB!$C$14:$C$86,C1241)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SUMIFS(RAB!$F$14:$F$86,RAB!$C$14:$C$86,C1242)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SUMIFS(RAB!$F$14:$F$86,RAB!$C$14:$C$86,C1243)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SUMIFS(RAB!$F$14:$F$86,RAB!$C$14:$C$86,C1244)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SUMIFS(RAB!$F$14:$F$86,RAB!$C$14:$C$86,C1245)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SUMIFS(RAB!$F$14:$F$86,RAB!$C$14:$C$86,C1246)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SUMIFS(RAB!$F$14:$F$86,RAB!$C$14:$C$86,C1247)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SUMIFS(RAB!$F$14:$F$86,RAB!$C$14:$C$86,C1248)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SUMIFS(RAB!$F$14:$F$86,RAB!$C$14:$C$86,C1249)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SUMIFS(RAB!$F$14:$F$86,RAB!$C$14:$C$86,C1250)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SUMIFS(RAB!$F$14:$F$86,RAB!$C$14:$C$86,C1251)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SUMIFS(RAB!$F$14:$F$86,RAB!$C$14:$C$86,C1252)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SUMIFS(RAB!$F$14:$F$86,RAB!$C$14:$C$86,C1253)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SUMIFS(RAB!$F$14:$F$86,RAB!$C$14:$C$86,C1254)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SUMIFS(RAB!$F$14:$F$86,RAB!$C$14:$C$86,C1255)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SUMIFS(RAB!$F$14:$F$86,RAB!$C$14:$C$86,C1256)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SUMIFS(RAB!$F$14:$F$86,RAB!$C$14:$C$86,C1257)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SUMIFS(RAB!$F$14:$F$86,RAB!$C$14:$C$86,C1258)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SUMIFS(RAB!$F$14:$F$86,RAB!$C$14:$C$86,C1259)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SUMIFS(RAB!$F$14:$F$86,RAB!$C$14:$C$86,C1260)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SUMIFS(RAB!$F$14:$F$86,RAB!$C$14:$C$86,C1261)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SUMIFS(RAB!$F$14:$F$86,RAB!$C$14:$C$86,C1262)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SUMIFS(RAB!$F$14:$F$86,RAB!$C$14:$C$86,C1263)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SUMIFS(RAB!$F$14:$F$86,RAB!$C$14:$C$86,C1264)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SUMIFS(RAB!$F$14:$F$86,RAB!$C$14:$C$86,C1265)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SUMIFS(RAB!$F$14:$F$86,RAB!$C$14:$C$86,C1266)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SUMIFS(RAB!$F$14:$F$86,RAB!$C$14:$C$86,C1267)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SUMIFS(RAB!$F$14:$F$86,RAB!$C$14:$C$86,C1268)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SUMIFS(RAB!$F$14:$F$86,RAB!$C$14:$C$86,C1269)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SUMIFS(RAB!$F$14:$F$86,RAB!$C$14:$C$86,C1270)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SUMIFS(RAB!$F$14:$F$86,RAB!$C$14:$C$86,C1271)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SUMIFS(RAB!$F$14:$F$86,RAB!$C$14:$C$86,C1272)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SUMIFS(RAB!$F$14:$F$86,RAB!$C$14:$C$86,C1273)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SUMIFS(RAB!$F$14:$F$86,RAB!$C$14:$C$86,C1274)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SUMIFS(RAB!$F$14:$F$86,RAB!$C$14:$C$86,C1275)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SUMIFS(RAB!$F$14:$F$86,RAB!$C$14:$C$86,C1276)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SUMIFS(RAB!$F$14:$F$86,RAB!$C$14:$C$86,C1277)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SUMIFS(RAB!$F$14:$F$86,RAB!$C$14:$C$86,C1278)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SUMIFS(RAB!$F$14:$F$86,RAB!$C$14:$C$86,C1279)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SUMIFS(RAB!$F$14:$F$86,RAB!$C$14:$C$86,C1280)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SUMIFS(RAB!$F$14:$F$86,RAB!$C$14:$C$86,C1281)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SUMIFS(RAB!$F$14:$F$86,RAB!$C$14:$C$86,C1282)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SUMIFS(RAB!$F$14:$F$86,RAB!$C$14:$C$86,C1283)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SUMIFS(RAB!$F$14:$F$86,RAB!$C$14:$C$86,C1284)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SUMIFS(RAB!$F$14:$F$86,RAB!$C$14:$C$86,C1285)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SUMIFS(RAB!$F$14:$F$86,RAB!$C$14:$C$86,C1286)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SUMIFS(RAB!$F$14:$F$86,RAB!$C$14:$C$86,C1287)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SUMIFS(RAB!$F$14:$F$86,RAB!$C$14:$C$86,C1288)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SUMIFS(RAB!$F$14:$F$86,RAB!$C$14:$C$86,C1289)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SUMIFS(RAB!$F$14:$F$86,RAB!$C$14:$C$86,C1290)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SUMIFS(RAB!$F$14:$F$86,RAB!$C$14:$C$86,C1291)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SUMIFS(RAB!$F$14:$F$86,RAB!$C$14:$C$86,C1292)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SUMIFS(RAB!$F$14:$F$86,RAB!$C$14:$C$86,C1293)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SUMIFS(RAB!$F$14:$F$86,RAB!$C$14:$C$86,C1294)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SUMIFS(RAB!$F$14:$F$86,RAB!$C$14:$C$86,C1295)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SUMIFS(RAB!$F$14:$F$86,RAB!$C$14:$C$86,C1296)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SUMIFS(RAB!$F$14:$F$86,RAB!$C$14:$C$86,C1297)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SUMIFS(RAB!$F$14:$F$86,RAB!$C$14:$C$86,C1298)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SUMIFS(RAB!$F$14:$F$86,RAB!$C$14:$C$86,C1299)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SUMIFS(RAB!$F$14:$F$86,RAB!$C$14:$C$86,C1300)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SUMIFS(RAB!$F$14:$F$86,RAB!$C$14:$C$86,C1301)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SUMIFS(RAB!$F$14:$F$86,RAB!$C$14:$C$86,C1302)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SUMIFS(RAB!$F$14:$F$86,RAB!$C$14:$C$86,C1303)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SUMIFS(RAB!$F$14:$F$86,RAB!$C$14:$C$86,C1304)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SUMIFS(RAB!$F$14:$F$86,RAB!$C$14:$C$86,C1305)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SUMIFS(RAB!$F$14:$F$86,RAB!$C$14:$C$86,C1306)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SUMIFS(RAB!$F$14:$F$86,RAB!$C$14:$C$86,C1307)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SUMIFS(RAB!$F$14:$F$86,RAB!$C$14:$C$86,C1308)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SUMIFS(RAB!$F$14:$F$86,RAB!$C$14:$C$86,C1309)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SUMIFS(RAB!$F$14:$F$86,RAB!$C$14:$C$86,C1310)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SUMIFS(RAB!$F$14:$F$86,RAB!$C$14:$C$86,C1311)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SUMIFS(RAB!$F$14:$F$86,RAB!$C$14:$C$86,C1312)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SUMIFS(RAB!$F$14:$F$86,RAB!$C$14:$C$86,C1313)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SUMIFS(RAB!$F$14:$F$86,RAB!$C$14:$C$86,C1314)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SUMIFS(RAB!$F$14:$F$86,RAB!$C$14:$C$86,C1315)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SUMIFS(RAB!$F$14:$F$86,RAB!$C$14:$C$86,C1316)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SUMIFS(RAB!$F$14:$F$86,RAB!$C$14:$C$86,C1317)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SUMIFS(RAB!$F$14:$F$86,RAB!$C$14:$C$86,C1318)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SUMIFS(RAB!$F$14:$F$86,RAB!$C$14:$C$86,C1319)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SUMIFS(RAB!$F$14:$F$86,RAB!$C$14:$C$86,C1320)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1" priority="5" operator="equal">
      <formula>0</formula>
    </cfRule>
  </conditionalFormatting>
  <conditionalFormatting sqref="A10:L65536">
    <cfRule type="cellIs" dxfId="60" priority="1" operator="equal">
      <formula>0</formula>
    </cfRule>
  </conditionalFormatting>
  <conditionalFormatting sqref="C12:C711">
    <cfRule type="cellIs" dxfId="59" priority="66" stopIfTrue="1" operator="equal">
      <formula>0</formula>
    </cfRule>
  </conditionalFormatting>
  <conditionalFormatting sqref="E712:E65536">
    <cfRule type="cellIs" dxfId="58" priority="16" stopIfTrue="1" operator="equal">
      <formula>0</formula>
    </cfRule>
  </conditionalFormatting>
  <conditionalFormatting sqref="G1:G11 E6:E11 E1:E3 H7 H10:H11 F10:F711 G712:G65536">
    <cfRule type="cellIs" dxfId="57" priority="69" stopIfTrue="1" operator="equal">
      <formula>0</formula>
    </cfRule>
  </conditionalFormatting>
  <conditionalFormatting sqref="G12:H711">
    <cfRule type="cellIs" dxfId="56" priority="12" stopIfTrue="1" operator="equal">
      <formula>0</formula>
    </cfRule>
  </conditionalFormatting>
  <conditionalFormatting sqref="I7:K7">
    <cfRule type="cellIs" dxfId="55" priority="4" stopIfTrue="1" operator="equal">
      <formula>0</formula>
    </cfRule>
  </conditionalFormatting>
  <conditionalFormatting sqref="I10:L711">
    <cfRule type="cellIs" dxfId="54" priority="2" stopIfTrue="1" operator="equal">
      <formula>0</formula>
    </cfRule>
  </conditionalFormatting>
  <conditionalFormatting sqref="L1:L6">
    <cfRule type="cellIs" dxfId="53" priority="10" operator="equal">
      <formula>0</formula>
    </cfRule>
  </conditionalFormatting>
  <conditionalFormatting sqref="M1:IV1048576 A8:G9">
    <cfRule type="cellIs" dxfId="52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7" sqref="D27"/>
    </sheetView>
  </sheetViews>
  <sheetFormatPr defaultColWidth="9.1796875" defaultRowHeight="14.5"/>
  <cols>
    <col min="1" max="1" width="5.26953125" style="30" customWidth="1"/>
    <col min="2" max="2" width="5.1796875" style="24" customWidth="1"/>
    <col min="3" max="3" width="45.7265625" style="72" customWidth="1"/>
    <col min="4" max="4" width="8.7265625" style="72" customWidth="1"/>
    <col min="5" max="5" width="11.7265625" style="26" customWidth="1"/>
    <col min="6" max="6" width="7.7265625" style="26" customWidth="1"/>
    <col min="7" max="7" width="12.7265625" style="26" customWidth="1"/>
    <col min="8" max="9" width="16.7265625" style="27" customWidth="1"/>
    <col min="10" max="11" width="16.7265625" style="28" customWidth="1"/>
    <col min="12" max="12" width="3.7265625" style="29" customWidth="1"/>
    <col min="13" max="13" width="6.54296875" style="23" customWidth="1"/>
    <col min="14" max="14" width="7.26953125" style="23" customWidth="1"/>
    <col min="15" max="16" width="12.7265625" style="23" customWidth="1"/>
    <col min="17" max="17" width="2.453125" style="23" customWidth="1"/>
    <col min="18" max="20" width="10.81640625" style="23" customWidth="1"/>
    <col min="21" max="16384" width="9.179687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9" t="s">
        <v>1127</v>
      </c>
      <c r="C4" s="549"/>
      <c r="D4" s="549"/>
      <c r="E4" s="549"/>
      <c r="F4" s="549"/>
      <c r="G4" s="549"/>
      <c r="H4" s="549"/>
      <c r="I4" s="549"/>
      <c r="J4" s="549"/>
      <c r="K4" s="54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2" t="str">
        <f>RAB!G6</f>
        <v>MASJID HAJAR ASWAD</v>
      </c>
      <c r="H6" s="542"/>
      <c r="I6" s="542"/>
      <c r="J6" s="542"/>
      <c r="K6" s="54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DN PETALAN DS TAMBAKROTO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" thickBot="1">
      <c r="C10" s="25"/>
      <c r="D10" s="25"/>
      <c r="S10" s="73"/>
      <c r="T10" s="73"/>
    </row>
    <row r="11" spans="1:21" ht="15.75" customHeight="1">
      <c r="B11" s="550" t="s">
        <v>0</v>
      </c>
      <c r="C11" s="552" t="s">
        <v>1</v>
      </c>
      <c r="D11" s="555" t="s">
        <v>42</v>
      </c>
      <c r="E11" s="555" t="s">
        <v>43</v>
      </c>
      <c r="F11" s="555" t="s">
        <v>2</v>
      </c>
      <c r="G11" s="556" t="s">
        <v>41</v>
      </c>
      <c r="H11" s="555" t="s">
        <v>3</v>
      </c>
      <c r="I11" s="555"/>
      <c r="J11" s="555"/>
      <c r="K11" s="559"/>
      <c r="M11" s="33"/>
      <c r="N11" s="33"/>
      <c r="O11" s="33"/>
      <c r="P11" s="33"/>
      <c r="R11" s="34"/>
      <c r="S11" s="74"/>
      <c r="T11" s="74"/>
    </row>
    <row r="12" spans="1:21" ht="15" customHeight="1">
      <c r="B12" s="551"/>
      <c r="C12" s="553"/>
      <c r="D12" s="545"/>
      <c r="E12" s="545"/>
      <c r="F12" s="545"/>
      <c r="G12" s="557"/>
      <c r="H12" s="547" t="s">
        <v>46</v>
      </c>
      <c r="I12" s="547" t="s">
        <v>5</v>
      </c>
      <c r="J12" s="545" t="s">
        <v>47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1"/>
      <c r="C13" s="554"/>
      <c r="D13" s="545"/>
      <c r="E13" s="545"/>
      <c r="F13" s="545"/>
      <c r="G13" s="558"/>
      <c r="H13" s="548"/>
      <c r="I13" s="548"/>
      <c r="J13" s="545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6765200</v>
      </c>
      <c r="J16" s="42">
        <f t="shared" ca="1" si="3"/>
        <v>0</v>
      </c>
      <c r="K16" s="43">
        <f t="shared" ca="1" si="0"/>
        <v>6765200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3" t="s">
        <v>1008</v>
      </c>
      <c r="D38" s="543"/>
      <c r="E38" s="543"/>
      <c r="F38" s="543"/>
      <c r="G38" s="77" t="s">
        <v>9</v>
      </c>
      <c r="H38" s="55">
        <f ca="1">SUM(H14:H37)</f>
        <v>0</v>
      </c>
      <c r="I38" s="55">
        <f ca="1">SUM(I14:I37)</f>
        <v>6765200</v>
      </c>
      <c r="J38" s="55">
        <f ca="1">SUM(J14:J37)</f>
        <v>0</v>
      </c>
      <c r="K38" s="55">
        <f ca="1">SUM(K14:K37)</f>
        <v>6765200</v>
      </c>
      <c r="L38" s="44"/>
      <c r="R38" s="99"/>
      <c r="S38" s="99"/>
      <c r="T38" s="99"/>
    </row>
    <row r="39" spans="1:20" s="36" customFormat="1">
      <c r="A39" s="30"/>
      <c r="B39" s="56"/>
      <c r="C39" s="544" t="s">
        <v>462</v>
      </c>
      <c r="D39" s="544"/>
      <c r="E39" s="544"/>
      <c r="F39" s="544"/>
      <c r="G39" s="59" t="s">
        <v>9</v>
      </c>
      <c r="H39" s="60">
        <f ca="1">H38*0.1</f>
        <v>0</v>
      </c>
      <c r="I39" s="60">
        <f ca="1">I38*0.1</f>
        <v>676520</v>
      </c>
      <c r="J39" s="60">
        <f ca="1">J38*0.1</f>
        <v>0</v>
      </c>
      <c r="K39" s="60">
        <f ca="1">K38*0.1</f>
        <v>676520</v>
      </c>
      <c r="L39" s="44"/>
      <c r="N39" s="57"/>
      <c r="R39" s="58"/>
      <c r="S39" s="58"/>
      <c r="T39" s="58"/>
    </row>
    <row r="40" spans="1:20" s="36" customFormat="1" ht="15" thickBot="1">
      <c r="A40" s="30"/>
      <c r="B40" s="56"/>
      <c r="C40" s="533" t="s">
        <v>463</v>
      </c>
      <c r="D40" s="533"/>
      <c r="E40" s="533"/>
      <c r="F40" s="533"/>
      <c r="G40" s="61" t="s">
        <v>9</v>
      </c>
      <c r="H40" s="78">
        <f ca="1">SUM(H38:H39)</f>
        <v>0</v>
      </c>
      <c r="I40" s="78">
        <f ca="1">SUM(I38:I39)</f>
        <v>7441720</v>
      </c>
      <c r="J40" s="61">
        <f ca="1">SUM(J38:J39)</f>
        <v>0</v>
      </c>
      <c r="K40" s="61">
        <f ca="1">SUM(K38:K39)</f>
        <v>7441720</v>
      </c>
      <c r="L40" s="44"/>
      <c r="R40" s="99"/>
      <c r="S40" s="99"/>
      <c r="T40" s="99"/>
    </row>
    <row r="41" spans="1:20" s="36" customFormat="1">
      <c r="A41" s="30"/>
      <c r="B41" s="536" t="e">
        <f ca="1">"Terbilang : ( "&amp;L42&amp;" Rupiah )"</f>
        <v>#NAME?</v>
      </c>
      <c r="C41" s="537"/>
      <c r="D41" s="537"/>
      <c r="E41" s="537"/>
      <c r="F41" s="537"/>
      <c r="G41" s="537"/>
      <c r="H41" s="537"/>
      <c r="I41" s="537"/>
      <c r="J41" s="537"/>
      <c r="K41" s="538"/>
      <c r="L41" s="44"/>
      <c r="R41" s="58"/>
      <c r="S41" s="58"/>
      <c r="T41" s="58"/>
    </row>
    <row r="42" spans="1:20" s="36" customFormat="1">
      <c r="A42" s="30"/>
      <c r="B42" s="539"/>
      <c r="C42" s="540"/>
      <c r="D42" s="540"/>
      <c r="E42" s="540"/>
      <c r="F42" s="540"/>
      <c r="G42" s="540"/>
      <c r="H42" s="540"/>
      <c r="I42" s="540"/>
      <c r="J42" s="540"/>
      <c r="K42" s="541"/>
      <c r="L42" s="62" t="e">
        <f ca="1">PROPER([91]!terbilang(K40))</f>
        <v>#NAME?</v>
      </c>
    </row>
    <row r="43" spans="1:20" s="36" customFormat="1" ht="1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4"/>
      <c r="I45" s="534"/>
      <c r="J45" s="535"/>
      <c r="K45" s="53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4"/>
      <c r="I46" s="534"/>
      <c r="J46" s="535"/>
      <c r="K46" s="53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4"/>
      <c r="I47" s="534"/>
      <c r="J47" s="535"/>
      <c r="K47" s="53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4"/>
      <c r="I52" s="534"/>
      <c r="J52" s="535"/>
      <c r="K52" s="53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SUMIFS(RAB!$F$14:$F$86,RAB!$C$14:$C$86,'REKAP TIANG'!C57)</f>
        <v>2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SUMIFS(RAB!$F$14:$F$86,RAB!$C$14:$C$86,'REKAP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SUMIFS(RAB!$F$14:$F$86,RAB!$C$14:$C$86,'REKAP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SUMIFS(RAB!$F$14:$F$86,RAB!$C$14:$C$86,'REKAP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SUMIFS(RAB!$F$14:$F$86,RAB!$C$14:$C$86,'REKAP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SUMIFS(RAB!$F$14:$F$86,RAB!$C$14:$C$86,'REKAP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SUMIFS(RAB!$F$14:$F$86,RAB!$C$14:$C$86,'REKAP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SUMIFS(RAB!$F$14:$F$86,RAB!$C$14:$C$86,'REKAP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SUMIFS(RAB!$F$14:$F$86,RAB!$C$14:$C$86,'REKAP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SUMIFS(RAB!$F$14:$F$86,RAB!$C$14:$C$86,'REKAP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SUMIFS(RAB!$F$14:$F$86,RAB!$C$14:$C$86,'REKAP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SUMIFS(RAB!$F$14:$F$86,RAB!$C$14:$C$86,'REKAP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SUMIFS(RAB!$F$14:$F$86,RAB!$C$14:$C$86,'REKAP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SUMIFS(RAB!$F$14:$F$86,RAB!$C$14:$C$86,'REKAP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SUMIFS(RAB!$F$14:$F$86,RAB!$C$14:$C$86,'REKAP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SUMIFS(RAB!$F$14:$F$86,RAB!$C$14:$C$86,'REKAP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SUMIFS(RAB!$F$14:$F$86,RAB!$C$14:$C$86,'REKAP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SUMIFS(RAB!$F$14:$F$86,RAB!$C$14:$C$86,'REKAP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SUMIFS(RAB!$F$14:$F$86,RAB!$C$14:$C$86,'REKAP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SUMIFS(RAB!$F$14:$F$86,RAB!$C$14:$C$86,'REKAP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51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5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796875" defaultRowHeight="14.5"/>
  <cols>
    <col min="1" max="1" width="5.26953125" style="30" customWidth="1"/>
    <col min="2" max="2" width="5.1796875" style="24" customWidth="1"/>
    <col min="3" max="3" width="45.7265625" style="72" customWidth="1"/>
    <col min="4" max="4" width="8.7265625" style="72" customWidth="1"/>
    <col min="5" max="5" width="11.7265625" style="26" customWidth="1"/>
    <col min="6" max="6" width="7.7265625" style="26" customWidth="1"/>
    <col min="7" max="7" width="12.7265625" style="26" customWidth="1"/>
    <col min="8" max="9" width="16.7265625" style="27" customWidth="1"/>
    <col min="10" max="11" width="16.7265625" style="28" customWidth="1"/>
    <col min="12" max="12" width="3.7265625" style="29" customWidth="1"/>
    <col min="13" max="13" width="6.54296875" style="23" customWidth="1"/>
    <col min="14" max="14" width="7.26953125" style="23" customWidth="1"/>
    <col min="15" max="16" width="12.7265625" style="23" customWidth="1"/>
    <col min="17" max="17" width="2.453125" style="23" customWidth="1"/>
    <col min="18" max="20" width="10.81640625" style="23" customWidth="1"/>
    <col min="21" max="16384" width="9.179687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9" t="s">
        <v>1034</v>
      </c>
      <c r="C4" s="549"/>
      <c r="D4" s="549"/>
      <c r="E4" s="549"/>
      <c r="F4" s="549"/>
      <c r="G4" s="549"/>
      <c r="H4" s="549"/>
      <c r="I4" s="549"/>
      <c r="J4" s="549"/>
      <c r="K4" s="54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2" t="str">
        <f>RAB!G6</f>
        <v>MASJID HAJAR ASWAD</v>
      </c>
      <c r="H6" s="542"/>
      <c r="I6" s="542"/>
      <c r="J6" s="542"/>
      <c r="K6" s="54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DN PETALAN DS TAMBAKROTO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" thickBot="1">
      <c r="C10" s="25"/>
      <c r="D10" s="25"/>
      <c r="F10" s="144"/>
      <c r="S10" s="73"/>
      <c r="T10" s="73"/>
    </row>
    <row r="11" spans="1:21" ht="15.75" customHeight="1">
      <c r="B11" s="550" t="s">
        <v>0</v>
      </c>
      <c r="C11" s="552" t="s">
        <v>1</v>
      </c>
      <c r="D11" s="555" t="s">
        <v>42</v>
      </c>
      <c r="E11" s="555" t="s">
        <v>43</v>
      </c>
      <c r="F11" s="555" t="s">
        <v>2</v>
      </c>
      <c r="G11" s="556" t="s">
        <v>41</v>
      </c>
      <c r="H11" s="555" t="s">
        <v>3</v>
      </c>
      <c r="I11" s="555"/>
      <c r="J11" s="555"/>
      <c r="K11" s="559"/>
      <c r="M11" s="33"/>
      <c r="N11" s="33"/>
      <c r="O11" s="33"/>
      <c r="P11" s="33"/>
      <c r="R11" s="34"/>
      <c r="S11" s="74"/>
      <c r="T11" s="74"/>
    </row>
    <row r="12" spans="1:21" ht="15" customHeight="1">
      <c r="B12" s="551"/>
      <c r="C12" s="553"/>
      <c r="D12" s="545"/>
      <c r="E12" s="545"/>
      <c r="F12" s="545"/>
      <c r="G12" s="557"/>
      <c r="H12" s="547" t="s">
        <v>46</v>
      </c>
      <c r="I12" s="547" t="s">
        <v>5</v>
      </c>
      <c r="J12" s="545" t="s">
        <v>47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1"/>
      <c r="C13" s="554"/>
      <c r="D13" s="545"/>
      <c r="E13" s="545"/>
      <c r="F13" s="545"/>
      <c r="G13" s="558"/>
      <c r="H13" s="548"/>
      <c r="I13" s="548"/>
      <c r="J13" s="545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29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10.6 kVA MCCB 16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62</v>
      </c>
      <c r="G18" s="41">
        <f ca="1">IF(ISERROR(OFFSET('HARGA SATUAN'!$I$6,MATCH(C18,'HARGA SATUAN'!$C$7:$C$1492,0),0)),"",OFFSET('HARGA SATUAN'!$I$6,MATCH(C18,'HARGA SATUAN'!$C$7:$C$1492,0),0))</f>
        <v>54500</v>
      </c>
      <c r="H18" s="42">
        <f t="shared" ca="1" si="1"/>
        <v>3379000</v>
      </c>
      <c r="I18" s="42">
        <f t="shared" ca="1" si="2"/>
        <v>0</v>
      </c>
      <c r="J18" s="42">
        <f t="shared" ca="1" si="3"/>
        <v>0</v>
      </c>
      <c r="K18" s="43">
        <f t="shared" ca="1" si="0"/>
        <v>3379000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 4 x 16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25</v>
      </c>
      <c r="G19" s="41">
        <f ca="1">IF(ISERROR(OFFSET('HARGA SATUAN'!$I$6,MATCH(C19,'HARGA SATUAN'!$C$7:$C$1492,0),0)),"",OFFSET('HARGA SATUAN'!$I$6,MATCH(C19,'HARGA SATUAN'!$C$7:$C$1492,0),0))</f>
        <v>13500</v>
      </c>
      <c r="H19" s="42">
        <f t="shared" ca="1" si="1"/>
        <v>337500</v>
      </c>
      <c r="I19" s="42">
        <f t="shared" ca="1" si="2"/>
        <v>0</v>
      </c>
      <c r="J19" s="42">
        <f t="shared" ca="1" si="3"/>
        <v>0</v>
      </c>
      <c r="K19" s="43">
        <f t="shared" ca="1" si="0"/>
        <v>337500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3" t="s">
        <v>1008</v>
      </c>
      <c r="D168" s="543"/>
      <c r="E168" s="543"/>
      <c r="F168" s="543"/>
      <c r="G168" s="77" t="s">
        <v>9</v>
      </c>
      <c r="H168" s="55">
        <f ca="1">SUM(H14:H167)</f>
        <v>8708800</v>
      </c>
      <c r="I168" s="55">
        <f ca="1">SUM(I14:I167)</f>
        <v>0</v>
      </c>
      <c r="J168" s="55">
        <f ca="1">SUM(J14:J167)</f>
        <v>0</v>
      </c>
      <c r="K168" s="55">
        <f ca="1">SUM(K14:K167)</f>
        <v>8708800</v>
      </c>
      <c r="L168" s="44"/>
      <c r="R168" s="99"/>
      <c r="S168" s="99"/>
      <c r="T168" s="99"/>
    </row>
    <row r="169" spans="1:20" s="36" customFormat="1">
      <c r="A169" s="30"/>
      <c r="B169" s="56"/>
      <c r="C169" s="544" t="s">
        <v>462</v>
      </c>
      <c r="D169" s="544"/>
      <c r="E169" s="544"/>
      <c r="F169" s="544"/>
      <c r="G169" s="59" t="s">
        <v>9</v>
      </c>
      <c r="H169" s="60">
        <f ca="1">H168*0.1</f>
        <v>870880</v>
      </c>
      <c r="I169" s="60">
        <f ca="1">I168*0.1</f>
        <v>0</v>
      </c>
      <c r="J169" s="60">
        <f ca="1">J168*0.1</f>
        <v>0</v>
      </c>
      <c r="K169" s="60">
        <f ca="1">K168*0.1</f>
        <v>870880</v>
      </c>
      <c r="L169" s="44"/>
      <c r="N169" s="57"/>
      <c r="R169" s="58"/>
      <c r="S169" s="58"/>
      <c r="T169" s="58"/>
    </row>
    <row r="170" spans="1:20" s="36" customFormat="1" ht="15" thickBot="1">
      <c r="A170" s="30"/>
      <c r="B170" s="56"/>
      <c r="C170" s="533" t="s">
        <v>463</v>
      </c>
      <c r="D170" s="533"/>
      <c r="E170" s="533"/>
      <c r="F170" s="533"/>
      <c r="G170" s="61" t="s">
        <v>9</v>
      </c>
      <c r="H170" s="78">
        <f ca="1">SUM(H168:H169)</f>
        <v>9579680</v>
      </c>
      <c r="I170" s="78">
        <f ca="1">SUM(I168:I169)</f>
        <v>0</v>
      </c>
      <c r="J170" s="61">
        <f ca="1">SUM(J168:J169)</f>
        <v>0</v>
      </c>
      <c r="K170" s="61">
        <f ca="1">SUM(K168:K169)</f>
        <v>9579680</v>
      </c>
      <c r="L170" s="44"/>
      <c r="R170" s="99"/>
      <c r="S170" s="99"/>
      <c r="T170" s="99"/>
    </row>
    <row r="171" spans="1:20" s="36" customFormat="1">
      <c r="A171" s="30"/>
      <c r="B171" s="536" t="e">
        <f ca="1">"Terbilang : ( "&amp;L172&amp;" Rupiah )"</f>
        <v>#NAME?</v>
      </c>
      <c r="C171" s="537"/>
      <c r="D171" s="537"/>
      <c r="E171" s="537"/>
      <c r="F171" s="537"/>
      <c r="G171" s="537"/>
      <c r="H171" s="537"/>
      <c r="I171" s="537"/>
      <c r="J171" s="537"/>
      <c r="K171" s="538"/>
      <c r="L171" s="44"/>
      <c r="R171" s="58"/>
      <c r="S171" s="58"/>
      <c r="T171" s="58"/>
    </row>
    <row r="172" spans="1:20" s="36" customFormat="1">
      <c r="A172" s="30"/>
      <c r="B172" s="539"/>
      <c r="C172" s="540"/>
      <c r="D172" s="540"/>
      <c r="E172" s="540"/>
      <c r="F172" s="540"/>
      <c r="G172" s="540"/>
      <c r="H172" s="540"/>
      <c r="I172" s="540"/>
      <c r="J172" s="540"/>
      <c r="K172" s="541"/>
      <c r="L172" s="62" t="e">
        <f ca="1">PROPER([91]!terbilang(K170))</f>
        <v>#NAME?</v>
      </c>
    </row>
    <row r="173" spans="1:20" s="36" customFormat="1" ht="1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4"/>
      <c r="I175" s="534"/>
      <c r="J175" s="535"/>
      <c r="K175" s="53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4"/>
      <c r="I176" s="534"/>
      <c r="J176" s="535"/>
      <c r="K176" s="53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4"/>
      <c r="I177" s="534"/>
      <c r="J177" s="535"/>
      <c r="K177" s="53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4"/>
      <c r="I182" s="534"/>
      <c r="J182" s="535"/>
      <c r="K182" s="53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SUMIFS(RAB!$F$14:$F$86,RAB!$C$14:$C$86,C224)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SUMIFS(RAB!$F$14:$F$86,RAB!$C$14:$C$86,C225)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SUMIFS(RAB!$F$14:$F$86,RAB!$C$14:$C$86,C226)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SUMIFS(RAB!$F$14:$F$86,RAB!$C$14:$C$86,C227)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SUMIFS(RAB!$F$14:$F$86,RAB!$C$14:$C$86,C228)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SUMIFS(RAB!$F$14:$F$86,RAB!$C$14:$C$86,C229)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SUMIFS(RAB!$F$14:$F$86,RAB!$C$14:$C$86,C230)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SUMIFS(RAB!$F$14:$F$86,RAB!$C$14:$C$86,C231)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SUMIFS(RAB!$F$14:$F$86,RAB!$C$14:$C$86,C232)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SUMIFS(RAB!$F$14:$F$86,RAB!$C$14:$C$86,C233)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SUMIFS(RAB!$F$14:$F$86,RAB!$C$14:$C$86,C234)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SUMIFS(RAB!$F$14:$F$86,RAB!$C$14:$C$86,C235)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SUMIFS(RAB!$F$14:$F$86,RAB!$C$14:$C$86,C236)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SUMIFS(RAB!$F$14:$F$86,RAB!$C$14:$C$86,C237)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SUMIFS(RAB!$F$14:$F$86,RAB!$C$14:$C$86,C238)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SUMIFS(RAB!$F$14:$F$86,RAB!$C$14:$C$86,C239)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SUMIFS(RAB!$F$14:$F$86,RAB!$C$14:$C$86,C240)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SUMIFS(RAB!$F$14:$F$86,RAB!$C$14:$C$86,C241)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SUMIFS(RAB!$F$14:$F$86,RAB!$C$14:$C$86,C242)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SUMIFS(RAB!$F$14:$F$86,RAB!$C$14:$C$86,C243)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SUMIFS(RAB!$F$14:$F$86,RAB!$C$14:$C$86,C244)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SUMIFS(RAB!$F$14:$F$86,RAB!$C$14:$C$86,C245)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SUMIFS(RAB!$F$14:$F$86,RAB!$C$14:$C$86,C246)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SUMIFS(RAB!$F$14:$F$86,RAB!$C$14:$C$86,C247)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SUMIFS(RAB!$F$14:$F$86,RAB!$C$14:$C$86,C248)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SUMIFS(RAB!$F$14:$F$86,RAB!$C$14:$C$86,C249)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SUMIFS(RAB!$F$14:$F$86,RAB!$C$14:$C$86,C250)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SUMIFS(RAB!$F$14:$F$86,RAB!$C$14:$C$86,C251)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SUMIFS(RAB!$F$14:$F$86,RAB!$C$14:$C$86,C252)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SUMIFS(RAB!$F$14:$F$86,RAB!$C$14:$C$86,C253)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SUMIFS(RAB!$F$14:$F$86,RAB!$C$14:$C$86,C254)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SUMIFS(RAB!$F$14:$F$86,RAB!$C$14:$C$86,C255)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SUMIFS(RAB!$F$14:$F$86,RAB!$C$14:$C$86,C256)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SUMIFS(RAB!$F$14:$F$86,RAB!$C$14:$C$86,C257)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SUMIFS(RAB!$F$14:$F$86,RAB!$C$14:$C$86,C258)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SUMIFS(RAB!$F$14:$F$86,RAB!$C$14:$C$86,C259)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SUMIFS(RAB!$F$14:$F$86,RAB!$C$14:$C$86,C260)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SUMIFS(RAB!$F$14:$F$86,RAB!$C$14:$C$86,C261)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SUMIFS(RAB!$F$14:$F$86,RAB!$C$14:$C$86,C262)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SUMIFS(RAB!$F$14:$F$86,RAB!$C$14:$C$86,C263)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SUMIFS(RAB!$F$14:$F$86,RAB!$C$14:$C$86,C264)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SUMIFS(RAB!$F$14:$F$86,RAB!$C$14:$C$86,C265)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SUMIFS(RAB!$F$14:$F$86,RAB!$C$14:$C$86,C266)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SUMIFS(RAB!$F$14:$F$86,RAB!$C$14:$C$86,C267)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SUMIFS(RAB!$F$14:$F$86,RAB!$C$14:$C$86,C268)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SUMIFS(RAB!$F$14:$F$86,RAB!$C$14:$C$86,C269)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SUMIFS(RAB!$F$14:$F$86,RAB!$C$14:$C$86,C270)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SUMIFS(RAB!$F$14:$F$86,RAB!$C$14:$C$86,C271)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SUMIFS(RAB!$F$14:$F$86,RAB!$C$14:$C$86,C272)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SUMIFS(RAB!$F$14:$F$86,RAB!$C$14:$C$86,C273)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SUMIFS(RAB!$F$14:$F$86,RAB!$C$14:$C$86,C274)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SUMIFS(RAB!$F$14:$F$86,RAB!$C$14:$C$86,C275)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SUMIFS(RAB!$F$14:$F$86,RAB!$C$14:$C$86,C276)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SUMIFS(RAB!$F$14:$F$86,RAB!$C$14:$C$86,C277)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SUMIFS(RAB!$F$14:$F$86,RAB!$C$14:$C$86,C278)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SUMIFS(RAB!$F$14:$F$86,RAB!$C$14:$C$86,C279)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SUMIFS(RAB!$F$14:$F$86,RAB!$C$14:$C$86,C280)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SUMIFS(RAB!$F$14:$F$86,RAB!$C$14:$C$86,C281)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SUMIFS(RAB!$F$14:$F$86,RAB!$C$14:$C$86,C282)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SUMIFS(RAB!$F$14:$F$86,RAB!$C$14:$C$86,C283)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SUMIFS(RAB!$F$14:$F$86,RAB!$C$14:$C$86,C284)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SUMIFS(RAB!$F$14:$F$86,RAB!$C$14:$C$86,C285)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SUMIFS(RAB!$F$14:$F$86,RAB!$C$14:$C$86,C286)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SUMIFS(RAB!$F$14:$F$86,RAB!$C$14:$C$86,C287)</f>
        <v>1</v>
      </c>
      <c r="E287" s="24">
        <f t="shared" ca="1" si="21"/>
        <v>1</v>
      </c>
      <c r="F287" s="24">
        <f ca="1">IF(D287=0,0,SUM($E$223:E287))</f>
        <v>2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SUMIFS(RAB!$F$14:$F$86,RAB!$C$14:$C$86,C288)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SUMIFS(RAB!$F$14:$F$86,RAB!$C$14:$C$86,C289)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SUMIFS(RAB!$F$14:$F$86,RAB!$C$14:$C$86,C290)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SUMIFS(RAB!$F$14:$F$86,RAB!$C$14:$C$86,C291)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SUMIFS(RAB!$F$14:$F$86,RAB!$C$14:$C$86,C292)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SUMIFS(RAB!$F$14:$F$86,RAB!$C$14:$C$86,C293)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SUMIFS(RAB!$F$14:$F$86,RAB!$C$14:$C$86,C294)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SUMIFS(RAB!$F$14:$F$86,RAB!$C$14:$C$86,C295)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SUMIFS(RAB!$F$14:$F$86,RAB!$C$14:$C$86,C296)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SUMIFS(RAB!$F$14:$F$86,RAB!$C$14:$C$86,C297)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SUMIFS(RAB!$F$14:$F$86,RAB!$C$14:$C$86,C298)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SUMIFS(RAB!$F$14:$F$86,RAB!$C$14:$C$86,C299)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SUMIFS(RAB!$F$14:$F$86,RAB!$C$14:$C$86,C300)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SUMIFS(RAB!$F$14:$F$86,RAB!$C$14:$C$86,C301)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SUMIFS(RAB!$F$14:$F$86,RAB!$C$14:$C$86,C302)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SUMIFS(RAB!$F$14:$F$86,RAB!$C$14:$C$86,C303)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SUMIFS(RAB!$F$14:$F$86,RAB!$C$14:$C$86,C304)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SUMIFS(RAB!$F$14:$F$86,RAB!$C$14:$C$86,C305)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SUMIFS(RAB!$F$14:$F$86,RAB!$C$14:$C$86,C306)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SUMIFS(RAB!$F$14:$F$86,RAB!$C$14:$C$86,C307)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SUMIFS(RAB!$F$14:$F$86,RAB!$C$14:$C$86,C308)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SUMIFS(RAB!$F$14:$F$86,RAB!$C$14:$C$86,C309)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SUMIFS(RAB!$F$14:$F$86,RAB!$C$14:$C$86,C310)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SUMIFS(RAB!$F$14:$F$86,RAB!$C$14:$C$86,C311)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SUMIFS(RAB!$F$14:$F$86,RAB!$C$14:$C$86,C312)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SUMIFS(RAB!$F$14:$F$86,RAB!$C$14:$C$86,C313)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SUMIFS(RAB!$F$14:$F$86,RAB!$C$14:$C$86,C314)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SUMIFS(RAB!$F$14:$F$86,RAB!$C$14:$C$86,C315)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SUMIFS(RAB!$F$14:$F$86,RAB!$C$14:$C$86,C316)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SUMIFS(RAB!$F$14:$F$86,RAB!$C$14:$C$86,C317)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SUMIFS(RAB!$F$14:$F$86,RAB!$C$14:$C$86,C318)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SUMIFS(RAB!$F$14:$F$86,RAB!$C$14:$C$86,C319)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SUMIFS(RAB!$F$14:$F$86,RAB!$C$14:$C$86,C320)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SUMIFS(RAB!$F$14:$F$86,RAB!$C$14:$C$86,C321)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SUMIFS(RAB!$F$14:$F$86,RAB!$C$14:$C$86,C322)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SUMIFS(RAB!$F$14:$F$86,RAB!$C$14:$C$86,C323)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SUMIFS(RAB!$F$14:$F$86,RAB!$C$14:$C$86,C324)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SUMIFS(RAB!$F$14:$F$86,RAB!$C$14:$C$86,C325)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SUMIFS(RAB!$F$14:$F$86,RAB!$C$14:$C$86,C326)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SUMIFS(RAB!$F$14:$F$86,RAB!$C$14:$C$86,C327)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SUMIFS(RAB!$F$14:$F$86,RAB!$C$14:$C$86,C328)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SUMIFS(RAB!$F$14:$F$86,RAB!$C$14:$C$86,C329)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SUMIFS(RAB!$F$14:$F$86,RAB!$C$14:$C$86,C330)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SUMIFS(RAB!$F$14:$F$86,RAB!$C$14:$C$86,C331)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SUMIFS(RAB!$F$14:$F$86,RAB!$C$14:$C$86,C332)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SUMIFS(RAB!$F$14:$F$86,RAB!$C$14:$C$86,C333)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SUMIFS(RAB!$F$14:$F$86,RAB!$C$14:$C$86,C334)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SUMIFS(RAB!$F$14:$F$86,RAB!$C$14:$C$86,C335)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SUMIFS(RAB!$F$14:$F$86,RAB!$C$14:$C$86,C336)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SUMIFS(RAB!$F$14:$F$86,RAB!$C$14:$C$86,C337)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SUMIFS(RAB!$F$14:$F$86,RAB!$C$14:$C$86,C338)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SUMIFS(RAB!$F$14:$F$86,RAB!$C$14:$C$86,C339)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SUMIFS(RAB!$F$14:$F$86,RAB!$C$14:$C$86,C340)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SUMIFS(RAB!$F$14:$F$86,RAB!$C$14:$C$86,C341)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SUMIFS(RAB!$F$14:$F$86,RAB!$C$14:$C$86,C342)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SUMIFS(RAB!$F$14:$F$86,RAB!$C$14:$C$86,C343)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SUMIFS(RAB!$F$14:$F$86,RAB!$C$14:$C$86,C344)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SUMIFS(RAB!$F$14:$F$86,RAB!$C$14:$C$86,C345)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SUMIFS(RAB!$F$14:$F$86,RAB!$C$14:$C$86,C346)</f>
        <v>62</v>
      </c>
      <c r="E346" s="24">
        <f t="shared" ca="1" si="22"/>
        <v>1</v>
      </c>
      <c r="F346" s="24">
        <f ca="1">IF(D346=0,0,SUM($E$223:E346))</f>
        <v>3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SUMIFS(RAB!$F$14:$F$86,RAB!$C$14:$C$86,C347)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SUMIFS(RAB!$F$14:$F$86,RAB!$C$14:$C$86,C348)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SUMIFS(RAB!$F$14:$F$86,RAB!$C$14:$C$86,C349)</f>
        <v>25</v>
      </c>
      <c r="E349" s="24">
        <f t="shared" ca="1" si="22"/>
        <v>1</v>
      </c>
      <c r="F349" s="24">
        <f ca="1">IF(D349=0,0,SUM($E$223:E349))</f>
        <v>4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SUMIFS(RAB!$F$14:$F$86,RAB!$C$14:$C$86,C350)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SUMIFS(RAB!$F$14:$F$86,RAB!$C$14:$C$86,C351)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SUMIFS(RAB!$F$14:$F$86,RAB!$C$14:$C$86,C352)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SUMIFS(RAB!$F$14:$F$86,RAB!$C$14:$C$86,C353)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SUMIFS(RAB!$F$14:$F$86,RAB!$C$14:$C$86,C354)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SUMIFS(RAB!$F$14:$F$86,RAB!$C$14:$C$86,C355)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SUMIFS(RAB!$F$14:$F$86,RAB!$C$14:$C$86,C356)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SUMIFS(RAB!$F$14:$F$86,RAB!$C$14:$C$86,C357)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SUMIFS(RAB!$F$14:$F$86,RAB!$C$14:$C$86,C358)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SUMIFS(RAB!$F$14:$F$86,RAB!$C$14:$C$86,C359)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SUMIFS(RAB!$F$14:$F$86,RAB!$C$14:$C$86,C360)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SUMIFS(RAB!$F$14:$F$86,RAB!$C$14:$C$86,C361)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SUMIFS(RAB!$F$14:$F$86,RAB!$C$14:$C$86,C362)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SUMIFS(RAB!$F$14:$F$86,RAB!$C$14:$C$86,C363)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SUMIFS(RAB!$F$14:$F$86,RAB!$C$14:$C$86,C364)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SUMIFS(RAB!$F$14:$F$86,RAB!$C$14:$C$86,C365)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SUMIFS(RAB!$F$14:$F$86,RAB!$C$14:$C$86,C366)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SUMIFS(RAB!$F$14:$F$86,RAB!$C$14:$C$86,C367)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SUMIFS(RAB!$F$14:$F$86,RAB!$C$14:$C$86,C368)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SUMIFS(RAB!$F$14:$F$86,RAB!$C$14:$C$86,C369)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SUMIFS(RAB!$F$14:$F$86,RAB!$C$14:$C$86,C370)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SUMIFS(RAB!$F$14:$F$86,RAB!$C$14:$C$86,C371)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SUMIFS(RAB!$F$14:$F$86,RAB!$C$14:$C$86,C372)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SUMIFS(RAB!$F$14:$F$86,RAB!$C$14:$C$86,C373)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9" priority="5" operator="equal">
      <formula>0</formula>
    </cfRule>
  </conditionalFormatting>
  <conditionalFormatting sqref="C16:C165">
    <cfRule type="cellIs" dxfId="48" priority="4" stopIfTrue="1" operator="equal">
      <formula>0</formula>
    </cfRule>
  </conditionalFormatting>
  <conditionalFormatting sqref="C16:E165">
    <cfRule type="cellIs" dxfId="47" priority="1" operator="equal">
      <formula>0</formula>
    </cfRule>
  </conditionalFormatting>
  <conditionalFormatting sqref="D224:F373">
    <cfRule type="cellIs" dxfId="46" priority="8" operator="equal">
      <formula>0</formula>
    </cfRule>
  </conditionalFormatting>
  <conditionalFormatting sqref="E1:E3 G1:G115 E6:E15 H12:I12 N13 F14:F15 H14:K115 E166:K166 G166:G223 E167:F167 H167:K167">
    <cfRule type="cellIs" dxfId="45" priority="43" stopIfTrue="1" operator="equal">
      <formula>0</formula>
    </cfRule>
  </conditionalFormatting>
  <conditionalFormatting sqref="E171:E65536">
    <cfRule type="cellIs" dxfId="44" priority="9" stopIfTrue="1" operator="equal">
      <formula>0</formula>
    </cfRule>
  </conditionalFormatting>
  <conditionalFormatting sqref="G224">
    <cfRule type="cellIs" dxfId="43" priority="10" operator="equal">
      <formula>0</formula>
    </cfRule>
  </conditionalFormatting>
  <conditionalFormatting sqref="G225:G65536">
    <cfRule type="cellIs" dxfId="42" priority="14" stopIfTrue="1" operator="equal">
      <formula>0</formula>
    </cfRule>
  </conditionalFormatting>
  <conditionalFormatting sqref="R14:T166 G116:K165">
    <cfRule type="cellIs" dxfId="41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5"/>
  <cols>
    <col min="5" max="5" width="12.453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23" activePane="bottomRight" state="frozen"/>
      <selection activeCell="D209" sqref="D209"/>
      <selection pane="topRight" activeCell="D209" sqref="D209"/>
      <selection pane="bottomLeft" activeCell="D209" sqref="D209"/>
      <selection pane="bottomRight" activeCell="C230" sqref="C230"/>
    </sheetView>
  </sheetViews>
  <sheetFormatPr defaultColWidth="31.81640625" defaultRowHeight="14.5"/>
  <cols>
    <col min="1" max="1" width="1.7265625" style="1" customWidth="1"/>
    <col min="2" max="2" width="5" style="11" customWidth="1"/>
    <col min="3" max="3" width="58.26953125" style="81" customWidth="1"/>
    <col min="4" max="4" width="11.7265625" style="3" customWidth="1"/>
    <col min="5" max="5" width="9.7265625" style="1" customWidth="1"/>
    <col min="6" max="7" width="16.7265625" style="4" customWidth="1"/>
    <col min="8" max="8" width="22.7265625" style="91" customWidth="1"/>
    <col min="9" max="9" width="24.7265625" style="4" customWidth="1"/>
    <col min="10" max="10" width="7.1796875" style="155" customWidth="1"/>
    <col min="11" max="11" width="21.26953125" style="155" customWidth="1"/>
    <col min="12" max="12" width="7.1796875" style="155" customWidth="1"/>
    <col min="13" max="15" width="7.1796875" style="145" customWidth="1"/>
    <col min="16" max="16" width="7.1796875" style="156" customWidth="1"/>
    <col min="17" max="17" width="12.7265625" style="156" bestFit="1" customWidth="1"/>
    <col min="18" max="250" width="9.1796875" style="5" customWidth="1"/>
    <col min="251" max="251" width="6.54296875" style="5" customWidth="1"/>
    <col min="252" max="252" width="3.7265625" style="5" customWidth="1"/>
    <col min="253" max="253" width="27.7265625" style="5" customWidth="1"/>
    <col min="254" max="254" width="5" style="5" customWidth="1"/>
    <col min="255" max="255" width="30" style="5" customWidth="1"/>
    <col min="256" max="16384" width="31.81640625" style="5"/>
  </cols>
  <sheetData>
    <row r="1" spans="1:17" ht="15" customHeight="1">
      <c r="B1" s="2"/>
      <c r="C1" s="80"/>
    </row>
    <row r="2" spans="1:17" ht="21" customHeight="1">
      <c r="A2" s="6"/>
      <c r="B2" s="561" t="s">
        <v>41</v>
      </c>
      <c r="C2" s="56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2" t="s">
        <v>23</v>
      </c>
      <c r="C4" s="563" t="s">
        <v>1012</v>
      </c>
      <c r="D4" s="563" t="s">
        <v>42</v>
      </c>
      <c r="E4" s="562" t="s">
        <v>43</v>
      </c>
      <c r="F4" s="108" t="s">
        <v>1609</v>
      </c>
      <c r="G4" s="108" t="s">
        <v>1608</v>
      </c>
      <c r="H4" s="560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2"/>
      <c r="C5" s="563"/>
      <c r="D5" s="563"/>
      <c r="E5" s="562"/>
      <c r="F5" s="93"/>
      <c r="G5" s="93"/>
      <c r="H5" s="560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40" priority="138" operator="equal">
      <formula>0</formula>
    </cfRule>
  </conditionalFormatting>
  <conditionalFormatting sqref="B8:C135">
    <cfRule type="cellIs" dxfId="39" priority="51" operator="equal">
      <formula>0</formula>
    </cfRule>
  </conditionalFormatting>
  <conditionalFormatting sqref="B150:G1493">
    <cfRule type="cellIs" dxfId="38" priority="1" operator="equal">
      <formula>0</formula>
    </cfRule>
  </conditionalFormatting>
  <conditionalFormatting sqref="C143:G149">
    <cfRule type="cellIs" dxfId="37" priority="5" operator="equal">
      <formula>0</formula>
    </cfRule>
  </conditionalFormatting>
  <conditionalFormatting sqref="D9:G142">
    <cfRule type="cellIs" dxfId="36" priority="11" operator="equal">
      <formula>0</formula>
    </cfRule>
  </conditionalFormatting>
  <conditionalFormatting sqref="D1:IV5 A1:C7 D6:K6 H1455:IV1457 H1458:XFD1485 H1486:H1493 I1486:XFD1494 A1494:H1494 A1495:XFD65536">
    <cfRule type="cellIs" dxfId="35" priority="163" operator="equal">
      <formula>0</formula>
    </cfRule>
  </conditionalFormatting>
  <conditionalFormatting sqref="D7:IV8 C136:C142 B136:B149">
    <cfRule type="cellIs" dxfId="34" priority="62" operator="equal">
      <formula>0</formula>
    </cfRule>
  </conditionalFormatting>
  <conditionalFormatting sqref="H9:H1418">
    <cfRule type="cellIs" dxfId="33" priority="129" operator="equal">
      <formula>0</formula>
    </cfRule>
  </conditionalFormatting>
  <conditionalFormatting sqref="H1419:I1454">
    <cfRule type="cellIs" dxfId="32" priority="128" operator="equal">
      <formula>0</formula>
    </cfRule>
  </conditionalFormatting>
  <conditionalFormatting sqref="I108:I1418">
    <cfRule type="cellIs" dxfId="31" priority="125" operator="equal">
      <formula>0</formula>
    </cfRule>
  </conditionalFormatting>
  <conditionalFormatting sqref="J108:IV1454">
    <cfRule type="cellIs" dxfId="30" priority="139" operator="equal">
      <formula>0</formula>
    </cfRule>
  </conditionalFormatting>
  <conditionalFormatting sqref="M6:IV6">
    <cfRule type="cellIs" dxfId="29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N27"/>
  <sheetViews>
    <sheetView topLeftCell="A5" zoomScale="55" zoomScaleNormal="55" zoomScaleSheetLayoutView="85" workbookViewId="0">
      <selection activeCell="M18" sqref="M18"/>
    </sheetView>
  </sheetViews>
  <sheetFormatPr defaultColWidth="9.1796875" defaultRowHeight="14.5"/>
  <cols>
    <col min="1" max="1" width="4.26953125" style="202" customWidth="1"/>
    <col min="2" max="2" width="33.26953125" style="202" customWidth="1"/>
    <col min="3" max="3" width="3.7265625" style="203" customWidth="1"/>
    <col min="4" max="4" width="15" style="202" customWidth="1"/>
    <col min="5" max="5" width="12.453125" style="202" customWidth="1"/>
    <col min="6" max="6" width="5.453125" style="202" customWidth="1"/>
    <col min="7" max="7" width="5.453125" style="202" hidden="1" customWidth="1"/>
    <col min="8" max="8" width="5.1796875" style="202" customWidth="1"/>
    <col min="9" max="9" width="34.1796875" style="202" customWidth="1"/>
    <col min="10" max="10" width="3.54296875" style="202" customWidth="1"/>
    <col min="11" max="11" width="12.7265625" style="202" customWidth="1"/>
    <col min="12" max="12" width="12.453125" style="202" customWidth="1"/>
    <col min="13" max="13" width="15" style="202" customWidth="1"/>
    <col min="14" max="14" width="17" style="202" customWidth="1"/>
    <col min="15" max="15" width="18.1796875" style="202" customWidth="1"/>
    <col min="16" max="16" width="20.26953125" style="202" customWidth="1"/>
    <col min="17" max="17" width="14.54296875" style="202" customWidth="1"/>
    <col min="18" max="16384" width="9.1796875" style="202"/>
  </cols>
  <sheetData>
    <row r="2" spans="1:14" s="205" customFormat="1" ht="18.75" customHeight="1">
      <c r="B2" s="568" t="s">
        <v>1454</v>
      </c>
      <c r="C2" s="568"/>
      <c r="D2" s="568"/>
      <c r="E2" s="568"/>
      <c r="I2" s="206"/>
    </row>
    <row r="3" spans="1:14" s="205" customFormat="1" ht="13.5" customHeight="1" thickBot="1">
      <c r="B3" s="278"/>
      <c r="C3" s="278"/>
      <c r="D3" s="278"/>
      <c r="E3" s="278"/>
      <c r="I3" s="206"/>
    </row>
    <row r="4" spans="1:14" s="205" customFormat="1" ht="29.25" customHeight="1">
      <c r="A4" s="209"/>
      <c r="B4" s="573" t="s">
        <v>1532</v>
      </c>
      <c r="C4" s="574"/>
      <c r="D4" s="574"/>
      <c r="E4" s="575"/>
      <c r="F4" s="442"/>
      <c r="G4" s="442"/>
      <c r="H4" s="443"/>
      <c r="I4" s="600" t="s">
        <v>1533</v>
      </c>
      <c r="J4" s="601"/>
      <c r="K4" s="601"/>
      <c r="L4" s="602"/>
    </row>
    <row r="5" spans="1:14" ht="34.5" customHeight="1">
      <c r="A5" s="204"/>
      <c r="B5" s="445" t="s">
        <v>1379</v>
      </c>
      <c r="C5" s="277" t="s">
        <v>9</v>
      </c>
      <c r="D5" s="569" t="str">
        <f>DATA!D14</f>
        <v>MASJID HAJAR ASWAD</v>
      </c>
      <c r="E5" s="570"/>
      <c r="F5" s="208"/>
      <c r="G5" s="208"/>
      <c r="I5" s="446" t="s">
        <v>1379</v>
      </c>
      <c r="J5" s="277" t="s">
        <v>9</v>
      </c>
      <c r="K5" s="603" t="str">
        <f>D5</f>
        <v>MASJID HAJAR ASWAD</v>
      </c>
      <c r="L5" s="604"/>
    </row>
    <row r="6" spans="1:14" ht="31.5" customHeight="1">
      <c r="A6" s="204"/>
      <c r="B6" s="445" t="s">
        <v>1529</v>
      </c>
      <c r="C6" s="277" t="s">
        <v>9</v>
      </c>
      <c r="D6" s="578">
        <f>DATA!D17*1000</f>
        <v>0</v>
      </c>
      <c r="E6" s="579"/>
      <c r="F6" s="208"/>
      <c r="G6" s="208"/>
      <c r="I6" s="446" t="s">
        <v>1530</v>
      </c>
      <c r="J6" s="277" t="s">
        <v>9</v>
      </c>
      <c r="K6" s="605">
        <v>10600</v>
      </c>
      <c r="L6" s="606"/>
    </row>
    <row r="7" spans="1:14" ht="30.75" customHeight="1">
      <c r="A7" s="204"/>
      <c r="B7" s="445" t="s">
        <v>1441</v>
      </c>
      <c r="C7" s="277" t="s">
        <v>9</v>
      </c>
      <c r="D7" s="576">
        <v>0</v>
      </c>
      <c r="E7" s="577"/>
      <c r="F7" s="444" t="s">
        <v>1453</v>
      </c>
      <c r="I7" s="446" t="s">
        <v>1441</v>
      </c>
      <c r="J7" s="277" t="s">
        <v>9</v>
      </c>
      <c r="K7" s="607">
        <v>3</v>
      </c>
      <c r="L7" s="608"/>
    </row>
    <row r="8" spans="1:14" ht="51" customHeight="1">
      <c r="A8" s="204"/>
      <c r="B8" s="445" t="s">
        <v>1442</v>
      </c>
      <c r="C8" s="277" t="s">
        <v>9</v>
      </c>
      <c r="D8" s="576">
        <f>DATA!D19</f>
        <v>220</v>
      </c>
      <c r="E8" s="577"/>
      <c r="F8" s="444" t="s">
        <v>1453</v>
      </c>
      <c r="G8" s="439">
        <v>220</v>
      </c>
      <c r="I8" s="446" t="s">
        <v>1442</v>
      </c>
      <c r="J8" s="277" t="s">
        <v>9</v>
      </c>
      <c r="K8" s="607">
        <f>DATA!D22</f>
        <v>220</v>
      </c>
      <c r="L8" s="608"/>
    </row>
    <row r="9" spans="1:14" ht="30" customHeight="1" thickBot="1">
      <c r="A9" s="204"/>
      <c r="B9" s="451" t="s">
        <v>1541</v>
      </c>
      <c r="C9" s="441" t="s">
        <v>9</v>
      </c>
      <c r="D9" s="571">
        <f>IF(D7=1,D6/(380/3^0.5),(D6/(380*3^0.5)))</f>
        <v>0</v>
      </c>
      <c r="E9" s="572"/>
      <c r="F9" s="207"/>
      <c r="G9" s="440">
        <v>380</v>
      </c>
      <c r="I9" s="452" t="s">
        <v>1541</v>
      </c>
      <c r="J9" s="441" t="s">
        <v>9</v>
      </c>
      <c r="K9" s="609">
        <f>IF(K7=1,K6/(380/3^0.5),(K6/(380*3^0.5)))</f>
        <v>16.105033824763247</v>
      </c>
      <c r="L9" s="610"/>
    </row>
    <row r="10" spans="1:14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4" ht="16" thickBot="1">
      <c r="B11" s="447" t="s">
        <v>1542</v>
      </c>
      <c r="I11" s="447" t="s">
        <v>1536</v>
      </c>
    </row>
    <row r="12" spans="1:14" ht="34.5" customHeight="1">
      <c r="A12" s="204"/>
      <c r="B12" s="475" t="s">
        <v>1534</v>
      </c>
      <c r="C12" s="469" t="s">
        <v>9</v>
      </c>
      <c r="D12" s="580" t="s">
        <v>1627</v>
      </c>
      <c r="E12" s="581"/>
      <c r="F12" s="208"/>
      <c r="G12" s="208"/>
      <c r="I12" s="468" t="s">
        <v>1534</v>
      </c>
      <c r="J12" s="469" t="s">
        <v>9</v>
      </c>
      <c r="K12" s="580" t="s">
        <v>1627</v>
      </c>
      <c r="L12" s="581"/>
    </row>
    <row r="13" spans="1:14" ht="31.5" customHeight="1">
      <c r="A13" s="204"/>
      <c r="B13" s="476" t="s">
        <v>1380</v>
      </c>
      <c r="C13" s="456" t="s">
        <v>9</v>
      </c>
      <c r="D13" s="584" t="s">
        <v>1634</v>
      </c>
      <c r="E13" s="585"/>
      <c r="F13" s="208"/>
      <c r="G13" s="208"/>
      <c r="I13" s="470" t="s">
        <v>1380</v>
      </c>
      <c r="J13" s="456" t="s">
        <v>9</v>
      </c>
      <c r="K13" s="584" t="s">
        <v>1634</v>
      </c>
      <c r="L13" s="585"/>
    </row>
    <row r="14" spans="1:14" ht="30.75" customHeight="1">
      <c r="A14" s="204"/>
      <c r="B14" s="476" t="s">
        <v>1535</v>
      </c>
      <c r="C14" s="456" t="s">
        <v>9</v>
      </c>
      <c r="D14" s="592">
        <v>50</v>
      </c>
      <c r="E14" s="593"/>
      <c r="F14" s="444" t="s">
        <v>1453</v>
      </c>
      <c r="G14" s="448">
        <v>50</v>
      </c>
      <c r="I14" s="470" t="s">
        <v>1535</v>
      </c>
      <c r="J14" s="456" t="s">
        <v>9</v>
      </c>
      <c r="K14" s="594">
        <v>50</v>
      </c>
      <c r="L14" s="595"/>
    </row>
    <row r="15" spans="1:14" ht="57" customHeight="1">
      <c r="A15" s="204"/>
      <c r="B15" s="476" t="s">
        <v>1441</v>
      </c>
      <c r="C15" s="456" t="s">
        <v>9</v>
      </c>
      <c r="D15" s="462">
        <v>3</v>
      </c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  <c r="N15" s="514"/>
    </row>
    <row r="16" spans="1:14" ht="44.25" customHeight="1">
      <c r="A16" s="204"/>
      <c r="B16" s="476" t="s">
        <v>1545</v>
      </c>
      <c r="C16" s="456"/>
      <c r="D16" s="596">
        <v>30.3</v>
      </c>
      <c r="E16" s="597"/>
      <c r="F16" s="444"/>
      <c r="G16" s="448">
        <v>160</v>
      </c>
      <c r="I16" s="470" t="s">
        <v>1537</v>
      </c>
      <c r="J16" s="456" t="s">
        <v>9</v>
      </c>
      <c r="K16" s="598">
        <f>D16+K9</f>
        <v>46.405033824763251</v>
      </c>
      <c r="L16" s="599"/>
    </row>
    <row r="17" spans="1:12" ht="34.5" customHeight="1">
      <c r="A17" s="204"/>
      <c r="B17" s="476" t="s">
        <v>1538</v>
      </c>
      <c r="C17" s="456" t="s">
        <v>9</v>
      </c>
      <c r="D17" s="586">
        <f>IF(D15=1,D14/(20/3^0.5),(D14/(20*3^0.5)))</f>
        <v>1.4433756729740645</v>
      </c>
      <c r="E17" s="587"/>
      <c r="F17" s="444" t="s">
        <v>1453</v>
      </c>
      <c r="G17" s="449">
        <v>200</v>
      </c>
      <c r="I17" s="470" t="s">
        <v>1538</v>
      </c>
      <c r="J17" s="456" t="s">
        <v>9</v>
      </c>
      <c r="K17" s="590">
        <f>IF(K15=1,K14/(20/3^0.5),(K14/(20*3^0.5)))</f>
        <v>1.4433756729740645</v>
      </c>
      <c r="L17" s="591"/>
    </row>
    <row r="18" spans="1:12" ht="34.5" customHeight="1">
      <c r="A18" s="204"/>
      <c r="B18" s="476" t="s">
        <v>1539</v>
      </c>
      <c r="C18" s="456" t="s">
        <v>9</v>
      </c>
      <c r="D18" s="586">
        <f>IF(D15=1,D14/(380/3^0.5),(D14/(380*3^0.5)))*1000</f>
        <v>75.96714068284551</v>
      </c>
      <c r="E18" s="587"/>
      <c r="F18" s="444" t="s">
        <v>1453</v>
      </c>
      <c r="G18" s="449">
        <v>250</v>
      </c>
      <c r="I18" s="470" t="s">
        <v>1539</v>
      </c>
      <c r="J18" s="456" t="s">
        <v>9</v>
      </c>
      <c r="K18" s="590">
        <f>IF(K15=1,K14/(380/3^0.5),(K14/(380*3^0.5)))*1000</f>
        <v>75.96714068284551</v>
      </c>
      <c r="L18" s="591"/>
    </row>
    <row r="19" spans="1:12" ht="30" customHeight="1">
      <c r="A19" s="204"/>
      <c r="B19" s="477" t="s">
        <v>1531</v>
      </c>
      <c r="C19" s="455" t="s">
        <v>9</v>
      </c>
      <c r="D19" s="586">
        <f>IF(D15=1,D14/(380/3^0.5),(D14/(380*3^0.5)))</f>
        <v>7.5967140682845505E-2</v>
      </c>
      <c r="E19" s="587"/>
      <c r="F19" s="207"/>
      <c r="G19" s="440"/>
      <c r="I19" s="472" t="s">
        <v>1531</v>
      </c>
      <c r="J19" s="455" t="s">
        <v>9</v>
      </c>
      <c r="K19" s="590">
        <f>IF(K15=1,K14/(380/3^0.5),(K14/(380*3^0.5)))</f>
        <v>7.5967140682845505E-2</v>
      </c>
      <c r="L19" s="591"/>
    </row>
    <row r="20" spans="1:12" ht="30" customHeight="1" thickBot="1">
      <c r="A20" s="204"/>
      <c r="B20" s="478" t="s">
        <v>1540</v>
      </c>
      <c r="C20" s="474" t="s">
        <v>9</v>
      </c>
      <c r="D20" s="582">
        <f>D16/D18</f>
        <v>0.39885665996696101</v>
      </c>
      <c r="E20" s="583"/>
      <c r="F20" s="207"/>
      <c r="G20" s="440"/>
      <c r="I20" s="473" t="s">
        <v>1531</v>
      </c>
      <c r="J20" s="474" t="s">
        <v>9</v>
      </c>
      <c r="K20" s="588">
        <f>K16/K18</f>
        <v>0.61085665996696104</v>
      </c>
      <c r="L20" s="589"/>
    </row>
    <row r="21" spans="1:12" ht="9.75" customHeight="1">
      <c r="A21" s="204"/>
      <c r="B21" s="463" t="s">
        <v>1540</v>
      </c>
      <c r="C21" s="464" t="s">
        <v>9</v>
      </c>
      <c r="D21" s="567">
        <v>1</v>
      </c>
      <c r="E21" s="567"/>
      <c r="F21" s="465"/>
      <c r="G21" s="466"/>
      <c r="H21" s="467"/>
      <c r="I21" s="463" t="s">
        <v>1531</v>
      </c>
      <c r="J21" s="464" t="s">
        <v>9</v>
      </c>
      <c r="K21" s="567">
        <v>1</v>
      </c>
      <c r="L21" s="567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" thickBot="1"/>
    <row r="24" spans="1:12" ht="200.25" customHeight="1" thickBot="1">
      <c r="B24" s="564"/>
      <c r="C24" s="565"/>
      <c r="D24" s="565"/>
      <c r="E24" s="566"/>
      <c r="I24" s="564"/>
      <c r="J24" s="565"/>
      <c r="K24" s="565"/>
      <c r="L24" s="566"/>
    </row>
    <row r="26" spans="1:12">
      <c r="D26" s="458"/>
    </row>
    <row r="27" spans="1:12">
      <c r="D27" s="45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8" priority="5" stopIfTrue="1" operator="greaterThan">
      <formula>0.89</formula>
    </cfRule>
    <cfRule type="cellIs" dxfId="27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86" zoomScaleNormal="100" workbookViewId="0">
      <selection activeCell="D11" sqref="D11"/>
    </sheetView>
  </sheetViews>
  <sheetFormatPr defaultColWidth="9.1796875" defaultRowHeight="14.5"/>
  <cols>
    <col min="1" max="1" width="1.26953125" style="287" customWidth="1"/>
    <col min="2" max="2" width="25.26953125" style="287" customWidth="1"/>
    <col min="3" max="3" width="3.26953125" style="287" customWidth="1"/>
    <col min="4" max="4" width="26.26953125" style="301" customWidth="1"/>
    <col min="5" max="5" width="6.453125" style="287" customWidth="1"/>
    <col min="6" max="6" width="12" style="287" bestFit="1" customWidth="1"/>
    <col min="7" max="8" width="9.1796875" style="287" hidden="1" customWidth="1"/>
    <col min="9" max="9" width="9.1796875" style="287"/>
    <col min="10" max="10" width="3.81640625" style="287" customWidth="1"/>
    <col min="11" max="11" width="2.7265625" style="287" customWidth="1"/>
    <col min="12" max="16384" width="9.1796875" style="287"/>
  </cols>
  <sheetData>
    <row r="1" spans="2:11" ht="12.75" customHeight="1">
      <c r="B1" s="611"/>
      <c r="C1" s="611"/>
      <c r="D1" s="611"/>
    </row>
    <row r="2" spans="2:11" ht="15.75" customHeight="1">
      <c r="B2" s="288" t="s">
        <v>1443</v>
      </c>
      <c r="C2" s="289"/>
      <c r="D2" s="290"/>
    </row>
    <row r="3" spans="2:11" ht="20.149999999999999" customHeight="1">
      <c r="B3" s="291" t="s">
        <v>1349</v>
      </c>
      <c r="C3" s="292" t="s">
        <v>9</v>
      </c>
      <c r="D3" s="293">
        <v>2022</v>
      </c>
    </row>
    <row r="4" spans="2:11" ht="20.149999999999999" customHeight="1">
      <c r="B4" s="291" t="s">
        <v>1030</v>
      </c>
      <c r="C4" s="292" t="s">
        <v>9</v>
      </c>
      <c r="D4" s="294">
        <v>0.12</v>
      </c>
    </row>
    <row r="5" spans="2:11" ht="20.149999999999999" customHeight="1">
      <c r="B5" s="291" t="s">
        <v>1350</v>
      </c>
      <c r="C5" s="292" t="s">
        <v>9</v>
      </c>
      <c r="D5" s="491">
        <v>1084.1250458865841</v>
      </c>
      <c r="F5" s="486" t="s">
        <v>1611</v>
      </c>
      <c r="K5" s="485"/>
    </row>
    <row r="6" spans="2:11" ht="20.149999999999999" customHeight="1">
      <c r="B6" s="291" t="s">
        <v>1351</v>
      </c>
      <c r="C6" s="292" t="s">
        <v>9</v>
      </c>
      <c r="D6" s="296">
        <v>25</v>
      </c>
      <c r="F6" s="486"/>
    </row>
    <row r="7" spans="2:11" ht="20.149999999999999" customHeight="1">
      <c r="B7" s="291" t="s">
        <v>1352</v>
      </c>
      <c r="C7" s="292" t="s">
        <v>9</v>
      </c>
      <c r="D7" s="297">
        <v>2.2499999999999999E-2</v>
      </c>
    </row>
    <row r="8" spans="2:11" ht="20.149999999999999" customHeight="1">
      <c r="B8" s="291" t="s">
        <v>1444</v>
      </c>
      <c r="C8" s="292" t="s">
        <v>9</v>
      </c>
      <c r="D8" s="515">
        <f>D20-D17</f>
        <v>10.6</v>
      </c>
    </row>
    <row r="9" spans="2:11" ht="20.149999999999999" customHeight="1">
      <c r="B9" s="291" t="s">
        <v>1445</v>
      </c>
      <c r="C9" s="292" t="s">
        <v>9</v>
      </c>
      <c r="D9" s="298">
        <f>(D8*D25)*1000</f>
        <v>10271400</v>
      </c>
    </row>
    <row r="10" spans="2:11" ht="20.149999999999999" customHeight="1">
      <c r="B10" s="291" t="s">
        <v>1446</v>
      </c>
      <c r="C10" s="292" t="s">
        <v>9</v>
      </c>
      <c r="D10" s="298">
        <f ca="1">RAB!K92</f>
        <v>21189205.209559999</v>
      </c>
    </row>
    <row r="11" spans="2:11" ht="20.149999999999999" customHeight="1">
      <c r="B11" s="291" t="s">
        <v>1356</v>
      </c>
      <c r="C11" s="292" t="s">
        <v>9</v>
      </c>
      <c r="D11" s="295">
        <f ca="1">2%*D10</f>
        <v>423784.10419119999</v>
      </c>
    </row>
    <row r="12" spans="2:11" ht="9" customHeight="1">
      <c r="B12" s="612"/>
      <c r="C12" s="612"/>
      <c r="D12" s="612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1628</v>
      </c>
      <c r="E14" s="300" t="s">
        <v>1453</v>
      </c>
    </row>
    <row r="15" spans="2:11" ht="20.149999999999999" customHeight="1">
      <c r="B15" s="417" t="s">
        <v>1447</v>
      </c>
      <c r="C15" s="418" t="s">
        <v>9</v>
      </c>
      <c r="D15" s="422" t="s">
        <v>1629</v>
      </c>
      <c r="E15" s="300" t="s">
        <v>1453</v>
      </c>
    </row>
    <row r="16" spans="2:11" ht="20.149999999999999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49999999999999" customHeight="1">
      <c r="B17" s="417" t="s">
        <v>1449</v>
      </c>
      <c r="C17" s="418" t="s">
        <v>9</v>
      </c>
      <c r="D17" s="511">
        <v>0</v>
      </c>
      <c r="E17" s="300" t="s">
        <v>1453</v>
      </c>
    </row>
    <row r="18" spans="2:5" ht="20.149999999999999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49999999999999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49999999999999" customHeight="1">
      <c r="B20" s="417" t="s">
        <v>1450</v>
      </c>
      <c r="C20" s="418" t="s">
        <v>9</v>
      </c>
      <c r="D20" s="511">
        <v>10.6</v>
      </c>
      <c r="E20" s="300" t="s">
        <v>1453</v>
      </c>
    </row>
    <row r="21" spans="2:5" ht="20.149999999999999" hidden="1" customHeight="1">
      <c r="B21" s="417" t="s">
        <v>1543</v>
      </c>
      <c r="C21" s="418"/>
      <c r="D21" s="423">
        <f>IF((D20&lt;=11),1,3)</f>
        <v>1</v>
      </c>
      <c r="E21" s="300"/>
    </row>
    <row r="22" spans="2:5" ht="20.149999999999999" hidden="1" customHeight="1">
      <c r="B22" s="417" t="s">
        <v>1544</v>
      </c>
      <c r="C22" s="418"/>
      <c r="D22" s="423">
        <f>IF((D20&lt;=11),220,380)</f>
        <v>220</v>
      </c>
      <c r="E22" s="300"/>
    </row>
    <row r="23" spans="2:5" ht="20.149999999999999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49999999999999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49999999999999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49999999999999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E1" zoomScale="85" zoomScaleNormal="85" workbookViewId="0">
      <pane ySplit="6" topLeftCell="A7" activePane="bottomLeft" state="frozen"/>
      <selection activeCell="H1093" sqref="H1093"/>
      <selection pane="bottomLeft" activeCell="M16" sqref="M16"/>
    </sheetView>
  </sheetViews>
  <sheetFormatPr defaultColWidth="9.1796875" defaultRowHeight="14.5"/>
  <cols>
    <col min="1" max="1" width="5" style="302" customWidth="1"/>
    <col min="2" max="2" width="6.26953125" style="302" customWidth="1"/>
    <col min="3" max="3" width="15.1796875" style="302" customWidth="1"/>
    <col min="4" max="4" width="15" style="302" customWidth="1"/>
    <col min="5" max="5" width="15.1796875" style="302" bestFit="1" customWidth="1"/>
    <col min="6" max="6" width="12.1796875" style="302" bestFit="1" customWidth="1"/>
    <col min="7" max="7" width="10" style="302" bestFit="1" customWidth="1"/>
    <col min="8" max="8" width="15.7265625" style="302" bestFit="1" customWidth="1"/>
    <col min="9" max="9" width="14.1796875" style="302" bestFit="1" customWidth="1"/>
    <col min="10" max="10" width="13.81640625" style="302" bestFit="1" customWidth="1"/>
    <col min="11" max="11" width="15.7265625" style="302" customWidth="1"/>
    <col min="12" max="12" width="11.1796875" style="302" bestFit="1" customWidth="1"/>
    <col min="13" max="13" width="13.81640625" style="302" bestFit="1" customWidth="1"/>
    <col min="14" max="14" width="12.81640625" style="302" bestFit="1" customWidth="1"/>
    <col min="15" max="15" width="7" style="302" customWidth="1"/>
    <col min="16" max="17" width="12.81640625" style="302" bestFit="1" customWidth="1"/>
    <col min="18" max="18" width="1.26953125" style="302" hidden="1" customWidth="1"/>
    <col min="19" max="19" width="3" style="304" hidden="1" customWidth="1"/>
    <col min="20" max="16384" width="9.1796875" style="302"/>
  </cols>
  <sheetData>
    <row r="1" spans="1:21">
      <c r="G1" s="303"/>
    </row>
    <row r="2" spans="1:21">
      <c r="G2" s="303"/>
      <c r="K2" s="303"/>
    </row>
    <row r="3" spans="1:21">
      <c r="B3" s="613" t="s">
        <v>1357</v>
      </c>
      <c r="C3" s="613"/>
      <c r="D3" s="613"/>
      <c r="E3" s="613"/>
      <c r="F3" s="305" t="str">
        <f>DATA!D14</f>
        <v>MASJID HAJAR ASWAD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49999999999999" customHeight="1">
      <c r="B5" s="614" t="s">
        <v>1349</v>
      </c>
      <c r="C5" s="614" t="s">
        <v>1358</v>
      </c>
      <c r="D5" s="615" t="s">
        <v>1359</v>
      </c>
      <c r="E5" s="615" t="s">
        <v>1360</v>
      </c>
      <c r="F5" s="614" t="s">
        <v>1361</v>
      </c>
      <c r="G5" s="614"/>
      <c r="H5" s="614"/>
      <c r="I5" s="614"/>
      <c r="J5" s="614"/>
      <c r="K5" s="614" t="s">
        <v>1362</v>
      </c>
      <c r="L5" s="614"/>
      <c r="M5" s="307"/>
      <c r="N5" s="618" t="s">
        <v>1363</v>
      </c>
      <c r="O5" s="615" t="s">
        <v>1364</v>
      </c>
      <c r="P5" s="615" t="s">
        <v>1365</v>
      </c>
      <c r="Q5" s="615" t="s">
        <v>1366</v>
      </c>
      <c r="R5" s="308"/>
      <c r="S5" s="309"/>
      <c r="T5" s="616" t="s">
        <v>1367</v>
      </c>
      <c r="U5" s="310"/>
    </row>
    <row r="6" spans="1:21" ht="20.149999999999999" customHeight="1">
      <c r="B6" s="614"/>
      <c r="C6" s="614"/>
      <c r="D6" s="614"/>
      <c r="E6" s="614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9"/>
      <c r="O6" s="614"/>
      <c r="P6" s="614"/>
      <c r="Q6" s="614"/>
      <c r="R6" s="308"/>
      <c r="S6" s="309"/>
      <c r="T6" s="614"/>
      <c r="U6" s="312"/>
    </row>
    <row r="7" spans="1:21" ht="20.149999999999999" customHeight="1">
      <c r="A7" s="313">
        <v>0</v>
      </c>
      <c r="B7" s="314">
        <v>2023</v>
      </c>
      <c r="C7" s="479">
        <f>DATA!D8*DATA!D26*8</f>
        <v>3392</v>
      </c>
      <c r="D7" s="316">
        <f>C7*4/24</f>
        <v>565.33333333333337</v>
      </c>
      <c r="E7" s="316">
        <f>C7-D7</f>
        <v>2826.6666666666665</v>
      </c>
      <c r="F7" s="317">
        <f ca="1">DATA!D10/1000000</f>
        <v>21.189205209560001</v>
      </c>
      <c r="G7" s="318">
        <f ca="1">DATA!$D$11/1000000</f>
        <v>0.4237841041912</v>
      </c>
      <c r="H7" s="318">
        <f>C7*DATA!$D$5/1000000</f>
        <v>3.6773521556472932</v>
      </c>
      <c r="I7" s="318">
        <f>(C7*DATA!$D$5*DATA!$D$7)/1000000</f>
        <v>8.2740423502064092E-2</v>
      </c>
      <c r="J7" s="316">
        <f ca="1">SUM(F7:I7)</f>
        <v>25.373081892900554</v>
      </c>
      <c r="K7" s="319">
        <f>DATA!D9/1000000</f>
        <v>10.2714</v>
      </c>
      <c r="L7" s="316">
        <f>((D7*DATA!$D$23)/1000000)+((E7*DATA!$D$24)/1000000)</f>
        <v>4.9004224000000001</v>
      </c>
      <c r="M7" s="316">
        <f>K7+L7</f>
        <v>15.1718224</v>
      </c>
      <c r="N7" s="316">
        <f ca="1">M7-J7</f>
        <v>-10.201259492900554</v>
      </c>
      <c r="O7" s="314">
        <v>1</v>
      </c>
      <c r="P7" s="316">
        <f ca="1">O7*N7</f>
        <v>-10.201259492900554</v>
      </c>
      <c r="Q7" s="316">
        <f ca="1">P7</f>
        <v>-10.201259492900554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49999999999999" customHeight="1">
      <c r="A8" s="313">
        <f>A7+1</f>
        <v>1</v>
      </c>
      <c r="B8" s="314">
        <f>B7+1</f>
        <v>2024</v>
      </c>
      <c r="C8" s="315">
        <f>DATA!D8*DATA!D26*12</f>
        <v>5088</v>
      </c>
      <c r="D8" s="316">
        <f>C8*4/24</f>
        <v>848</v>
      </c>
      <c r="E8" s="316">
        <f t="shared" ref="E8:E32" si="0">C8-D8</f>
        <v>4240</v>
      </c>
      <c r="F8" s="314"/>
      <c r="G8" s="318">
        <f ca="1">DATA!$D$11/1000000</f>
        <v>0.4237841041912</v>
      </c>
      <c r="H8" s="318">
        <f>C8*DATA!$D$5/1000000</f>
        <v>5.5160282334709398</v>
      </c>
      <c r="I8" s="318">
        <f>(C8*DATA!$D$5*DATA!$D$7)/1000000</f>
        <v>0.12411063525309614</v>
      </c>
      <c r="J8" s="316">
        <f t="shared" ref="J8:J32" ca="1" si="1">SUM(F8:I8)</f>
        <v>6.0639229729152362</v>
      </c>
      <c r="K8" s="321"/>
      <c r="L8" s="316">
        <f>((D8*DATA!$D$23)/1000000)+((E8*DATA!$D$24)/1000000)</f>
        <v>7.3506336000000001</v>
      </c>
      <c r="M8" s="316">
        <f t="shared" ref="M8:M32" si="2">K8+L8</f>
        <v>7.3506336000000001</v>
      </c>
      <c r="N8" s="316">
        <f ca="1">M8-J8</f>
        <v>1.2867106270847639</v>
      </c>
      <c r="O8" s="315">
        <f>1/(1+'[93]Asumsi I'!$C$3)^(KKF!A8)</f>
        <v>0.89285714285714279</v>
      </c>
      <c r="P8" s="316">
        <f ca="1">O8*N8</f>
        <v>1.1488487741828248</v>
      </c>
      <c r="Q8" s="316">
        <f ca="1">Q7+P8</f>
        <v>-9.052410718717729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49999999999999" customHeight="1">
      <c r="A9" s="313">
        <f t="shared" ref="A9:B24" si="4">A8+1</f>
        <v>2</v>
      </c>
      <c r="B9" s="314">
        <f t="shared" si="4"/>
        <v>2025</v>
      </c>
      <c r="C9" s="322">
        <f>+C8</f>
        <v>5088</v>
      </c>
      <c r="D9" s="316">
        <f t="shared" ref="D9:D32" si="5">C9*4/24</f>
        <v>848</v>
      </c>
      <c r="E9" s="316">
        <f t="shared" si="0"/>
        <v>4240</v>
      </c>
      <c r="F9" s="314"/>
      <c r="G9" s="318">
        <f ca="1">DATA!$D$11/1000000</f>
        <v>0.4237841041912</v>
      </c>
      <c r="H9" s="318">
        <f>C9*DATA!$D$5/1000000</f>
        <v>5.5160282334709398</v>
      </c>
      <c r="I9" s="318">
        <f>(C9*DATA!$D$5*DATA!$D$7)/1000000</f>
        <v>0.12411063525309614</v>
      </c>
      <c r="J9" s="316">
        <f t="shared" ca="1" si="1"/>
        <v>6.0639229729152362</v>
      </c>
      <c r="K9" s="316"/>
      <c r="L9" s="316">
        <f>((D9*DATA!$D$23)/1000000)+((E9*DATA!$D$24)/1000000)</f>
        <v>7.3506336000000001</v>
      </c>
      <c r="M9" s="316">
        <f t="shared" si="2"/>
        <v>7.3506336000000001</v>
      </c>
      <c r="N9" s="316">
        <f t="shared" ref="N9:N32" ca="1" si="6">M9-J9</f>
        <v>1.2867106270847639</v>
      </c>
      <c r="O9" s="322">
        <f>1/(1+'[93]Asumsi I'!$C$3)^(KKF!A9)</f>
        <v>0.79719387755102034</v>
      </c>
      <c r="P9" s="316">
        <f t="shared" ref="P9:P32" ca="1" si="7">O9*N9</f>
        <v>1.0257578340918079</v>
      </c>
      <c r="Q9" s="316">
        <f ca="1">Q8+P9</f>
        <v>-8.0266528846259213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49999999999999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5088</v>
      </c>
      <c r="D10" s="316">
        <f t="shared" si="5"/>
        <v>848</v>
      </c>
      <c r="E10" s="316">
        <f t="shared" si="0"/>
        <v>4240</v>
      </c>
      <c r="F10" s="314"/>
      <c r="G10" s="318">
        <f ca="1">DATA!$D$11/1000000</f>
        <v>0.4237841041912</v>
      </c>
      <c r="H10" s="318">
        <f>C10*DATA!$D$5/1000000</f>
        <v>5.5160282334709398</v>
      </c>
      <c r="I10" s="318">
        <f>(C10*DATA!$D$5*DATA!$D$7)/1000000</f>
        <v>0.12411063525309614</v>
      </c>
      <c r="J10" s="316">
        <f t="shared" ca="1" si="1"/>
        <v>6.0639229729152362</v>
      </c>
      <c r="K10" s="314"/>
      <c r="L10" s="316">
        <f>((D10*DATA!$D$23)/1000000)+((E10*DATA!$D$24)/1000000)</f>
        <v>7.3506336000000001</v>
      </c>
      <c r="M10" s="316">
        <f t="shared" si="2"/>
        <v>7.3506336000000001</v>
      </c>
      <c r="N10" s="316">
        <f t="shared" ca="1" si="6"/>
        <v>1.2867106270847639</v>
      </c>
      <c r="O10" s="315">
        <f>1/(1+'[93]Asumsi I'!$C$3)^(KKF!A10)</f>
        <v>0.71178024781341087</v>
      </c>
      <c r="P10" s="316">
        <f t="shared" ca="1" si="7"/>
        <v>0.91585520901054251</v>
      </c>
      <c r="Q10" s="316">
        <f t="shared" ref="Q10:Q30" ca="1" si="9">Q9+P10</f>
        <v>-7.1107976756153786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49999999999999" customHeight="1">
      <c r="A11" s="313">
        <f t="shared" si="4"/>
        <v>4</v>
      </c>
      <c r="B11" s="314">
        <f t="shared" si="4"/>
        <v>2027</v>
      </c>
      <c r="C11" s="315">
        <f>+C10</f>
        <v>5088</v>
      </c>
      <c r="D11" s="316">
        <f t="shared" si="5"/>
        <v>848</v>
      </c>
      <c r="E11" s="316">
        <f t="shared" si="0"/>
        <v>4240</v>
      </c>
      <c r="F11" s="314"/>
      <c r="G11" s="318">
        <f ca="1">DATA!$D$11/1000000</f>
        <v>0.4237841041912</v>
      </c>
      <c r="H11" s="318">
        <f>C11*DATA!$D$5/1000000</f>
        <v>5.5160282334709398</v>
      </c>
      <c r="I11" s="318">
        <f>(C11*DATA!$D$5*DATA!$D$7)/1000000</f>
        <v>0.12411063525309614</v>
      </c>
      <c r="J11" s="316">
        <f t="shared" ca="1" si="1"/>
        <v>6.0639229729152362</v>
      </c>
      <c r="K11" s="314"/>
      <c r="L11" s="316">
        <f>((D11*DATA!$D$23)/1000000)+((E11*DATA!$D$24)/1000000)</f>
        <v>7.3506336000000001</v>
      </c>
      <c r="M11" s="316">
        <f t="shared" si="2"/>
        <v>7.3506336000000001</v>
      </c>
      <c r="N11" s="316">
        <f t="shared" ca="1" si="6"/>
        <v>1.2867106270847639</v>
      </c>
      <c r="O11" s="315">
        <f>1/(1+'[93]Asumsi I'!$C$3)^(KKF!A11)</f>
        <v>0.63551807840483121</v>
      </c>
      <c r="P11" s="316">
        <f t="shared" ca="1" si="7"/>
        <v>0.81772786518798457</v>
      </c>
      <c r="Q11" s="316">
        <f t="shared" ca="1" si="9"/>
        <v>-6.2930698104273937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49999999999999" customHeight="1">
      <c r="A12" s="313">
        <f t="shared" si="4"/>
        <v>5</v>
      </c>
      <c r="B12" s="314">
        <f t="shared" si="4"/>
        <v>2028</v>
      </c>
      <c r="C12" s="315">
        <f t="shared" si="8"/>
        <v>5088</v>
      </c>
      <c r="D12" s="316">
        <f t="shared" si="5"/>
        <v>848</v>
      </c>
      <c r="E12" s="316">
        <f t="shared" si="0"/>
        <v>4240</v>
      </c>
      <c r="F12" s="314"/>
      <c r="G12" s="318">
        <f ca="1">DATA!$D$11/1000000</f>
        <v>0.4237841041912</v>
      </c>
      <c r="H12" s="318">
        <f>C12*DATA!$D$5/1000000</f>
        <v>5.5160282334709398</v>
      </c>
      <c r="I12" s="318">
        <f>(C12*DATA!$D$5*DATA!$D$7)/1000000</f>
        <v>0.12411063525309614</v>
      </c>
      <c r="J12" s="316">
        <f t="shared" ca="1" si="1"/>
        <v>6.0639229729152362</v>
      </c>
      <c r="K12" s="314"/>
      <c r="L12" s="316">
        <f>((D12*DATA!$D$23)/1000000)+((E12*DATA!$D$24)/1000000)</f>
        <v>7.3506336000000001</v>
      </c>
      <c r="M12" s="316">
        <f t="shared" si="2"/>
        <v>7.3506336000000001</v>
      </c>
      <c r="N12" s="316">
        <f t="shared" ca="1" si="6"/>
        <v>1.2867106270847639</v>
      </c>
      <c r="O12" s="315">
        <f>1/(1+'[93]Asumsi I'!$C$3)^(KKF!A12)</f>
        <v>0.56742685571859919</v>
      </c>
      <c r="P12" s="316">
        <f t="shared" ca="1" si="7"/>
        <v>0.7301141653464146</v>
      </c>
      <c r="Q12" s="316">
        <f t="shared" ca="1" si="9"/>
        <v>-5.5629556450809794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49999999999999" customHeight="1">
      <c r="A13" s="313">
        <f t="shared" si="4"/>
        <v>6</v>
      </c>
      <c r="B13" s="314">
        <f t="shared" si="4"/>
        <v>2029</v>
      </c>
      <c r="C13" s="315">
        <f t="shared" si="8"/>
        <v>5088</v>
      </c>
      <c r="D13" s="316">
        <f t="shared" si="5"/>
        <v>848</v>
      </c>
      <c r="E13" s="316">
        <f t="shared" si="0"/>
        <v>4240</v>
      </c>
      <c r="F13" s="314"/>
      <c r="G13" s="318">
        <f ca="1">DATA!$D$11/1000000</f>
        <v>0.4237841041912</v>
      </c>
      <c r="H13" s="318">
        <f>C13*DATA!$D$5/1000000</f>
        <v>5.5160282334709398</v>
      </c>
      <c r="I13" s="318">
        <f>(C13*DATA!$D$5*DATA!$D$7)/1000000</f>
        <v>0.12411063525309614</v>
      </c>
      <c r="J13" s="316">
        <f t="shared" ca="1" si="1"/>
        <v>6.0639229729152362</v>
      </c>
      <c r="K13" s="314"/>
      <c r="L13" s="316">
        <f>((D13*DATA!$D$23)/1000000)+((E13*DATA!$D$24)/1000000)</f>
        <v>7.3506336000000001</v>
      </c>
      <c r="M13" s="316">
        <f t="shared" si="2"/>
        <v>7.3506336000000001</v>
      </c>
      <c r="N13" s="316">
        <f t="shared" ca="1" si="6"/>
        <v>1.2867106270847639</v>
      </c>
      <c r="O13" s="315">
        <f>1/(1+'[93]Asumsi I'!$C$3)^(KKF!A13)</f>
        <v>0.50663112117732068</v>
      </c>
      <c r="P13" s="316">
        <f t="shared" ca="1" si="7"/>
        <v>0.65188764763072726</v>
      </c>
      <c r="Q13" s="316">
        <f t="shared" ca="1" si="9"/>
        <v>-4.9110679974502522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49999999999999" customHeight="1">
      <c r="A14" s="313">
        <f t="shared" si="4"/>
        <v>7</v>
      </c>
      <c r="B14" s="314">
        <f t="shared" si="4"/>
        <v>2030</v>
      </c>
      <c r="C14" s="315">
        <f t="shared" si="8"/>
        <v>5088</v>
      </c>
      <c r="D14" s="316">
        <f t="shared" si="5"/>
        <v>848</v>
      </c>
      <c r="E14" s="316">
        <f t="shared" si="0"/>
        <v>4240</v>
      </c>
      <c r="F14" s="314"/>
      <c r="G14" s="318">
        <f ca="1">DATA!$D$11/1000000</f>
        <v>0.4237841041912</v>
      </c>
      <c r="H14" s="318">
        <f>C14*DATA!$D$5/1000000</f>
        <v>5.5160282334709398</v>
      </c>
      <c r="I14" s="318">
        <f>(C14*DATA!$D$5*DATA!$D$7)/1000000</f>
        <v>0.12411063525309614</v>
      </c>
      <c r="J14" s="316">
        <f t="shared" ca="1" si="1"/>
        <v>6.0639229729152362</v>
      </c>
      <c r="K14" s="314"/>
      <c r="L14" s="316">
        <f>((D14*DATA!$D$23)/1000000)+((E14*DATA!$D$24)/1000000)</f>
        <v>7.3506336000000001</v>
      </c>
      <c r="M14" s="316">
        <f t="shared" si="2"/>
        <v>7.3506336000000001</v>
      </c>
      <c r="N14" s="316">
        <f t="shared" ca="1" si="6"/>
        <v>1.2867106270847639</v>
      </c>
      <c r="O14" s="315">
        <f>1/(1+'[93]Asumsi I'!$C$3)^(KKF!A14)</f>
        <v>0.45234921533689343</v>
      </c>
      <c r="P14" s="316">
        <f t="shared" ca="1" si="7"/>
        <v>0.58204254252743504</v>
      </c>
      <c r="Q14" s="316">
        <f t="shared" ca="1" si="9"/>
        <v>-4.3290254549228173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49999999999999" customHeight="1">
      <c r="A15" s="313">
        <f t="shared" si="4"/>
        <v>8</v>
      </c>
      <c r="B15" s="314">
        <f t="shared" si="4"/>
        <v>2031</v>
      </c>
      <c r="C15" s="315">
        <f t="shared" si="8"/>
        <v>5088</v>
      </c>
      <c r="D15" s="316">
        <f t="shared" si="5"/>
        <v>848</v>
      </c>
      <c r="E15" s="316">
        <f t="shared" si="0"/>
        <v>4240</v>
      </c>
      <c r="F15" s="314"/>
      <c r="G15" s="318">
        <f ca="1">DATA!$D$11/1000000</f>
        <v>0.4237841041912</v>
      </c>
      <c r="H15" s="318">
        <f>C15*DATA!$D$5/1000000</f>
        <v>5.5160282334709398</v>
      </c>
      <c r="I15" s="318">
        <f>(C15*DATA!$D$5*DATA!$D$7)/1000000</f>
        <v>0.12411063525309614</v>
      </c>
      <c r="J15" s="316">
        <f t="shared" ca="1" si="1"/>
        <v>6.0639229729152362</v>
      </c>
      <c r="K15" s="314"/>
      <c r="L15" s="316">
        <f>((D15*DATA!$D$23)/1000000)+((E15*DATA!$D$24)/1000000)</f>
        <v>7.3506336000000001</v>
      </c>
      <c r="M15" s="316">
        <f t="shared" si="2"/>
        <v>7.3506336000000001</v>
      </c>
      <c r="N15" s="316">
        <f t="shared" ca="1" si="6"/>
        <v>1.2867106270847639</v>
      </c>
      <c r="O15" s="315">
        <f>1/(1+'[93]Asumsi I'!$C$3)^(KKF!A15)</f>
        <v>0.4038832279793691</v>
      </c>
      <c r="P15" s="316">
        <f t="shared" ca="1" si="7"/>
        <v>0.51968084154235272</v>
      </c>
      <c r="Q15" s="316">
        <f t="shared" ca="1" si="9"/>
        <v>-3.8093446133804645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49999999999999" customHeight="1">
      <c r="A16" s="313">
        <f t="shared" si="4"/>
        <v>9</v>
      </c>
      <c r="B16" s="314">
        <f t="shared" si="4"/>
        <v>2032</v>
      </c>
      <c r="C16" s="315">
        <f t="shared" si="8"/>
        <v>5088</v>
      </c>
      <c r="D16" s="316">
        <f t="shared" si="5"/>
        <v>848</v>
      </c>
      <c r="E16" s="316">
        <f t="shared" si="0"/>
        <v>4240</v>
      </c>
      <c r="F16" s="314"/>
      <c r="G16" s="318">
        <f ca="1">DATA!$D$11/1000000</f>
        <v>0.4237841041912</v>
      </c>
      <c r="H16" s="318">
        <f>C16*DATA!$D$5/1000000</f>
        <v>5.5160282334709398</v>
      </c>
      <c r="I16" s="318">
        <f>(C16*DATA!$D$5*DATA!$D$7)/1000000</f>
        <v>0.12411063525309614</v>
      </c>
      <c r="J16" s="316">
        <f t="shared" ca="1" si="1"/>
        <v>6.0639229729152362</v>
      </c>
      <c r="K16" s="314"/>
      <c r="L16" s="316">
        <f>((D16*DATA!$D$23)/1000000)+((E16*DATA!$D$24)/1000000)</f>
        <v>7.3506336000000001</v>
      </c>
      <c r="M16" s="316">
        <f t="shared" si="2"/>
        <v>7.3506336000000001</v>
      </c>
      <c r="N16" s="316">
        <f t="shared" ca="1" si="6"/>
        <v>1.2867106270847639</v>
      </c>
      <c r="O16" s="315">
        <f>1/(1+'[93]Asumsi I'!$C$3)^(KKF!A16)</f>
        <v>0.36061002498157957</v>
      </c>
      <c r="P16" s="316">
        <f t="shared" ca="1" si="7"/>
        <v>0.46400075137710062</v>
      </c>
      <c r="Q16" s="316">
        <f t="shared" ca="1" si="9"/>
        <v>-3.345343862003364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49999999999999" customHeight="1">
      <c r="A17" s="313">
        <f t="shared" si="4"/>
        <v>10</v>
      </c>
      <c r="B17" s="314">
        <f t="shared" si="4"/>
        <v>2033</v>
      </c>
      <c r="C17" s="315">
        <f t="shared" si="8"/>
        <v>5088</v>
      </c>
      <c r="D17" s="316">
        <f t="shared" si="5"/>
        <v>848</v>
      </c>
      <c r="E17" s="316">
        <f t="shared" si="0"/>
        <v>4240</v>
      </c>
      <c r="F17" s="314"/>
      <c r="G17" s="318">
        <f ca="1">DATA!$D$11/1000000</f>
        <v>0.4237841041912</v>
      </c>
      <c r="H17" s="318">
        <f>C17*DATA!$D$5/1000000</f>
        <v>5.5160282334709398</v>
      </c>
      <c r="I17" s="318">
        <f>(C17*DATA!$D$5*DATA!$D$7)/1000000</f>
        <v>0.12411063525309614</v>
      </c>
      <c r="J17" s="316">
        <f t="shared" ca="1" si="1"/>
        <v>6.0639229729152362</v>
      </c>
      <c r="K17" s="314"/>
      <c r="L17" s="316">
        <f>((D17*DATA!$D$23)/1000000)+((E17*DATA!$D$24)/1000000)</f>
        <v>7.3506336000000001</v>
      </c>
      <c r="M17" s="316">
        <f t="shared" si="2"/>
        <v>7.3506336000000001</v>
      </c>
      <c r="N17" s="316">
        <f t="shared" ca="1" si="6"/>
        <v>1.2867106270847639</v>
      </c>
      <c r="O17" s="315">
        <f>1/(1+'[93]Asumsi I'!$C$3)^(KKF!A17)</f>
        <v>0.32197323659069599</v>
      </c>
      <c r="P17" s="316">
        <f t="shared" ca="1" si="7"/>
        <v>0.41428638515812549</v>
      </c>
      <c r="Q17" s="316">
        <f t="shared" ca="1" si="9"/>
        <v>-2.9310574768452384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49999999999999" customHeight="1">
      <c r="A18" s="313">
        <f t="shared" si="4"/>
        <v>11</v>
      </c>
      <c r="B18" s="314">
        <f t="shared" si="4"/>
        <v>2034</v>
      </c>
      <c r="C18" s="315">
        <f t="shared" si="8"/>
        <v>5088</v>
      </c>
      <c r="D18" s="316">
        <f t="shared" si="5"/>
        <v>848</v>
      </c>
      <c r="E18" s="316">
        <f t="shared" si="0"/>
        <v>4240</v>
      </c>
      <c r="F18" s="314"/>
      <c r="G18" s="318">
        <f ca="1">DATA!$D$11/1000000</f>
        <v>0.4237841041912</v>
      </c>
      <c r="H18" s="318">
        <f>C18*DATA!$D$5/1000000</f>
        <v>5.5160282334709398</v>
      </c>
      <c r="I18" s="318">
        <f>(C18*DATA!$D$5*DATA!$D$7)/1000000</f>
        <v>0.12411063525309614</v>
      </c>
      <c r="J18" s="316">
        <f t="shared" ca="1" si="1"/>
        <v>6.0639229729152362</v>
      </c>
      <c r="K18" s="314"/>
      <c r="L18" s="316">
        <f>((D18*DATA!$D$23)/1000000)+((E18*DATA!$D$24)/1000000)</f>
        <v>7.3506336000000001</v>
      </c>
      <c r="M18" s="316">
        <f t="shared" si="2"/>
        <v>7.3506336000000001</v>
      </c>
      <c r="N18" s="316">
        <f t="shared" ca="1" si="6"/>
        <v>1.2867106270847639</v>
      </c>
      <c r="O18" s="315">
        <f>1/(1+'[93]Asumsi I'!$C$3)^(KKF!A18)</f>
        <v>0.28747610409883567</v>
      </c>
      <c r="P18" s="316">
        <f t="shared" ca="1" si="7"/>
        <v>0.36989855817689771</v>
      </c>
      <c r="Q18" s="316">
        <f t="shared" ca="1" si="9"/>
        <v>-2.5611589186683408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49999999999999" customHeight="1">
      <c r="A19" s="313">
        <f t="shared" si="4"/>
        <v>12</v>
      </c>
      <c r="B19" s="314">
        <f t="shared" si="4"/>
        <v>2035</v>
      </c>
      <c r="C19" s="315">
        <f t="shared" si="8"/>
        <v>5088</v>
      </c>
      <c r="D19" s="316">
        <f t="shared" si="5"/>
        <v>848</v>
      </c>
      <c r="E19" s="316">
        <f t="shared" si="0"/>
        <v>4240</v>
      </c>
      <c r="F19" s="314"/>
      <c r="G19" s="318">
        <f ca="1">DATA!$D$11/1000000</f>
        <v>0.4237841041912</v>
      </c>
      <c r="H19" s="318">
        <f>C19*DATA!$D$5/1000000</f>
        <v>5.5160282334709398</v>
      </c>
      <c r="I19" s="318">
        <f>(C19*DATA!$D$5*DATA!$D$7)/1000000</f>
        <v>0.12411063525309614</v>
      </c>
      <c r="J19" s="316">
        <f t="shared" ca="1" si="1"/>
        <v>6.0639229729152362</v>
      </c>
      <c r="K19" s="314"/>
      <c r="L19" s="316">
        <f>((D19*DATA!$D$23)/1000000)+((E19*DATA!$D$24)/1000000)</f>
        <v>7.3506336000000001</v>
      </c>
      <c r="M19" s="316">
        <f t="shared" si="2"/>
        <v>7.3506336000000001</v>
      </c>
      <c r="N19" s="316">
        <f t="shared" ca="1" si="6"/>
        <v>1.2867106270847639</v>
      </c>
      <c r="O19" s="315">
        <f>1/(1+'[93]Asumsi I'!$C$3)^(KKF!A19)</f>
        <v>0.25667509294538904</v>
      </c>
      <c r="P19" s="316">
        <f t="shared" ca="1" si="7"/>
        <v>0.3302665698008016</v>
      </c>
      <c r="Q19" s="316">
        <f t="shared" ca="1" si="9"/>
        <v>-2.2308923488675392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49999999999999" customHeight="1">
      <c r="A20" s="313">
        <f t="shared" si="4"/>
        <v>13</v>
      </c>
      <c r="B20" s="314">
        <f t="shared" si="4"/>
        <v>2036</v>
      </c>
      <c r="C20" s="315">
        <f t="shared" si="8"/>
        <v>5088</v>
      </c>
      <c r="D20" s="316">
        <f t="shared" si="5"/>
        <v>848</v>
      </c>
      <c r="E20" s="316">
        <f t="shared" si="0"/>
        <v>4240</v>
      </c>
      <c r="F20" s="314"/>
      <c r="G20" s="318">
        <f ca="1">DATA!$D$11/1000000</f>
        <v>0.4237841041912</v>
      </c>
      <c r="H20" s="318">
        <f>C20*DATA!$D$5/1000000</f>
        <v>5.5160282334709398</v>
      </c>
      <c r="I20" s="318">
        <f>(C20*DATA!$D$5*DATA!$D$7)/1000000</f>
        <v>0.12411063525309614</v>
      </c>
      <c r="J20" s="316">
        <f t="shared" ca="1" si="1"/>
        <v>6.0639229729152362</v>
      </c>
      <c r="K20" s="314"/>
      <c r="L20" s="316">
        <f>((D20*DATA!$D$23)/1000000)+((E20*DATA!$D$24)/1000000)</f>
        <v>7.3506336000000001</v>
      </c>
      <c r="M20" s="316">
        <f t="shared" si="2"/>
        <v>7.3506336000000001</v>
      </c>
      <c r="N20" s="316">
        <f t="shared" ca="1" si="6"/>
        <v>1.2867106270847639</v>
      </c>
      <c r="O20" s="315">
        <f>1/(1+'[93]Asumsi I'!$C$3)^(KKF!A20)</f>
        <v>0.22917419012981158</v>
      </c>
      <c r="P20" s="316">
        <f t="shared" ca="1" si="7"/>
        <v>0.29488086589357276</v>
      </c>
      <c r="Q20" s="316">
        <f t="shared" ca="1" si="9"/>
        <v>-1.9360114829739663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49999999999999" customHeight="1">
      <c r="A21" s="313">
        <f t="shared" si="4"/>
        <v>14</v>
      </c>
      <c r="B21" s="314">
        <f t="shared" si="4"/>
        <v>2037</v>
      </c>
      <c r="C21" s="315">
        <f t="shared" si="8"/>
        <v>5088</v>
      </c>
      <c r="D21" s="316">
        <f t="shared" si="5"/>
        <v>848</v>
      </c>
      <c r="E21" s="316">
        <f t="shared" si="0"/>
        <v>4240</v>
      </c>
      <c r="F21" s="314"/>
      <c r="G21" s="318">
        <f ca="1">DATA!$D$11/1000000</f>
        <v>0.4237841041912</v>
      </c>
      <c r="H21" s="318">
        <f>C21*DATA!$D$5/1000000</f>
        <v>5.5160282334709398</v>
      </c>
      <c r="I21" s="318">
        <f>(C21*DATA!$D$5*DATA!$D$7)/1000000</f>
        <v>0.12411063525309614</v>
      </c>
      <c r="J21" s="316">
        <f t="shared" ca="1" si="1"/>
        <v>6.0639229729152362</v>
      </c>
      <c r="K21" s="314"/>
      <c r="L21" s="316">
        <f>((D21*DATA!$D$23)/1000000)+((E21*DATA!$D$24)/1000000)</f>
        <v>7.3506336000000001</v>
      </c>
      <c r="M21" s="316">
        <f t="shared" si="2"/>
        <v>7.3506336000000001</v>
      </c>
      <c r="N21" s="316">
        <f t="shared" ca="1" si="6"/>
        <v>1.2867106270847639</v>
      </c>
      <c r="O21" s="315">
        <f>1/(1+'[93]Asumsi I'!$C$3)^(KKF!A21)</f>
        <v>0.20461981261590317</v>
      </c>
      <c r="P21" s="316">
        <f t="shared" ca="1" si="7"/>
        <v>0.26328648740497568</v>
      </c>
      <c r="Q21" s="316">
        <f t="shared" ca="1" si="9"/>
        <v>-1.6727249955689907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49999999999999" customHeight="1">
      <c r="A22" s="313">
        <f t="shared" si="4"/>
        <v>15</v>
      </c>
      <c r="B22" s="314">
        <f t="shared" si="4"/>
        <v>2038</v>
      </c>
      <c r="C22" s="315">
        <f t="shared" si="8"/>
        <v>5088</v>
      </c>
      <c r="D22" s="316">
        <f t="shared" si="5"/>
        <v>848</v>
      </c>
      <c r="E22" s="316">
        <f t="shared" si="0"/>
        <v>4240</v>
      </c>
      <c r="F22" s="314"/>
      <c r="G22" s="318">
        <f ca="1">DATA!$D$11/1000000</f>
        <v>0.4237841041912</v>
      </c>
      <c r="H22" s="318">
        <f>C22*DATA!$D$5/1000000</f>
        <v>5.5160282334709398</v>
      </c>
      <c r="I22" s="318">
        <f>(C22*DATA!$D$5*DATA!$D$7)/1000000</f>
        <v>0.12411063525309614</v>
      </c>
      <c r="J22" s="316">
        <f t="shared" ca="1" si="1"/>
        <v>6.0639229729152362</v>
      </c>
      <c r="K22" s="314"/>
      <c r="L22" s="316">
        <f>((D22*DATA!$D$23)/1000000)+((E22*DATA!$D$24)/1000000)</f>
        <v>7.3506336000000001</v>
      </c>
      <c r="M22" s="316">
        <f t="shared" si="2"/>
        <v>7.3506336000000001</v>
      </c>
      <c r="N22" s="316">
        <f t="shared" ca="1" si="6"/>
        <v>1.2867106270847639</v>
      </c>
      <c r="O22" s="315">
        <f>1/(1+'[93]Asumsi I'!$C$3)^(KKF!A22)</f>
        <v>0.18269626126419927</v>
      </c>
      <c r="P22" s="316">
        <f t="shared" ca="1" si="7"/>
        <v>0.23507722089729971</v>
      </c>
      <c r="Q22" s="316">
        <f t="shared" ca="1" si="9"/>
        <v>-1.4376477746716909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49999999999999" customHeight="1">
      <c r="A23" s="313">
        <f t="shared" si="4"/>
        <v>16</v>
      </c>
      <c r="B23" s="314">
        <f t="shared" si="4"/>
        <v>2039</v>
      </c>
      <c r="C23" s="315">
        <f t="shared" si="8"/>
        <v>5088</v>
      </c>
      <c r="D23" s="316">
        <f t="shared" si="5"/>
        <v>848</v>
      </c>
      <c r="E23" s="316">
        <f t="shared" si="0"/>
        <v>4240</v>
      </c>
      <c r="F23" s="314"/>
      <c r="G23" s="318">
        <f ca="1">DATA!$D$11/1000000</f>
        <v>0.4237841041912</v>
      </c>
      <c r="H23" s="318">
        <f>C23*DATA!$D$5/1000000</f>
        <v>5.5160282334709398</v>
      </c>
      <c r="I23" s="318">
        <f>(C23*DATA!$D$5*DATA!$D$7)/1000000</f>
        <v>0.12411063525309614</v>
      </c>
      <c r="J23" s="316">
        <f t="shared" ca="1" si="1"/>
        <v>6.0639229729152362</v>
      </c>
      <c r="K23" s="314"/>
      <c r="L23" s="316">
        <f>((D23*DATA!$D$23)/1000000)+((E23*DATA!$D$24)/1000000)</f>
        <v>7.3506336000000001</v>
      </c>
      <c r="M23" s="316">
        <f t="shared" si="2"/>
        <v>7.3506336000000001</v>
      </c>
      <c r="N23" s="316">
        <f t="shared" ca="1" si="6"/>
        <v>1.2867106270847639</v>
      </c>
      <c r="O23" s="315">
        <f>1/(1+'[93]Asumsi I'!$C$3)^(KKF!A23)</f>
        <v>0.16312166184303503</v>
      </c>
      <c r="P23" s="316">
        <f t="shared" ca="1" si="7"/>
        <v>0.20989037580116041</v>
      </c>
      <c r="Q23" s="316">
        <f t="shared" ca="1" si="9"/>
        <v>-1.2277573988705306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49999999999999" customHeight="1">
      <c r="A24" s="313">
        <f t="shared" si="4"/>
        <v>17</v>
      </c>
      <c r="B24" s="314">
        <f t="shared" si="4"/>
        <v>2040</v>
      </c>
      <c r="C24" s="315">
        <f t="shared" si="8"/>
        <v>5088</v>
      </c>
      <c r="D24" s="316">
        <f t="shared" si="5"/>
        <v>848</v>
      </c>
      <c r="E24" s="316">
        <f t="shared" si="0"/>
        <v>4240</v>
      </c>
      <c r="F24" s="314"/>
      <c r="G24" s="318">
        <f ca="1">DATA!$D$11/1000000</f>
        <v>0.4237841041912</v>
      </c>
      <c r="H24" s="318">
        <f>C24*DATA!$D$5/1000000</f>
        <v>5.5160282334709398</v>
      </c>
      <c r="I24" s="318">
        <f>(C24*DATA!$D$5*DATA!$D$7)/1000000</f>
        <v>0.12411063525309614</v>
      </c>
      <c r="J24" s="316">
        <f t="shared" ca="1" si="1"/>
        <v>6.0639229729152362</v>
      </c>
      <c r="K24" s="314"/>
      <c r="L24" s="316">
        <f>((D24*DATA!$D$23)/1000000)+((E24*DATA!$D$24)/1000000)</f>
        <v>7.3506336000000001</v>
      </c>
      <c r="M24" s="316">
        <f t="shared" si="2"/>
        <v>7.3506336000000001</v>
      </c>
      <c r="N24" s="316">
        <f t="shared" ca="1" si="6"/>
        <v>1.2867106270847639</v>
      </c>
      <c r="O24" s="315">
        <f>1/(1+'[93]Asumsi I'!$C$3)^(KKF!A24)</f>
        <v>0.14564434093128129</v>
      </c>
      <c r="P24" s="316">
        <f t="shared" ca="1" si="7"/>
        <v>0.18740212125103609</v>
      </c>
      <c r="Q24" s="316">
        <f t="shared" ca="1" si="9"/>
        <v>-1.0403552776194944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49999999999999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5088</v>
      </c>
      <c r="D25" s="316">
        <f t="shared" si="5"/>
        <v>848</v>
      </c>
      <c r="E25" s="316">
        <f t="shared" si="0"/>
        <v>4240</v>
      </c>
      <c r="F25" s="314"/>
      <c r="G25" s="318">
        <f ca="1">DATA!$D$11/1000000</f>
        <v>0.4237841041912</v>
      </c>
      <c r="H25" s="318">
        <f>C25*DATA!$D$5/1000000</f>
        <v>5.5160282334709398</v>
      </c>
      <c r="I25" s="318">
        <f>(C25*DATA!$D$5*DATA!$D$7)/1000000</f>
        <v>0.12411063525309614</v>
      </c>
      <c r="J25" s="316">
        <f t="shared" ca="1" si="1"/>
        <v>6.0639229729152362</v>
      </c>
      <c r="K25" s="314"/>
      <c r="L25" s="316">
        <f>((D25*DATA!$D$23)/1000000)+((E25*DATA!$D$24)/1000000)</f>
        <v>7.3506336000000001</v>
      </c>
      <c r="M25" s="316">
        <f t="shared" si="2"/>
        <v>7.3506336000000001</v>
      </c>
      <c r="N25" s="316">
        <f t="shared" ca="1" si="6"/>
        <v>1.2867106270847639</v>
      </c>
      <c r="O25" s="315">
        <f>1/(1+'[93]Asumsi I'!$C$3)^(KKF!A25)</f>
        <v>0.13003959011721541</v>
      </c>
      <c r="P25" s="316">
        <f t="shared" ca="1" si="7"/>
        <v>0.16732332254556792</v>
      </c>
      <c r="Q25" s="316">
        <f t="shared" ca="1" si="9"/>
        <v>-0.8730319550739265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49999999999999" customHeight="1">
      <c r="A26" s="313">
        <f t="shared" si="11"/>
        <v>19</v>
      </c>
      <c r="B26" s="314">
        <f t="shared" si="11"/>
        <v>2042</v>
      </c>
      <c r="C26" s="315">
        <f t="shared" si="8"/>
        <v>5088</v>
      </c>
      <c r="D26" s="316">
        <f t="shared" si="5"/>
        <v>848</v>
      </c>
      <c r="E26" s="316">
        <f t="shared" si="0"/>
        <v>4240</v>
      </c>
      <c r="F26" s="314"/>
      <c r="G26" s="318">
        <f ca="1">DATA!$D$11/1000000</f>
        <v>0.4237841041912</v>
      </c>
      <c r="H26" s="318">
        <f>C26*DATA!$D$5/1000000</f>
        <v>5.5160282334709398</v>
      </c>
      <c r="I26" s="318">
        <f>(C26*DATA!$D$5*DATA!$D$7)/1000000</f>
        <v>0.12411063525309614</v>
      </c>
      <c r="J26" s="316">
        <f t="shared" ca="1" si="1"/>
        <v>6.0639229729152362</v>
      </c>
      <c r="K26" s="314"/>
      <c r="L26" s="316">
        <f>((D26*DATA!$D$23)/1000000)+((E26*DATA!$D$24)/1000000)</f>
        <v>7.3506336000000001</v>
      </c>
      <c r="M26" s="316">
        <f t="shared" si="2"/>
        <v>7.3506336000000001</v>
      </c>
      <c r="N26" s="316">
        <f t="shared" ca="1" si="6"/>
        <v>1.2867106270847639</v>
      </c>
      <c r="O26" s="315">
        <f>1/(1+'[93]Asumsi I'!$C$3)^(KKF!A26)</f>
        <v>0.1161067768903709</v>
      </c>
      <c r="P26" s="316">
        <f t="shared" ca="1" si="7"/>
        <v>0.14939582370139992</v>
      </c>
      <c r="Q26" s="316">
        <f t="shared" ca="1" si="9"/>
        <v>-0.72363613137252658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49999999999999" customHeight="1">
      <c r="A27" s="313">
        <f t="shared" si="11"/>
        <v>20</v>
      </c>
      <c r="B27" s="314">
        <f t="shared" si="11"/>
        <v>2043</v>
      </c>
      <c r="C27" s="315">
        <f t="shared" si="8"/>
        <v>5088</v>
      </c>
      <c r="D27" s="316">
        <f t="shared" si="5"/>
        <v>848</v>
      </c>
      <c r="E27" s="316">
        <f t="shared" si="0"/>
        <v>4240</v>
      </c>
      <c r="F27" s="314"/>
      <c r="G27" s="318">
        <f ca="1">DATA!$D$11/1000000</f>
        <v>0.4237841041912</v>
      </c>
      <c r="H27" s="318">
        <f>C27*DATA!$D$5/1000000</f>
        <v>5.5160282334709398</v>
      </c>
      <c r="I27" s="318">
        <f>(C27*DATA!$D$5*DATA!$D$7)/1000000</f>
        <v>0.12411063525309614</v>
      </c>
      <c r="J27" s="316">
        <f t="shared" ca="1" si="1"/>
        <v>6.0639229729152362</v>
      </c>
      <c r="K27" s="314"/>
      <c r="L27" s="316">
        <f>((D27*DATA!$D$23)/1000000)+((E27*DATA!$D$24)/1000000)</f>
        <v>7.3506336000000001</v>
      </c>
      <c r="M27" s="316">
        <f t="shared" si="2"/>
        <v>7.3506336000000001</v>
      </c>
      <c r="N27" s="316">
        <f t="shared" ca="1" si="6"/>
        <v>1.2867106270847639</v>
      </c>
      <c r="O27" s="315">
        <f>1/(1+'[93]Asumsi I'!$C$3)^(KKF!A27)</f>
        <v>0.1036667650806883</v>
      </c>
      <c r="P27" s="316">
        <f t="shared" ca="1" si="7"/>
        <v>0.13338912830482136</v>
      </c>
      <c r="Q27" s="316">
        <f t="shared" ca="1" si="9"/>
        <v>-0.59024700306770517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49999999999999" customHeight="1">
      <c r="A28" s="313">
        <f t="shared" si="11"/>
        <v>21</v>
      </c>
      <c r="B28" s="314">
        <f t="shared" si="11"/>
        <v>2044</v>
      </c>
      <c r="C28" s="315">
        <f t="shared" si="8"/>
        <v>5088</v>
      </c>
      <c r="D28" s="316">
        <f t="shared" si="5"/>
        <v>848</v>
      </c>
      <c r="E28" s="316">
        <f t="shared" si="0"/>
        <v>4240</v>
      </c>
      <c r="F28" s="314"/>
      <c r="G28" s="318">
        <f ca="1">DATA!$D$11/1000000</f>
        <v>0.4237841041912</v>
      </c>
      <c r="H28" s="318">
        <f>C28*DATA!$D$5/1000000</f>
        <v>5.5160282334709398</v>
      </c>
      <c r="I28" s="318">
        <f>(C28*DATA!$D$5*DATA!$D$7)/1000000</f>
        <v>0.12411063525309614</v>
      </c>
      <c r="J28" s="316">
        <f t="shared" ca="1" si="1"/>
        <v>6.0639229729152362</v>
      </c>
      <c r="K28" s="314"/>
      <c r="L28" s="316">
        <f>((D28*DATA!$D$23)/1000000)+((E28*DATA!$D$24)/1000000)</f>
        <v>7.3506336000000001</v>
      </c>
      <c r="M28" s="316">
        <f t="shared" si="2"/>
        <v>7.3506336000000001</v>
      </c>
      <c r="N28" s="316">
        <f t="shared" ca="1" si="6"/>
        <v>1.2867106270847639</v>
      </c>
      <c r="O28" s="315">
        <f>1/(1+'[93]Asumsi I'!$C$3)^(KKF!A28)</f>
        <v>9.2559611679185971E-2</v>
      </c>
      <c r="P28" s="316">
        <f t="shared" ca="1" si="7"/>
        <v>0.11909743598644762</v>
      </c>
      <c r="Q28" s="316">
        <f t="shared" ca="1" si="9"/>
        <v>-0.47114956708125755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49999999999999" customHeight="1">
      <c r="A29" s="313">
        <f t="shared" si="11"/>
        <v>22</v>
      </c>
      <c r="B29" s="314">
        <f t="shared" si="11"/>
        <v>2045</v>
      </c>
      <c r="C29" s="315">
        <f t="shared" si="8"/>
        <v>5088</v>
      </c>
      <c r="D29" s="316">
        <f t="shared" si="5"/>
        <v>848</v>
      </c>
      <c r="E29" s="316">
        <f t="shared" si="0"/>
        <v>4240</v>
      </c>
      <c r="F29" s="314"/>
      <c r="G29" s="318">
        <f ca="1">DATA!$D$11/1000000</f>
        <v>0.4237841041912</v>
      </c>
      <c r="H29" s="318">
        <f>C29*DATA!$D$5/1000000</f>
        <v>5.5160282334709398</v>
      </c>
      <c r="I29" s="318">
        <f>(C29*DATA!$D$5*DATA!$D$7)/1000000</f>
        <v>0.12411063525309614</v>
      </c>
      <c r="J29" s="316">
        <f t="shared" ca="1" si="1"/>
        <v>6.0639229729152362</v>
      </c>
      <c r="K29" s="314"/>
      <c r="L29" s="316">
        <f>((D29*DATA!$D$23)/1000000)+((E29*DATA!$D$24)/1000000)</f>
        <v>7.3506336000000001</v>
      </c>
      <c r="M29" s="316">
        <f t="shared" si="2"/>
        <v>7.3506336000000001</v>
      </c>
      <c r="N29" s="316">
        <f t="shared" ca="1" si="6"/>
        <v>1.2867106270847639</v>
      </c>
      <c r="O29" s="315">
        <f>1/(1+'[93]Asumsi I'!$C$3)^(KKF!A29)</f>
        <v>8.2642510427844609E-2</v>
      </c>
      <c r="P29" s="316">
        <f t="shared" ca="1" si="7"/>
        <v>0.10633699641647108</v>
      </c>
      <c r="Q29" s="316">
        <f t="shared" ca="1" si="9"/>
        <v>-0.36481257066478645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49999999999999" customHeight="1">
      <c r="A30" s="313">
        <f t="shared" si="11"/>
        <v>23</v>
      </c>
      <c r="B30" s="314">
        <f t="shared" si="11"/>
        <v>2046</v>
      </c>
      <c r="C30" s="315">
        <f t="shared" si="8"/>
        <v>5088</v>
      </c>
      <c r="D30" s="316">
        <f t="shared" si="5"/>
        <v>848</v>
      </c>
      <c r="E30" s="316">
        <f t="shared" si="0"/>
        <v>4240</v>
      </c>
      <c r="F30" s="314"/>
      <c r="G30" s="318">
        <f ca="1">DATA!$D$11/1000000</f>
        <v>0.4237841041912</v>
      </c>
      <c r="H30" s="318">
        <f>C30*DATA!$D$5/1000000</f>
        <v>5.5160282334709398</v>
      </c>
      <c r="I30" s="318">
        <f>(C30*DATA!$D$5*DATA!$D$7)/1000000</f>
        <v>0.12411063525309614</v>
      </c>
      <c r="J30" s="316">
        <f t="shared" ca="1" si="1"/>
        <v>6.0639229729152362</v>
      </c>
      <c r="K30" s="314"/>
      <c r="L30" s="316">
        <f>((D30*DATA!$D$23)/1000000)+((E30*DATA!$D$24)/1000000)</f>
        <v>7.3506336000000001</v>
      </c>
      <c r="M30" s="316">
        <f t="shared" si="2"/>
        <v>7.3506336000000001</v>
      </c>
      <c r="N30" s="316">
        <f t="shared" ca="1" si="6"/>
        <v>1.2867106270847639</v>
      </c>
      <c r="O30" s="315">
        <f>1/(1+'[93]Asumsi I'!$C$3)^(KKF!A30)</f>
        <v>7.3787955739146982E-2</v>
      </c>
      <c r="P30" s="316">
        <f t="shared" ca="1" si="7"/>
        <v>9.4943746800420614E-2</v>
      </c>
      <c r="Q30" s="316">
        <f t="shared" ca="1" si="9"/>
        <v>-0.26986882386436584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49999999999999" customHeight="1">
      <c r="A31" s="313">
        <f t="shared" si="11"/>
        <v>24</v>
      </c>
      <c r="B31" s="314">
        <f t="shared" si="11"/>
        <v>2047</v>
      </c>
      <c r="C31" s="315">
        <f t="shared" si="8"/>
        <v>5088</v>
      </c>
      <c r="D31" s="316">
        <f t="shared" si="5"/>
        <v>848</v>
      </c>
      <c r="E31" s="316">
        <f t="shared" si="0"/>
        <v>4240</v>
      </c>
      <c r="F31" s="314"/>
      <c r="G31" s="318">
        <f ca="1">DATA!$D$11/1000000</f>
        <v>0.4237841041912</v>
      </c>
      <c r="H31" s="318">
        <f>C31*DATA!$D$5/1000000</f>
        <v>5.5160282334709398</v>
      </c>
      <c r="I31" s="318">
        <f>(C31*DATA!$D$5*DATA!$D$7)/1000000</f>
        <v>0.12411063525309614</v>
      </c>
      <c r="J31" s="316">
        <f t="shared" ca="1" si="1"/>
        <v>6.0639229729152362</v>
      </c>
      <c r="K31" s="314"/>
      <c r="L31" s="316">
        <f>((D31*DATA!$D$23)/1000000)+((E31*DATA!$D$24)/1000000)</f>
        <v>7.3506336000000001</v>
      </c>
      <c r="M31" s="316">
        <f t="shared" si="2"/>
        <v>7.3506336000000001</v>
      </c>
      <c r="N31" s="316">
        <f t="shared" ca="1" si="6"/>
        <v>1.2867106270847639</v>
      </c>
      <c r="O31" s="315">
        <f>1/(1+'[93]Asumsi I'!$C$3)^(KKF!A31)</f>
        <v>6.5882103338524081E-2</v>
      </c>
      <c r="P31" s="316">
        <f t="shared" ca="1" si="7"/>
        <v>8.4771202500375537E-2</v>
      </c>
      <c r="Q31" s="316">
        <f ca="1">Q30+P31</f>
        <v>-0.1850976213639903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49999999999999" customHeight="1">
      <c r="A32" s="313">
        <f t="shared" si="11"/>
        <v>25</v>
      </c>
      <c r="B32" s="314">
        <f>B30+1</f>
        <v>2047</v>
      </c>
      <c r="C32" s="315">
        <f t="shared" si="8"/>
        <v>5088</v>
      </c>
      <c r="D32" s="316">
        <f t="shared" si="5"/>
        <v>848</v>
      </c>
      <c r="E32" s="316">
        <f t="shared" si="0"/>
        <v>4240</v>
      </c>
      <c r="F32" s="314"/>
      <c r="G32" s="318">
        <f ca="1">DATA!$D$11/1000000</f>
        <v>0.4237841041912</v>
      </c>
      <c r="H32" s="318">
        <f>C32*DATA!$D$5/1000000</f>
        <v>5.5160282334709398</v>
      </c>
      <c r="I32" s="318">
        <f>(C32*DATA!$D$5*DATA!$D$7)/1000000</f>
        <v>0.12411063525309614</v>
      </c>
      <c r="J32" s="316">
        <f t="shared" ca="1" si="1"/>
        <v>6.0639229729152362</v>
      </c>
      <c r="K32" s="314"/>
      <c r="L32" s="316">
        <f>((D32*DATA!$D$23)/1000000)+((E32*DATA!$D$24)/1000000)</f>
        <v>7.3506336000000001</v>
      </c>
      <c r="M32" s="316">
        <f t="shared" si="2"/>
        <v>7.3506336000000001</v>
      </c>
      <c r="N32" s="316">
        <f t="shared" ca="1" si="6"/>
        <v>1.2867106270847639</v>
      </c>
      <c r="O32" s="315">
        <f>1/(1+'[93]Asumsi I'!$C$3)^(KKF!A32)</f>
        <v>5.8823306552253637E-2</v>
      </c>
      <c r="P32" s="316">
        <f t="shared" ca="1" si="7"/>
        <v>7.5688573661049585E-2</v>
      </c>
      <c r="Q32" s="316">
        <f ca="1">Q31+P32</f>
        <v>-0.10940904770294071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49999999999999" customHeight="1">
      <c r="B33" s="323"/>
      <c r="C33" s="323"/>
      <c r="D33" s="323"/>
      <c r="E33" s="323"/>
      <c r="F33" s="617" t="s">
        <v>1374</v>
      </c>
      <c r="G33" s="617"/>
      <c r="H33" s="617"/>
      <c r="I33" s="324"/>
      <c r="J33" s="325">
        <f ca="1">SUM(J7:J32)</f>
        <v>176.97115621578146</v>
      </c>
      <c r="K33" s="617" t="s">
        <v>1375</v>
      </c>
      <c r="L33" s="617"/>
      <c r="M33" s="325">
        <f>SUM(M7:M32)</f>
        <v>198.93766240000005</v>
      </c>
      <c r="N33" s="323"/>
      <c r="O33" s="323"/>
      <c r="P33" s="326"/>
      <c r="Q33" s="326"/>
      <c r="S33" s="304">
        <f ca="1">COUNTIF(S7:S32,"a")</f>
        <v>26</v>
      </c>
    </row>
    <row r="34" spans="2:22" ht="20.149999999999999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19.719338100429837</v>
      </c>
      <c r="V34" s="331"/>
    </row>
    <row r="35" spans="2:22" ht="20.149999999999999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49999999999999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1.1241247819923534</v>
      </c>
    </row>
    <row r="37" spans="2:22" ht="20.149999999999999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-9.76866497347708E-2</v>
      </c>
    </row>
    <row r="38" spans="2:22" ht="20.149999999999999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0.11845194930912828</v>
      </c>
    </row>
    <row r="39" spans="2:22" ht="20.149999999999999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6" priority="1" stopIfTrue="1" operator="greaterThanOrEqual">
      <formula>$F$7</formula>
    </cfRule>
    <cfRule type="cellIs" dxfId="25" priority="2" stopIfTrue="1" operator="lessThan">
      <formula>$F$7</formula>
    </cfRule>
  </conditionalFormatting>
  <conditionalFormatting sqref="Q7:Q32">
    <cfRule type="cellIs" dxfId="24" priority="3" operator="lessThan">
      <formula>0</formula>
    </cfRule>
    <cfRule type="cellIs" dxfId="23" priority="4" operator="lessThan">
      <formula>0</formula>
    </cfRule>
    <cfRule type="cellIs" dxfId="22" priority="5" operator="lessThan">
      <formula>-6395.81</formula>
    </cfRule>
    <cfRule type="cellIs" dxfId="21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07"/>
  <sheetViews>
    <sheetView showGridLines="0" tabSelected="1" zoomScale="70" zoomScaleNormal="70" zoomScaleSheetLayoutView="70" workbookViewId="0">
      <pane ySplit="13" topLeftCell="A15" activePane="bottomLeft" state="frozen"/>
      <selection activeCell="H1093" sqref="H1093"/>
      <selection pane="bottomLeft" activeCell="D27" sqref="D27"/>
    </sheetView>
  </sheetViews>
  <sheetFormatPr defaultColWidth="9.1796875" defaultRowHeight="14"/>
  <cols>
    <col min="1" max="1" width="8.26953125" style="336" customWidth="1"/>
    <col min="2" max="2" width="5.1796875" style="337" customWidth="1"/>
    <col min="3" max="3" width="53.453125" style="409" customWidth="1"/>
    <col min="4" max="4" width="13.7265625" style="409" customWidth="1"/>
    <col min="5" max="5" width="12.54296875" style="340" customWidth="1"/>
    <col min="6" max="6" width="7.7265625" style="340" customWidth="1"/>
    <col min="7" max="7" width="12.7265625" style="340" customWidth="1"/>
    <col min="8" max="8" width="18.1796875" style="341" customWidth="1"/>
    <col min="9" max="9" width="16.7265625" style="341" customWidth="1"/>
    <col min="10" max="11" width="16.7265625" style="342" customWidth="1"/>
    <col min="12" max="12" width="3.7265625" style="342" customWidth="1"/>
    <col min="13" max="13" width="14" style="342" customWidth="1"/>
    <col min="14" max="14" width="15" style="342" customWidth="1"/>
    <col min="15" max="15" width="9.1796875" style="343" customWidth="1"/>
    <col min="16" max="16" width="12.7265625" style="344" customWidth="1"/>
    <col min="17" max="17" width="12.7265625" style="343" customWidth="1"/>
    <col min="18" max="18" width="2.453125" style="343" customWidth="1"/>
    <col min="19" max="22" width="10.81640625" style="343" customWidth="1"/>
    <col min="23" max="24" width="9.1796875" style="343" customWidth="1"/>
    <col min="25" max="16384" width="9.179687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20" t="s">
        <v>1036</v>
      </c>
      <c r="P3" s="620"/>
      <c r="Q3" s="346"/>
      <c r="T3" s="344"/>
      <c r="U3" s="345" t="s">
        <v>1041</v>
      </c>
      <c r="V3" s="344"/>
    </row>
    <row r="4" spans="1:22" ht="15.75" customHeight="1">
      <c r="B4" s="621" t="s">
        <v>1023</v>
      </c>
      <c r="C4" s="621"/>
      <c r="D4" s="621"/>
      <c r="E4" s="621"/>
      <c r="F4" s="621"/>
      <c r="G4" s="621"/>
      <c r="H4" s="621"/>
      <c r="I4" s="621"/>
      <c r="J4" s="621"/>
      <c r="K4" s="621"/>
      <c r="O4" s="620"/>
      <c r="P4" s="620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7" t="str">
        <f>DATA!D14</f>
        <v>MASJID HAJAR ASWAD</v>
      </c>
      <c r="H6" s="637"/>
      <c r="I6" s="637"/>
      <c r="J6" s="637"/>
      <c r="K6" s="637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1620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4.5" thickBot="1">
      <c r="C10" s="339"/>
      <c r="D10" s="339"/>
      <c r="T10" s="344"/>
      <c r="U10" s="344"/>
      <c r="V10" s="344"/>
    </row>
    <row r="11" spans="1:22" ht="21" customHeight="1">
      <c r="B11" s="623" t="s">
        <v>0</v>
      </c>
      <c r="C11" s="625" t="s">
        <v>1</v>
      </c>
      <c r="D11" s="628" t="s">
        <v>42</v>
      </c>
      <c r="E11" s="628" t="s">
        <v>43</v>
      </c>
      <c r="F11" s="628" t="s">
        <v>2</v>
      </c>
      <c r="G11" s="630" t="s">
        <v>41</v>
      </c>
      <c r="H11" s="628" t="s">
        <v>3</v>
      </c>
      <c r="I11" s="628"/>
      <c r="J11" s="628"/>
      <c r="K11" s="647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24"/>
      <c r="C12" s="626"/>
      <c r="D12" s="629"/>
      <c r="E12" s="629"/>
      <c r="F12" s="629"/>
      <c r="G12" s="631"/>
      <c r="H12" s="633" t="s">
        <v>46</v>
      </c>
      <c r="I12" s="633" t="s">
        <v>5</v>
      </c>
      <c r="J12" s="629" t="s">
        <v>47</v>
      </c>
      <c r="K12" s="648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24"/>
      <c r="C13" s="627"/>
      <c r="D13" s="629"/>
      <c r="E13" s="629"/>
      <c r="F13" s="629"/>
      <c r="G13" s="632"/>
      <c r="H13" s="634"/>
      <c r="I13" s="634"/>
      <c r="J13" s="629"/>
      <c r="K13" s="648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 ht="14.5">
      <c r="A17" s="336"/>
      <c r="B17" s="371">
        <v>2</v>
      </c>
      <c r="C17" s="109" t="s">
        <v>101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2</v>
      </c>
      <c r="G17" s="360">
        <f ca="1">IF(ISERROR(OFFSET('HARGA SATUAN'!$I$6,MATCH(RAB!C17,'HARGA SATUAN'!$C$7:$C$1492,0),0)),0,OFFSET('HARGA SATUAN'!$I$6,MATCH(RAB!C17,'HARGA SATUAN'!$C$7:$C$1492,0),0))</f>
        <v>3382600</v>
      </c>
      <c r="H17" s="361">
        <f t="shared" ref="H17" ca="1" si="8">IF(OR(D17="MDU",D17="MDU-KD"),(IF($O$3="RAB NON MDU","PLN KD",G17*F17)),0)</f>
        <v>0</v>
      </c>
      <c r="I17" s="361">
        <f t="shared" ref="I17" ca="1" si="9">IF(D17="HDW",G17*F17,0)</f>
        <v>6765200</v>
      </c>
      <c r="J17" s="361">
        <f t="shared" ref="J17" ca="1" si="10">IF(D17="JASA",G17*F17,0)</f>
        <v>0</v>
      </c>
      <c r="K17" s="362">
        <f t="shared" ref="K17" ca="1" si="11">SUM(H17:J17)</f>
        <v>6765200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 ht="14.5">
      <c r="A18" s="336"/>
      <c r="B18" s="371">
        <v>3</v>
      </c>
      <c r="C18" s="109" t="s">
        <v>6</v>
      </c>
      <c r="D18" s="358" t="str">
        <f ca="1">IF(ISERROR(OFFSET('HARGA SATUAN'!$D$6,MATCH(RAB!C18,'HARGA SATUAN'!$C$7:$C$1492,0),0)),"",OFFSET('HARGA SATUAN'!$D$6,MATCH(RAB!C18,'HARGA SATUAN'!$C$7:$C$1492,0),0))</f>
        <v>JASA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v>2</v>
      </c>
      <c r="G18" s="360">
        <f ca="1">IF(ISERROR(OFFSET('HARGA SATUAN'!$I$6,MATCH(RAB!C18,'HARGA SATUAN'!$C$7:$C$1492,0),0)),0,OFFSET('HARGA SATUAN'!$I$6,MATCH(RAB!C18,'HARGA SATUAN'!$C$7:$C$1492,0),0))</f>
        <v>10066.666666666668</v>
      </c>
      <c r="H18" s="361">
        <f t="shared" ref="H18" ca="1" si="12">IF(OR(D18="MDU",D18="MDU-KD"),(IF($O$3="RAB NON MDU","PLN KD",G18*F18)),0)</f>
        <v>0</v>
      </c>
      <c r="I18" s="361">
        <f t="shared" ref="I18" ca="1" si="13">IF(D18="HDW",G18*F18,0)</f>
        <v>0</v>
      </c>
      <c r="J18" s="361">
        <f t="shared" ref="J18" ca="1" si="14">IF(D18="JASA",G18*F18,0)</f>
        <v>20133.333333333336</v>
      </c>
      <c r="K18" s="362">
        <f t="shared" ref="K18" ca="1" si="15">SUM(H18:J18)</f>
        <v>20133.333333333336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 ht="14.5">
      <c r="A19" s="336"/>
      <c r="B19" s="371">
        <v>4</v>
      </c>
      <c r="C19" s="109" t="s">
        <v>461</v>
      </c>
      <c r="D19" s="358" t="str">
        <f ca="1">IF(ISERROR(OFFSET('HARGA SATUAN'!$D$6,MATCH(RAB!C19,'HARGA SATUAN'!$C$7:$C$1492,0),0)),"",OFFSET('HARGA SATUAN'!$D$6,MATCH(RAB!C19,'HARGA SATUAN'!$C$7:$C$1492,0),0))</f>
        <v>HDW</v>
      </c>
      <c r="E19" s="359" t="str">
        <f ca="1">IF(B19="+","Unit",IF(ISERROR(OFFSET('HARGA SATUAN'!$E$6,MATCH(RAB!C19,'HARGA SATUAN'!$C$7:$C$1492,0),0)),"",OFFSET('HARGA SATUAN'!$E$6,MATCH(RAB!C19,'HARGA SATUAN'!$C$7:$C$1492,0),0)))</f>
        <v>Set</v>
      </c>
      <c r="F19" s="368">
        <v>0</v>
      </c>
      <c r="G19" s="360">
        <f ca="1">IF(ISERROR(OFFSET('HARGA SATUAN'!$I$6,MATCH(RAB!C19,'HARGA SATUAN'!$C$7:$C$1492,0),0)),0,OFFSET('HARGA SATUAN'!$I$6,MATCH(RAB!C19,'HARGA SATUAN'!$C$7:$C$1492,0),0))</f>
        <v>200000</v>
      </c>
      <c r="H19" s="361">
        <f t="shared" ref="H19:H21" ca="1" si="16">IF(OR(D19="MDU",D19="MDU-KD"),(IF($O$3="RAB NON MDU","PLN KD",G19*F19)),0)</f>
        <v>0</v>
      </c>
      <c r="I19" s="361">
        <f t="shared" ref="I19:I21" ca="1" si="17">IF(D19="HDW",G19*F19,0)</f>
        <v>0</v>
      </c>
      <c r="J19" s="361">
        <f t="shared" ref="J19:J21" ca="1" si="18">IF(D19="JASA",G19*F19,0)</f>
        <v>0</v>
      </c>
      <c r="K19" s="362">
        <f t="shared" ref="K19:K21" ca="1" si="19">SUM(H19:J19)</f>
        <v>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 ht="14.5">
      <c r="A20" s="336"/>
      <c r="B20" s="371"/>
      <c r="C20" s="109"/>
      <c r="D20" s="358"/>
      <c r="E20" s="359"/>
      <c r="F20" s="368"/>
      <c r="G20" s="360"/>
      <c r="H20" s="361"/>
      <c r="I20" s="361"/>
      <c r="J20" s="361"/>
      <c r="K20" s="362"/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66" t="s">
        <v>1613</v>
      </c>
      <c r="C21" s="367" t="s">
        <v>1621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16"/>
        <v>0</v>
      </c>
      <c r="I21" s="361">
        <f t="shared" ca="1" si="17"/>
        <v>0</v>
      </c>
      <c r="J21" s="361">
        <f t="shared" ca="1" si="18"/>
        <v>0</v>
      </c>
      <c r="K21" s="362">
        <f t="shared" ca="1" si="19"/>
        <v>0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65" customFormat="1" ht="14.5">
      <c r="A22" s="336"/>
      <c r="B22" s="495"/>
      <c r="C22" s="496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8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:H28" ca="1" si="20">IF(OR(D22="MDU",D22="MDU-KD"),(IF($O$3="RAB NON MDU","PLN KD",G22*F22)),0)</f>
        <v>0</v>
      </c>
      <c r="I22" s="361">
        <f t="shared" ref="I22:I28" ca="1" si="21">IF(D22="HDW",G22*F22,0)</f>
        <v>0</v>
      </c>
      <c r="J22" s="361">
        <f t="shared" ref="J22:J28" ca="1" si="22">IF(D22="JASA",G22*F22,0)</f>
        <v>0</v>
      </c>
      <c r="K22" s="362">
        <f t="shared" ref="K22:K28" ca="1" si="23">SUM(H22:J22)</f>
        <v>0</v>
      </c>
      <c r="L22" s="342"/>
      <c r="M22" s="342"/>
      <c r="N22" s="369"/>
      <c r="O22" s="344"/>
      <c r="P22" s="397"/>
      <c r="Q22" s="344"/>
    </row>
    <row r="23" spans="1:22" s="365" customFormat="1" ht="14.5">
      <c r="A23" s="336"/>
      <c r="B23" s="504" t="s">
        <v>1035</v>
      </c>
      <c r="C23" s="505" t="s">
        <v>1617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>Unit</v>
      </c>
      <c r="F23" s="498">
        <v>4</v>
      </c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20"/>
        <v>0</v>
      </c>
      <c r="I23" s="361">
        <f t="shared" ca="1" si="21"/>
        <v>0</v>
      </c>
      <c r="J23" s="361">
        <f t="shared" ca="1" si="22"/>
        <v>0</v>
      </c>
      <c r="K23" s="362">
        <f t="shared" ca="1" si="23"/>
        <v>0</v>
      </c>
      <c r="L23" s="342"/>
      <c r="M23" s="342"/>
      <c r="N23" s="369"/>
      <c r="O23" s="344"/>
      <c r="P23" s="397"/>
      <c r="Q23" s="344"/>
    </row>
    <row r="24" spans="1:22" s="365" customFormat="1" ht="14.5">
      <c r="A24" s="336"/>
      <c r="B24" s="504">
        <v>1</v>
      </c>
      <c r="C24" s="505" t="s">
        <v>595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498">
        <f>F23*1</f>
        <v>4</v>
      </c>
      <c r="G24" s="360">
        <f ca="1">IF(ISERROR(OFFSET('HARGA SATUAN'!$I$6,MATCH(RAB!C24,'HARGA SATUAN'!$C$7:$C$1492,0),0)),0,OFFSET('HARGA SATUAN'!$I$6,MATCH(RAB!C24,'HARGA SATUAN'!$C$7:$C$1492,0),0))</f>
        <v>78500</v>
      </c>
      <c r="H24" s="361">
        <f t="shared" ca="1" si="20"/>
        <v>0</v>
      </c>
      <c r="I24" s="361">
        <f t="shared" ca="1" si="21"/>
        <v>314000</v>
      </c>
      <c r="J24" s="361">
        <f t="shared" ca="1" si="22"/>
        <v>0</v>
      </c>
      <c r="K24" s="362">
        <f t="shared" ca="1" si="23"/>
        <v>314000</v>
      </c>
      <c r="L24" s="342"/>
      <c r="M24" s="342"/>
      <c r="N24" s="369"/>
      <c r="O24" s="344"/>
      <c r="P24" s="397"/>
      <c r="Q24" s="344"/>
    </row>
    <row r="25" spans="1:22" s="365" customFormat="1" ht="14.5">
      <c r="A25" s="336"/>
      <c r="B25" s="504">
        <v>2</v>
      </c>
      <c r="C25" s="505" t="s">
        <v>229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498">
        <f>F23*1</f>
        <v>4</v>
      </c>
      <c r="G25" s="360">
        <f ca="1">IF(ISERROR(OFFSET('HARGA SATUAN'!$I$6,MATCH(RAB!C25,'HARGA SATUAN'!$C$7:$C$1492,0),0)),0,OFFSET('HARGA SATUAN'!$I$6,MATCH(RAB!C25,'HARGA SATUAN'!$C$7:$C$1492,0),0))</f>
        <v>4212</v>
      </c>
      <c r="H25" s="361">
        <f t="shared" ca="1" si="20"/>
        <v>0</v>
      </c>
      <c r="I25" s="361">
        <f t="shared" ca="1" si="21"/>
        <v>16848</v>
      </c>
      <c r="J25" s="361">
        <f t="shared" ca="1" si="22"/>
        <v>0</v>
      </c>
      <c r="K25" s="362">
        <f t="shared" ca="1" si="23"/>
        <v>16848</v>
      </c>
      <c r="L25" s="342"/>
      <c r="M25" s="342"/>
      <c r="N25" s="369"/>
      <c r="O25" s="344"/>
      <c r="P25" s="397"/>
      <c r="Q25" s="344"/>
    </row>
    <row r="26" spans="1:22" s="365" customFormat="1" ht="14.5">
      <c r="A26" s="336"/>
      <c r="B26" s="504">
        <v>3</v>
      </c>
      <c r="C26" s="505" t="s">
        <v>266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Mtr</v>
      </c>
      <c r="F26" s="498">
        <f>F23*1</f>
        <v>4</v>
      </c>
      <c r="G26" s="360">
        <f ca="1">IF(ISERROR(OFFSET('HARGA SATUAN'!$I$6,MATCH(RAB!C26,'HARGA SATUAN'!$C$7:$C$1492,0),0)),0,OFFSET('HARGA SATUAN'!$I$6,MATCH(RAB!C26,'HARGA SATUAN'!$C$7:$C$1492,0),0))</f>
        <v>23310</v>
      </c>
      <c r="H26" s="361">
        <f t="shared" ca="1" si="20"/>
        <v>0</v>
      </c>
      <c r="I26" s="361">
        <f t="shared" ca="1" si="21"/>
        <v>93240</v>
      </c>
      <c r="J26" s="361">
        <f t="shared" ca="1" si="22"/>
        <v>0</v>
      </c>
      <c r="K26" s="362">
        <f t="shared" ca="1" si="23"/>
        <v>93240</v>
      </c>
      <c r="L26" s="342"/>
      <c r="M26" s="342"/>
      <c r="N26" s="369"/>
      <c r="O26" s="344"/>
      <c r="P26" s="397"/>
      <c r="Q26" s="344"/>
    </row>
    <row r="27" spans="1:22" s="365" customFormat="1" ht="14.5">
      <c r="A27" s="336"/>
      <c r="B27" s="504">
        <v>4</v>
      </c>
      <c r="C27" s="505" t="s">
        <v>35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498">
        <f>F23*1</f>
        <v>4</v>
      </c>
      <c r="G27" s="360">
        <f ca="1">IF(ISERROR(OFFSET('HARGA SATUAN'!$I$6,MATCH(RAB!C27,'HARGA SATUAN'!$C$7:$C$1492,0),0)),0,OFFSET('HARGA SATUAN'!$I$6,MATCH(RAB!C27,'HARGA SATUAN'!$C$7:$C$1492,0),0))</f>
        <v>2300</v>
      </c>
      <c r="H27" s="361">
        <f t="shared" ca="1" si="20"/>
        <v>0</v>
      </c>
      <c r="I27" s="361">
        <f t="shared" ca="1" si="21"/>
        <v>9200</v>
      </c>
      <c r="J27" s="361">
        <f t="shared" ca="1" si="22"/>
        <v>0</v>
      </c>
      <c r="K27" s="362">
        <f t="shared" ca="1" si="23"/>
        <v>9200</v>
      </c>
      <c r="L27" s="342"/>
      <c r="M27" s="342"/>
      <c r="N27" s="369"/>
      <c r="O27" s="344"/>
      <c r="P27" s="397"/>
      <c r="Q27" s="344"/>
    </row>
    <row r="28" spans="1:22" s="365" customFormat="1" ht="14.5">
      <c r="A28" s="336"/>
      <c r="B28" s="504">
        <v>5</v>
      </c>
      <c r="C28" s="505" t="s">
        <v>630</v>
      </c>
      <c r="D28" s="358" t="str">
        <f ca="1">IF(ISERROR(OFFSET('HARGA SATUAN'!$D$6,MATCH(RAB!C28,'HARGA SATUAN'!$C$7:$C$1492,0),0)),"",OFFSET('HARGA SATUAN'!$D$6,MATCH(RAB!C28,'HARGA SATUAN'!$C$7:$C$1492,0),0))</f>
        <v>JASA</v>
      </c>
      <c r="E28" s="359" t="str">
        <f ca="1">IF(B28="+","Unit",IF(ISERROR(OFFSET('HARGA SATUAN'!$E$6,MATCH(RAB!C28,'HARGA SATUAN'!$C$7:$C$1492,0),0)),"",OFFSET('HARGA SATUAN'!$E$6,MATCH(RAB!C28,'HARGA SATUAN'!$C$7:$C$1492,0),0)))</f>
        <v>Unit</v>
      </c>
      <c r="F28" s="498">
        <f>F23*1</f>
        <v>4</v>
      </c>
      <c r="G28" s="360">
        <f ca="1">IF(ISERROR(OFFSET('HARGA SATUAN'!$I$6,MATCH(RAB!C28,'HARGA SATUAN'!$C$7:$C$1492,0),0)),0,OFFSET('HARGA SATUAN'!$I$6,MATCH(RAB!C28,'HARGA SATUAN'!$C$7:$C$1492,0),0))</f>
        <v>35700</v>
      </c>
      <c r="H28" s="361">
        <f t="shared" ca="1" si="20"/>
        <v>0</v>
      </c>
      <c r="I28" s="361">
        <f t="shared" ca="1" si="21"/>
        <v>0</v>
      </c>
      <c r="J28" s="361">
        <f t="shared" ca="1" si="22"/>
        <v>142800</v>
      </c>
      <c r="K28" s="362">
        <f t="shared" ca="1" si="23"/>
        <v>142800</v>
      </c>
      <c r="L28" s="342"/>
      <c r="M28" s="342"/>
      <c r="N28" s="369"/>
      <c r="O28" s="344"/>
      <c r="P28" s="397"/>
      <c r="Q28" s="344"/>
    </row>
    <row r="29" spans="1:22" s="365" customFormat="1" ht="14.5">
      <c r="A29" s="336"/>
      <c r="B29" s="504"/>
      <c r="C29" s="505"/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/>
      </c>
      <c r="F29" s="498"/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ref="H29:H66" ca="1" si="24">IF(OR(D29="MDU",D29="MDU-KD"),(IF($O$3="RAB NON MDU","PLN KD",G29*F29)),0)</f>
        <v>0</v>
      </c>
      <c r="I29" s="361">
        <f t="shared" ref="I29:I66" ca="1" si="25">IF(D29="HDW",G29*F29,0)</f>
        <v>0</v>
      </c>
      <c r="J29" s="361">
        <f t="shared" ref="J29:J66" ca="1" si="26">IF(D29="JASA",G29*F29,0)</f>
        <v>0</v>
      </c>
      <c r="K29" s="362">
        <f t="shared" ref="K29:K66" ca="1" si="27">SUM(H29:J29)</f>
        <v>0</v>
      </c>
      <c r="L29" s="342"/>
      <c r="M29" s="342"/>
      <c r="N29" s="369"/>
      <c r="O29" s="344"/>
      <c r="P29" s="397"/>
      <c r="Q29" s="344"/>
    </row>
    <row r="30" spans="1:22" s="365" customFormat="1" ht="14.5">
      <c r="A30" s="336"/>
      <c r="B30" s="507" t="s">
        <v>1035</v>
      </c>
      <c r="C30" s="508" t="s">
        <v>1619</v>
      </c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IF(B30="+","Unit",IF(ISERROR(OFFSET('HARGA SATUAN'!$E$6,MATCH(RAB!C30,'HARGA SATUAN'!$C$7:$C$1492,0),0)),"",OFFSET('HARGA SATUAN'!$E$6,MATCH(RAB!C30,'HARGA SATUAN'!$C$7:$C$1492,0),0)))</f>
        <v>Unit</v>
      </c>
      <c r="F30" s="498">
        <v>1</v>
      </c>
      <c r="G30" s="360">
        <f ca="1">IF(ISERROR(OFFSET('HARGA SATUAN'!$I$6,MATCH(RAB!C30,'HARGA SATUAN'!$C$7:$C$1492,0),0)),0,OFFSET('HARGA SATUAN'!$I$6,MATCH(RAB!C30,'HARGA SATUAN'!$C$7:$C$1492,0),0))</f>
        <v>0</v>
      </c>
      <c r="H30" s="361">
        <f t="shared" ca="1" si="24"/>
        <v>0</v>
      </c>
      <c r="I30" s="361">
        <f t="shared" ca="1" si="25"/>
        <v>0</v>
      </c>
      <c r="J30" s="361">
        <f t="shared" ca="1" si="26"/>
        <v>0</v>
      </c>
      <c r="K30" s="362">
        <f t="shared" ca="1" si="27"/>
        <v>0</v>
      </c>
      <c r="L30" s="342"/>
      <c r="M30" s="342"/>
      <c r="N30" s="369"/>
      <c r="O30" s="344"/>
      <c r="P30" s="397"/>
      <c r="Q30" s="344"/>
    </row>
    <row r="31" spans="1:22" s="365" customFormat="1" ht="14.5">
      <c r="A31" s="336"/>
      <c r="B31" s="507">
        <v>1</v>
      </c>
      <c r="C31" s="508" t="s">
        <v>598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498">
        <f>F30*1</f>
        <v>1</v>
      </c>
      <c r="G31" s="360">
        <f ca="1">IF(ISERROR(OFFSET('HARGA SATUAN'!$I$6,MATCH(RAB!C31,'HARGA SATUAN'!$C$7:$C$1492,0),0)),0,OFFSET('HARGA SATUAN'!$I$6,MATCH(RAB!C31,'HARGA SATUAN'!$C$7:$C$1492,0),0))</f>
        <v>3965</v>
      </c>
      <c r="H31" s="361">
        <f t="shared" ca="1" si="24"/>
        <v>0</v>
      </c>
      <c r="I31" s="361">
        <f t="shared" ca="1" si="25"/>
        <v>3965</v>
      </c>
      <c r="J31" s="361">
        <f t="shared" ca="1" si="26"/>
        <v>0</v>
      </c>
      <c r="K31" s="362">
        <f t="shared" ca="1" si="27"/>
        <v>3965</v>
      </c>
      <c r="L31" s="342"/>
      <c r="M31" s="342"/>
      <c r="N31" s="369"/>
      <c r="O31" s="344"/>
      <c r="P31" s="397"/>
      <c r="Q31" s="344"/>
    </row>
    <row r="32" spans="1:22" s="365" customFormat="1" ht="14.5">
      <c r="A32" s="336"/>
      <c r="B32" s="507">
        <v>2</v>
      </c>
      <c r="C32" s="508" t="s">
        <v>474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498">
        <f>F30*1</f>
        <v>1</v>
      </c>
      <c r="G32" s="360">
        <f ca="1">IF(ISERROR(OFFSET('HARGA SATUAN'!$I$6,MATCH(RAB!C32,'HARGA SATUAN'!$C$7:$C$1492,0),0)),0,OFFSET('HARGA SATUAN'!$I$6,MATCH(RAB!C32,'HARGA SATUAN'!$C$7:$C$1492,0),0))</f>
        <v>3711.24</v>
      </c>
      <c r="H32" s="361">
        <f t="shared" ca="1" si="24"/>
        <v>0</v>
      </c>
      <c r="I32" s="361">
        <f t="shared" ca="1" si="25"/>
        <v>3711.24</v>
      </c>
      <c r="J32" s="361">
        <f t="shared" ca="1" si="26"/>
        <v>0</v>
      </c>
      <c r="K32" s="362">
        <f t="shared" ca="1" si="27"/>
        <v>3711.24</v>
      </c>
      <c r="L32" s="342"/>
      <c r="M32" s="342"/>
      <c r="N32" s="369"/>
      <c r="O32" s="344"/>
      <c r="P32" s="397"/>
      <c r="Q32" s="344"/>
    </row>
    <row r="33" spans="1:17" s="365" customFormat="1" ht="14.5">
      <c r="A33" s="336"/>
      <c r="B33" s="507">
        <v>3</v>
      </c>
      <c r="C33" s="508" t="s">
        <v>266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Mtr</v>
      </c>
      <c r="F33" s="498">
        <f>F30*1</f>
        <v>1</v>
      </c>
      <c r="G33" s="360">
        <f ca="1">IF(ISERROR(OFFSET('HARGA SATUAN'!$I$6,MATCH(RAB!C33,'HARGA SATUAN'!$C$7:$C$1492,0),0)),0,OFFSET('HARGA SATUAN'!$I$6,MATCH(RAB!C33,'HARGA SATUAN'!$C$7:$C$1492,0),0))</f>
        <v>23310</v>
      </c>
      <c r="H33" s="361">
        <f t="shared" ca="1" si="24"/>
        <v>0</v>
      </c>
      <c r="I33" s="361">
        <f t="shared" ca="1" si="25"/>
        <v>23310</v>
      </c>
      <c r="J33" s="361">
        <f t="shared" ca="1" si="26"/>
        <v>0</v>
      </c>
      <c r="K33" s="362">
        <f t="shared" ca="1" si="27"/>
        <v>23310</v>
      </c>
      <c r="L33" s="342"/>
      <c r="M33" s="342"/>
      <c r="N33" s="369"/>
      <c r="O33" s="344"/>
      <c r="P33" s="397"/>
      <c r="Q33" s="344"/>
    </row>
    <row r="34" spans="1:17" s="365" customFormat="1" ht="14.5">
      <c r="A34" s="336"/>
      <c r="B34" s="507">
        <v>4</v>
      </c>
      <c r="C34" s="508" t="s">
        <v>35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498">
        <f>F30*1</f>
        <v>1</v>
      </c>
      <c r="G34" s="360">
        <f ca="1">IF(ISERROR(OFFSET('HARGA SATUAN'!$I$6,MATCH(RAB!C34,'HARGA SATUAN'!$C$7:$C$1492,0),0)),0,OFFSET('HARGA SATUAN'!$I$6,MATCH(RAB!C34,'HARGA SATUAN'!$C$7:$C$1492,0),0))</f>
        <v>2300</v>
      </c>
      <c r="H34" s="361">
        <f t="shared" ca="1" si="24"/>
        <v>0</v>
      </c>
      <c r="I34" s="361">
        <f t="shared" ca="1" si="25"/>
        <v>2300</v>
      </c>
      <c r="J34" s="361">
        <f t="shared" ca="1" si="26"/>
        <v>0</v>
      </c>
      <c r="K34" s="362">
        <f t="shared" ca="1" si="27"/>
        <v>2300</v>
      </c>
      <c r="L34" s="342"/>
      <c r="M34" s="342"/>
      <c r="N34" s="369"/>
      <c r="O34" s="344"/>
      <c r="P34" s="397"/>
      <c r="Q34" s="344"/>
    </row>
    <row r="35" spans="1:17" s="365" customFormat="1" ht="14.5">
      <c r="A35" s="336"/>
      <c r="B35" s="507">
        <v>5</v>
      </c>
      <c r="C35" s="508" t="s">
        <v>632</v>
      </c>
      <c r="D35" s="358" t="str">
        <f ca="1">IF(ISERROR(OFFSET('HARGA SATUAN'!$D$6,MATCH(RAB!C35,'HARGA SATUAN'!$C$7:$C$1492,0),0)),"",OFFSET('HARGA SATUAN'!$D$6,MATCH(RAB!C35,'HARGA SATUAN'!$C$7:$C$1492,0),0))</f>
        <v>JASA</v>
      </c>
      <c r="E35" s="359" t="str">
        <f ca="1">IF(B35="+","Unit",IF(ISERROR(OFFSET('HARGA SATUAN'!$E$6,MATCH(RAB!C35,'HARGA SATUAN'!$C$7:$C$1492,0),0)),"",OFFSET('HARGA SATUAN'!$E$6,MATCH(RAB!C35,'HARGA SATUAN'!$C$7:$C$1492,0),0)))</f>
        <v>Unit</v>
      </c>
      <c r="F35" s="498">
        <f>F30*1</f>
        <v>1</v>
      </c>
      <c r="G35" s="360">
        <f ca="1">IF(ISERROR(OFFSET('HARGA SATUAN'!$I$6,MATCH(RAB!C35,'HARGA SATUAN'!$C$7:$C$1492,0),0)),0,OFFSET('HARGA SATUAN'!$I$6,MATCH(RAB!C35,'HARGA SATUAN'!$C$7:$C$1492,0),0))</f>
        <v>22700</v>
      </c>
      <c r="H35" s="361">
        <f t="shared" ref="H35:H62" ca="1" si="28">IF(OR(D35="MDU",D35="MDU-KD"),(IF($O$3="RAB NON MDU","PLN KD",G35*F35)),0)</f>
        <v>0</v>
      </c>
      <c r="I35" s="361">
        <f t="shared" ref="I35:I62" ca="1" si="29">IF(D35="HDW",G35*F35,0)</f>
        <v>0</v>
      </c>
      <c r="J35" s="361">
        <f t="shared" ref="J35:J62" ca="1" si="30">IF(D35="JASA",G35*F35,0)</f>
        <v>22700</v>
      </c>
      <c r="K35" s="362">
        <f t="shared" ref="K35:K62" ca="1" si="31">SUM(H35:J35)</f>
        <v>22700</v>
      </c>
      <c r="L35" s="342"/>
      <c r="M35" s="342"/>
      <c r="N35" s="369"/>
      <c r="O35" s="344"/>
      <c r="P35" s="397"/>
      <c r="Q35" s="344"/>
    </row>
    <row r="36" spans="1:17" s="365" customFormat="1" ht="14.5">
      <c r="A36" s="336"/>
      <c r="B36" s="504"/>
      <c r="C36" s="505"/>
      <c r="D36" s="358" t="str">
        <f ca="1">IF(ISERROR(OFFSET('HARGA SATUAN'!$D$6,MATCH(RAB!C36,'HARGA SATUAN'!$C$7:$C$1492,0),0)),"",OFFSET('HARGA SATUAN'!$D$6,MATCH(RAB!C36,'HARGA SATUAN'!$C$7:$C$1492,0),0))</f>
        <v/>
      </c>
      <c r="E36" s="359" t="str">
        <f ca="1">IF(B36="+","Unit",IF(ISERROR(OFFSET('HARGA SATUAN'!$E$6,MATCH(RAB!C36,'HARGA SATUAN'!$C$7:$C$1492,0),0)),"",OFFSET('HARGA SATUAN'!$E$6,MATCH(RAB!C36,'HARGA SATUAN'!$C$7:$C$1492,0),0)))</f>
        <v/>
      </c>
      <c r="F36" s="498"/>
      <c r="G36" s="360">
        <f ca="1">IF(ISERROR(OFFSET('HARGA SATUAN'!$I$6,MATCH(RAB!C36,'HARGA SATUAN'!$C$7:$C$1492,0),0)),0,OFFSET('HARGA SATUAN'!$I$6,MATCH(RAB!C36,'HARGA SATUAN'!$C$7:$C$1492,0),0))</f>
        <v>0</v>
      </c>
      <c r="H36" s="361">
        <f t="shared" ca="1" si="28"/>
        <v>0</v>
      </c>
      <c r="I36" s="361">
        <f t="shared" ca="1" si="29"/>
        <v>0</v>
      </c>
      <c r="J36" s="361">
        <f t="shared" ca="1" si="30"/>
        <v>0</v>
      </c>
      <c r="K36" s="362">
        <f t="shared" ca="1" si="31"/>
        <v>0</v>
      </c>
      <c r="L36" s="342"/>
      <c r="M36" s="342"/>
      <c r="N36" s="369"/>
      <c r="O36" s="344"/>
      <c r="P36" s="397"/>
      <c r="Q36" s="344"/>
    </row>
    <row r="37" spans="1:17" s="365" customFormat="1" ht="14.5">
      <c r="A37" s="336"/>
      <c r="B37" s="516" t="s">
        <v>1035</v>
      </c>
      <c r="C37" s="517" t="s">
        <v>1630</v>
      </c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>Unit</v>
      </c>
      <c r="F37" s="512">
        <v>2</v>
      </c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ca="1" si="28"/>
        <v>0</v>
      </c>
      <c r="I37" s="361">
        <f t="shared" ca="1" si="29"/>
        <v>0</v>
      </c>
      <c r="J37" s="361">
        <f t="shared" ca="1" si="30"/>
        <v>0</v>
      </c>
      <c r="K37" s="362">
        <f t="shared" ca="1" si="31"/>
        <v>0</v>
      </c>
      <c r="L37" s="342"/>
      <c r="M37" s="342"/>
      <c r="N37" s="369"/>
      <c r="O37" s="344"/>
      <c r="P37" s="397"/>
      <c r="Q37" s="344"/>
    </row>
    <row r="38" spans="1:17" s="365" customFormat="1" ht="14.5">
      <c r="A38" s="336"/>
      <c r="B38" s="516">
        <v>1</v>
      </c>
      <c r="C38" s="517" t="s">
        <v>28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512">
        <f>F37*1</f>
        <v>2</v>
      </c>
      <c r="G38" s="360">
        <f ca="1">IF(ISERROR(OFFSET('HARGA SATUAN'!$I$6,MATCH(RAB!C38,'HARGA SATUAN'!$C$7:$C$1492,0),0)),0,OFFSET('HARGA SATUAN'!$I$6,MATCH(RAB!C38,'HARGA SATUAN'!$C$7:$C$1492,0),0))</f>
        <v>26500</v>
      </c>
      <c r="H38" s="361">
        <f t="shared" ca="1" si="28"/>
        <v>0</v>
      </c>
      <c r="I38" s="361">
        <f t="shared" ca="1" si="29"/>
        <v>53000</v>
      </c>
      <c r="J38" s="361">
        <f t="shared" ca="1" si="30"/>
        <v>0</v>
      </c>
      <c r="K38" s="362">
        <f t="shared" ca="1" si="31"/>
        <v>53000</v>
      </c>
      <c r="L38" s="342"/>
      <c r="M38" s="342"/>
      <c r="N38" s="369"/>
      <c r="O38" s="344"/>
      <c r="P38" s="397"/>
      <c r="Q38" s="344"/>
    </row>
    <row r="39" spans="1:17" s="365" customFormat="1" ht="14.5">
      <c r="A39" s="336"/>
      <c r="B39" s="516">
        <v>2</v>
      </c>
      <c r="C39" s="517" t="s">
        <v>203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512">
        <f>F37*1</f>
        <v>2</v>
      </c>
      <c r="G39" s="360">
        <f ca="1">IF(ISERROR(OFFSET('HARGA SATUAN'!$I$6,MATCH(RAB!C39,'HARGA SATUAN'!$C$7:$C$1492,0),0)),0,OFFSET('HARGA SATUAN'!$I$6,MATCH(RAB!C39,'HARGA SATUAN'!$C$7:$C$1492,0),0))</f>
        <v>12500</v>
      </c>
      <c r="H39" s="361">
        <f t="shared" ca="1" si="28"/>
        <v>0</v>
      </c>
      <c r="I39" s="361">
        <f t="shared" ca="1" si="29"/>
        <v>25000</v>
      </c>
      <c r="J39" s="361">
        <f t="shared" ca="1" si="30"/>
        <v>0</v>
      </c>
      <c r="K39" s="362">
        <f t="shared" ca="1" si="31"/>
        <v>25000</v>
      </c>
      <c r="L39" s="342"/>
      <c r="M39" s="342"/>
      <c r="N39" s="369"/>
      <c r="O39" s="344"/>
      <c r="P39" s="397"/>
      <c r="Q39" s="344"/>
    </row>
    <row r="40" spans="1:17" s="365" customFormat="1" ht="14.5">
      <c r="A40" s="336"/>
      <c r="B40" s="516">
        <v>3</v>
      </c>
      <c r="C40" s="517" t="s">
        <v>205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Mtr</v>
      </c>
      <c r="F40" s="512">
        <f>F37*12</f>
        <v>24</v>
      </c>
      <c r="G40" s="360">
        <f ca="1">IF(ISERROR(OFFSET('HARGA SATUAN'!$I$6,MATCH(RAB!C40,'HARGA SATUAN'!$C$7:$C$1492,0),0)),0,OFFSET('HARGA SATUAN'!$I$6,MATCH(RAB!C40,'HARGA SATUAN'!$C$7:$C$1492,0),0))</f>
        <v>24300</v>
      </c>
      <c r="H40" s="361">
        <f t="shared" ca="1" si="28"/>
        <v>0</v>
      </c>
      <c r="I40" s="361">
        <f t="shared" ca="1" si="29"/>
        <v>583200</v>
      </c>
      <c r="J40" s="361">
        <f t="shared" ca="1" si="30"/>
        <v>0</v>
      </c>
      <c r="K40" s="362">
        <f t="shared" ca="1" si="31"/>
        <v>583200</v>
      </c>
      <c r="L40" s="342"/>
      <c r="M40" s="342"/>
      <c r="N40" s="369"/>
      <c r="O40" s="344"/>
      <c r="P40" s="397"/>
      <c r="Q40" s="344"/>
    </row>
    <row r="41" spans="1:17" s="365" customFormat="1" ht="14.5">
      <c r="A41" s="336"/>
      <c r="B41" s="516">
        <v>4</v>
      </c>
      <c r="C41" s="517" t="s">
        <v>287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512">
        <f>F37*2</f>
        <v>4</v>
      </c>
      <c r="G41" s="360">
        <f ca="1">IF(ISERROR(OFFSET('HARGA SATUAN'!$I$6,MATCH(RAB!C41,'HARGA SATUAN'!$C$7:$C$1492,0),0)),0,OFFSET('HARGA SATUAN'!$I$6,MATCH(RAB!C41,'HARGA SATUAN'!$C$7:$C$1492,0),0))</f>
        <v>40000</v>
      </c>
      <c r="H41" s="361">
        <f t="shared" ca="1" si="28"/>
        <v>0</v>
      </c>
      <c r="I41" s="361">
        <f t="shared" ca="1" si="29"/>
        <v>160000</v>
      </c>
      <c r="J41" s="361">
        <f t="shared" ca="1" si="30"/>
        <v>0</v>
      </c>
      <c r="K41" s="362">
        <f t="shared" ca="1" si="31"/>
        <v>160000</v>
      </c>
      <c r="L41" s="342"/>
      <c r="M41" s="342"/>
      <c r="N41" s="369"/>
      <c r="O41" s="344"/>
      <c r="P41" s="397"/>
      <c r="Q41" s="344"/>
    </row>
    <row r="42" spans="1:17" s="365" customFormat="1" ht="14.5">
      <c r="A42" s="336"/>
      <c r="B42" s="516">
        <v>5</v>
      </c>
      <c r="C42" s="517" t="s">
        <v>26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512">
        <f>F37*1</f>
        <v>2</v>
      </c>
      <c r="G42" s="360">
        <f ca="1">IF(ISERROR(OFFSET('HARGA SATUAN'!$I$6,MATCH(RAB!C42,'HARGA SATUAN'!$C$7:$C$1492,0),0)),0,OFFSET('HARGA SATUAN'!$I$6,MATCH(RAB!C42,'HARGA SATUAN'!$C$7:$C$1492,0),0))</f>
        <v>2500</v>
      </c>
      <c r="H42" s="361">
        <f t="shared" ca="1" si="28"/>
        <v>0</v>
      </c>
      <c r="I42" s="361">
        <f t="shared" ca="1" si="29"/>
        <v>5000</v>
      </c>
      <c r="J42" s="361">
        <f t="shared" ca="1" si="30"/>
        <v>0</v>
      </c>
      <c r="K42" s="362">
        <f t="shared" ca="1" si="31"/>
        <v>5000</v>
      </c>
      <c r="L42" s="342"/>
      <c r="M42" s="342"/>
      <c r="N42" s="369"/>
      <c r="O42" s="344"/>
      <c r="P42" s="397"/>
      <c r="Q42" s="344"/>
    </row>
    <row r="43" spans="1:17" s="365" customFormat="1" ht="14.5">
      <c r="A43" s="336"/>
      <c r="B43" s="516">
        <v>6</v>
      </c>
      <c r="C43" s="517" t="s">
        <v>759</v>
      </c>
      <c r="D43" s="358" t="str">
        <f ca="1">IF(ISERROR(OFFSET('HARGA SATUAN'!$D$6,MATCH(RAB!C43,'HARGA SATUAN'!$C$7:$C$1492,0),0)),"",OFFSET('HARGA SATUAN'!$D$6,MATCH(RAB!C43,'HARGA SATUAN'!$C$7:$C$1492,0),0))</f>
        <v>JASA</v>
      </c>
      <c r="E43" s="359" t="str">
        <f ca="1">IF(B43="+","Unit",IF(ISERROR(OFFSET('HARGA SATUAN'!$E$6,MATCH(RAB!C43,'HARGA SATUAN'!$C$7:$C$1492,0),0)),"",OFFSET('HARGA SATUAN'!$E$6,MATCH(RAB!C43,'HARGA SATUAN'!$C$7:$C$1492,0),0)))</f>
        <v>Unit</v>
      </c>
      <c r="F43" s="512">
        <f>F37*1</f>
        <v>2</v>
      </c>
      <c r="G43" s="360">
        <f ca="1">IF(ISERROR(OFFSET('HARGA SATUAN'!$I$6,MATCH(RAB!C43,'HARGA SATUAN'!$C$7:$C$1492,0),0)),0,OFFSET('HARGA SATUAN'!$I$6,MATCH(RAB!C43,'HARGA SATUAN'!$C$7:$C$1492,0),0))</f>
        <v>43500</v>
      </c>
      <c r="H43" s="361">
        <f t="shared" ca="1" si="28"/>
        <v>0</v>
      </c>
      <c r="I43" s="361">
        <f t="shared" ca="1" si="29"/>
        <v>0</v>
      </c>
      <c r="J43" s="361">
        <f t="shared" ca="1" si="30"/>
        <v>87000</v>
      </c>
      <c r="K43" s="362">
        <f t="shared" ca="1" si="31"/>
        <v>87000</v>
      </c>
      <c r="L43" s="342"/>
      <c r="M43" s="342"/>
      <c r="N43" s="369"/>
      <c r="O43" s="344"/>
      <c r="P43" s="397"/>
      <c r="Q43" s="344"/>
    </row>
    <row r="44" spans="1:17" s="365" customFormat="1" ht="14.5">
      <c r="A44" s="336"/>
      <c r="B44" s="516"/>
      <c r="C44" s="517"/>
      <c r="D44" s="358" t="str">
        <f ca="1">IF(ISERROR(OFFSET('HARGA SATUAN'!$D$6,MATCH(RAB!C44,'HARGA SATUAN'!$C$7:$C$1492,0),0)),"",OFFSET('HARGA SATUAN'!$D$6,MATCH(RAB!C44,'HARGA SATUAN'!$C$7:$C$1492,0),0))</f>
        <v/>
      </c>
      <c r="E44" s="359" t="str">
        <f ca="1">IF(B44="+","Unit",IF(ISERROR(OFFSET('HARGA SATUAN'!$E$6,MATCH(RAB!C44,'HARGA SATUAN'!$C$7:$C$1492,0),0)),"",OFFSET('HARGA SATUAN'!$E$6,MATCH(RAB!C44,'HARGA SATUAN'!$C$7:$C$1492,0),0)))</f>
        <v/>
      </c>
      <c r="F44" s="518"/>
      <c r="G44" s="360">
        <f ca="1">IF(ISERROR(OFFSET('HARGA SATUAN'!$I$6,MATCH(RAB!C44,'HARGA SATUAN'!$C$7:$C$1492,0),0)),0,OFFSET('HARGA SATUAN'!$I$6,MATCH(RAB!C44,'HARGA SATUAN'!$C$7:$C$1492,0),0))</f>
        <v>0</v>
      </c>
      <c r="H44" s="361">
        <f t="shared" ca="1" si="28"/>
        <v>0</v>
      </c>
      <c r="I44" s="361">
        <f t="shared" ca="1" si="29"/>
        <v>0</v>
      </c>
      <c r="J44" s="361">
        <f t="shared" ca="1" si="30"/>
        <v>0</v>
      </c>
      <c r="K44" s="362">
        <f t="shared" ca="1" si="31"/>
        <v>0</v>
      </c>
      <c r="L44" s="342"/>
      <c r="M44" s="342"/>
      <c r="N44" s="369"/>
      <c r="O44" s="344"/>
      <c r="P44" s="397"/>
      <c r="Q44" s="344"/>
    </row>
    <row r="45" spans="1:17" s="365" customFormat="1" ht="14.5">
      <c r="A45" s="336"/>
      <c r="B45" s="516" t="s">
        <v>1035</v>
      </c>
      <c r="C45" s="517" t="s">
        <v>1631</v>
      </c>
      <c r="D45" s="358" t="str">
        <f ca="1">IF(ISERROR(OFFSET('HARGA SATUAN'!$D$6,MATCH(RAB!C45,'HARGA SATUAN'!$C$7:$C$1492,0),0)),"",OFFSET('HARGA SATUAN'!$D$6,MATCH(RAB!C45,'HARGA SATUAN'!$C$7:$C$1492,0),0))</f>
        <v/>
      </c>
      <c r="E45" s="359" t="str">
        <f ca="1">IF(B45="+","Unit",IF(ISERROR(OFFSET('HARGA SATUAN'!$E$6,MATCH(RAB!C45,'HARGA SATUAN'!$C$7:$C$1492,0),0)),"",OFFSET('HARGA SATUAN'!$E$6,MATCH(RAB!C45,'HARGA SATUAN'!$C$7:$C$1492,0),0)))</f>
        <v>Unit</v>
      </c>
      <c r="F45" s="512">
        <v>2</v>
      </c>
      <c r="G45" s="360">
        <f ca="1">IF(ISERROR(OFFSET('HARGA SATUAN'!$I$6,MATCH(RAB!C45,'HARGA SATUAN'!$C$7:$C$1492,0),0)),0,OFFSET('HARGA SATUAN'!$I$6,MATCH(RAB!C45,'HARGA SATUAN'!$C$7:$C$1492,0),0))</f>
        <v>0</v>
      </c>
      <c r="H45" s="361">
        <f t="shared" ca="1" si="28"/>
        <v>0</v>
      </c>
      <c r="I45" s="361">
        <f t="shared" ca="1" si="29"/>
        <v>0</v>
      </c>
      <c r="J45" s="361">
        <f t="shared" ca="1" si="30"/>
        <v>0</v>
      </c>
      <c r="K45" s="362">
        <f t="shared" ca="1" si="31"/>
        <v>0</v>
      </c>
      <c r="L45" s="342"/>
      <c r="M45" s="342"/>
      <c r="N45" s="369"/>
      <c r="O45" s="344"/>
      <c r="P45" s="397"/>
      <c r="Q45" s="344"/>
    </row>
    <row r="46" spans="1:17" s="365" customFormat="1" ht="14.5">
      <c r="A46" s="336"/>
      <c r="B46" s="516">
        <v>1</v>
      </c>
      <c r="C46" s="517" t="s">
        <v>597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12">
        <f>F45*1</f>
        <v>2</v>
      </c>
      <c r="G46" s="360">
        <f ca="1">IF(ISERROR(OFFSET('HARGA SATUAN'!$I$6,MATCH(RAB!C46,'HARGA SATUAN'!$C$7:$C$1492,0),0)),0,OFFSET('HARGA SATUAN'!$I$6,MATCH(RAB!C46,'HARGA SATUAN'!$C$7:$C$1492,0),0))</f>
        <v>120900</v>
      </c>
      <c r="H46" s="361">
        <f t="shared" ca="1" si="28"/>
        <v>0</v>
      </c>
      <c r="I46" s="361">
        <f t="shared" ca="1" si="29"/>
        <v>241800</v>
      </c>
      <c r="J46" s="361">
        <f t="shared" ca="1" si="30"/>
        <v>0</v>
      </c>
      <c r="K46" s="362">
        <f t="shared" ca="1" si="31"/>
        <v>241800</v>
      </c>
      <c r="L46" s="342"/>
      <c r="M46" s="342"/>
      <c r="N46" s="369"/>
      <c r="O46" s="344"/>
      <c r="P46" s="397"/>
      <c r="Q46" s="344"/>
    </row>
    <row r="47" spans="1:17" s="365" customFormat="1" ht="14.5">
      <c r="A47" s="336"/>
      <c r="B47" s="516">
        <v>2</v>
      </c>
      <c r="C47" s="517" t="s">
        <v>261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512">
        <f>F45*1</f>
        <v>2</v>
      </c>
      <c r="G47" s="360">
        <f ca="1">IF(ISERROR(OFFSET('HARGA SATUAN'!$I$6,MATCH(RAB!C47,'HARGA SATUAN'!$C$7:$C$1492,0),0)),0,OFFSET('HARGA SATUAN'!$I$6,MATCH(RAB!C47,'HARGA SATUAN'!$C$7:$C$1492,0),0))</f>
        <v>135800</v>
      </c>
      <c r="H47" s="361">
        <f t="shared" ca="1" si="28"/>
        <v>0</v>
      </c>
      <c r="I47" s="361">
        <f t="shared" ca="1" si="29"/>
        <v>271600</v>
      </c>
      <c r="J47" s="361">
        <f t="shared" ca="1" si="30"/>
        <v>0</v>
      </c>
      <c r="K47" s="362">
        <f t="shared" ca="1" si="31"/>
        <v>271600</v>
      </c>
      <c r="L47" s="342"/>
      <c r="M47" s="342"/>
      <c r="N47" s="369"/>
      <c r="O47" s="344"/>
      <c r="P47" s="397"/>
      <c r="Q47" s="344"/>
    </row>
    <row r="48" spans="1:17" s="365" customFormat="1" ht="14.5">
      <c r="A48" s="336"/>
      <c r="B48" s="516">
        <v>3</v>
      </c>
      <c r="C48" s="517" t="s">
        <v>214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518">
        <f>F45*1</f>
        <v>2</v>
      </c>
      <c r="G48" s="360">
        <f ca="1">IF(ISERROR(OFFSET('HARGA SATUAN'!$I$6,MATCH(RAB!C48,'HARGA SATUAN'!$C$7:$C$1492,0),0)),0,OFFSET('HARGA SATUAN'!$I$6,MATCH(RAB!C48,'HARGA SATUAN'!$C$7:$C$1492,0),0))</f>
        <v>4500</v>
      </c>
      <c r="H48" s="361">
        <f t="shared" ca="1" si="28"/>
        <v>0</v>
      </c>
      <c r="I48" s="361">
        <f t="shared" ca="1" si="29"/>
        <v>9000</v>
      </c>
      <c r="J48" s="361">
        <f t="shared" ca="1" si="30"/>
        <v>0</v>
      </c>
      <c r="K48" s="362">
        <f t="shared" ca="1" si="31"/>
        <v>9000</v>
      </c>
      <c r="L48" s="342"/>
      <c r="M48" s="342"/>
      <c r="N48" s="369"/>
      <c r="O48" s="344"/>
      <c r="P48" s="397"/>
      <c r="Q48" s="344"/>
    </row>
    <row r="49" spans="1:17" s="365" customFormat="1" ht="14.5">
      <c r="A49" s="336"/>
      <c r="B49" s="516">
        <v>4</v>
      </c>
      <c r="C49" s="517" t="s">
        <v>767</v>
      </c>
      <c r="D49" s="358" t="str">
        <f ca="1">IF(ISERROR(OFFSET('HARGA SATUAN'!$D$6,MATCH(RAB!C49,'HARGA SATUAN'!$C$7:$C$1492,0),0)),"",OFFSET('HARGA SATUAN'!$D$6,MATCH(RAB!C49,'HARGA SATUAN'!$C$7:$C$1492,0),0))</f>
        <v>JASA</v>
      </c>
      <c r="E49" s="359" t="str">
        <f ca="1">IF(B49="+","Unit",IF(ISERROR(OFFSET('HARGA SATUAN'!$E$6,MATCH(RAB!C49,'HARGA SATUAN'!$C$7:$C$1492,0),0)),"",OFFSET('HARGA SATUAN'!$E$6,MATCH(RAB!C49,'HARGA SATUAN'!$C$7:$C$1492,0),0)))</f>
        <v>Unit</v>
      </c>
      <c r="F49" s="512">
        <f>F45*1</f>
        <v>2</v>
      </c>
      <c r="G49" s="360">
        <f ca="1">IF(ISERROR(OFFSET('HARGA SATUAN'!$I$6,MATCH(RAB!C49,'HARGA SATUAN'!$C$7:$C$1492,0),0)),0,OFFSET('HARGA SATUAN'!$I$6,MATCH(RAB!C49,'HARGA SATUAN'!$C$7:$C$1492,0),0))</f>
        <v>55500</v>
      </c>
      <c r="H49" s="361">
        <f t="shared" ca="1" si="28"/>
        <v>0</v>
      </c>
      <c r="I49" s="361">
        <f t="shared" ca="1" si="29"/>
        <v>0</v>
      </c>
      <c r="J49" s="361">
        <f t="shared" ca="1" si="30"/>
        <v>111000</v>
      </c>
      <c r="K49" s="362">
        <f t="shared" ca="1" si="31"/>
        <v>111000</v>
      </c>
      <c r="L49" s="342"/>
      <c r="M49" s="342"/>
      <c r="N49" s="369"/>
      <c r="O49" s="344"/>
      <c r="P49" s="397"/>
      <c r="Q49" s="344"/>
    </row>
    <row r="50" spans="1:17" s="365" customFormat="1" ht="14.5">
      <c r="A50" s="336"/>
      <c r="B50" s="516"/>
      <c r="C50" s="517"/>
      <c r="D50" s="358" t="str">
        <f ca="1">IF(ISERROR(OFFSET('HARGA SATUAN'!$D$6,MATCH(RAB!C50,'HARGA SATUAN'!$C$7:$C$1492,0),0)),"",OFFSET('HARGA SATUAN'!$D$6,MATCH(RAB!C50,'HARGA SATUAN'!$C$7:$C$1492,0),0))</f>
        <v/>
      </c>
      <c r="E50" s="359" t="str">
        <f ca="1">IF(B50="+","Unit",IF(ISERROR(OFFSET('HARGA SATUAN'!$E$6,MATCH(RAB!C50,'HARGA SATUAN'!$C$7:$C$1492,0),0)),"",OFFSET('HARGA SATUAN'!$E$6,MATCH(RAB!C50,'HARGA SATUAN'!$C$7:$C$1492,0),0)))</f>
        <v/>
      </c>
      <c r="F50" s="518"/>
      <c r="G50" s="360">
        <f ca="1">IF(ISERROR(OFFSET('HARGA SATUAN'!$I$6,MATCH(RAB!C50,'HARGA SATUAN'!$C$7:$C$1492,0),0)),0,OFFSET('HARGA SATUAN'!$I$6,MATCH(RAB!C50,'HARGA SATUAN'!$C$7:$C$1492,0),0))</f>
        <v>0</v>
      </c>
      <c r="H50" s="361">
        <f t="shared" ca="1" si="28"/>
        <v>0</v>
      </c>
      <c r="I50" s="361">
        <f t="shared" ca="1" si="29"/>
        <v>0</v>
      </c>
      <c r="J50" s="361">
        <f t="shared" ca="1" si="30"/>
        <v>0</v>
      </c>
      <c r="K50" s="362">
        <f t="shared" ca="1" si="31"/>
        <v>0</v>
      </c>
      <c r="L50" s="342"/>
      <c r="M50" s="342"/>
      <c r="N50" s="369"/>
      <c r="O50" s="344"/>
      <c r="P50" s="397"/>
      <c r="Q50" s="344"/>
    </row>
    <row r="51" spans="1:17" s="365" customFormat="1" ht="14.5">
      <c r="A51" s="336"/>
      <c r="B51" s="516" t="s">
        <v>1035</v>
      </c>
      <c r="C51" s="517" t="s">
        <v>1625</v>
      </c>
      <c r="D51" s="358" t="str">
        <f ca="1">IF(ISERROR(OFFSET('HARGA SATUAN'!$D$6,MATCH(RAB!C51,'HARGA SATUAN'!$C$7:$C$1492,0),0)),"",OFFSET('HARGA SATUAN'!$D$6,MATCH(RAB!C51,'HARGA SATUAN'!$C$7:$C$1492,0),0))</f>
        <v/>
      </c>
      <c r="E51" s="359" t="str">
        <f ca="1">IF(B51="+","Unit",IF(ISERROR(OFFSET('HARGA SATUAN'!$E$6,MATCH(RAB!C51,'HARGA SATUAN'!$C$7:$C$1492,0),0)),"",OFFSET('HARGA SATUAN'!$E$6,MATCH(RAB!C51,'HARGA SATUAN'!$C$7:$C$1492,0),0)))</f>
        <v>Unit</v>
      </c>
      <c r="F51" s="512">
        <v>2</v>
      </c>
      <c r="G51" s="360">
        <f ca="1">IF(ISERROR(OFFSET('HARGA SATUAN'!$I$6,MATCH(RAB!C51,'HARGA SATUAN'!$C$7:$C$1492,0),0)),0,OFFSET('HARGA SATUAN'!$I$6,MATCH(RAB!C51,'HARGA SATUAN'!$C$7:$C$1492,0),0))</f>
        <v>0</v>
      </c>
      <c r="H51" s="361">
        <f t="shared" ca="1" si="28"/>
        <v>0</v>
      </c>
      <c r="I51" s="361">
        <f t="shared" ca="1" si="29"/>
        <v>0</v>
      </c>
      <c r="J51" s="361">
        <f t="shared" ca="1" si="30"/>
        <v>0</v>
      </c>
      <c r="K51" s="362">
        <f t="shared" ca="1" si="31"/>
        <v>0</v>
      </c>
      <c r="L51" s="342"/>
      <c r="M51" s="342"/>
      <c r="N51" s="369"/>
      <c r="O51" s="344"/>
      <c r="P51" s="397"/>
      <c r="Q51" s="344"/>
    </row>
    <row r="52" spans="1:17" s="365" customFormat="1" ht="14.5">
      <c r="A52" s="336"/>
      <c r="B52" s="516">
        <v>1</v>
      </c>
      <c r="C52" s="517" t="s">
        <v>30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12">
        <f>F51*1</f>
        <v>2</v>
      </c>
      <c r="G52" s="360">
        <f ca="1">IF(ISERROR(OFFSET('HARGA SATUAN'!$I$6,MATCH(RAB!C52,'HARGA SATUAN'!$C$7:$C$1492,0),0)),0,OFFSET('HARGA SATUAN'!$I$6,MATCH(RAB!C52,'HARGA SATUAN'!$C$7:$C$1492,0),0))</f>
        <v>47459</v>
      </c>
      <c r="H52" s="361">
        <f t="shared" ca="1" si="28"/>
        <v>0</v>
      </c>
      <c r="I52" s="361">
        <f t="shared" ca="1" si="29"/>
        <v>94918</v>
      </c>
      <c r="J52" s="361">
        <f t="shared" ca="1" si="30"/>
        <v>0</v>
      </c>
      <c r="K52" s="362">
        <f t="shared" ca="1" si="31"/>
        <v>94918</v>
      </c>
      <c r="L52" s="342"/>
      <c r="M52" s="342"/>
      <c r="N52" s="369"/>
      <c r="O52" s="344"/>
      <c r="P52" s="397"/>
      <c r="Q52" s="344"/>
    </row>
    <row r="53" spans="1:17" s="365" customFormat="1" ht="14.5">
      <c r="A53" s="336"/>
      <c r="B53" s="516">
        <v>2</v>
      </c>
      <c r="C53" s="517" t="s">
        <v>32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Mtr</v>
      </c>
      <c r="F53" s="512">
        <f>F51*0.8</f>
        <v>1.6</v>
      </c>
      <c r="G53" s="360">
        <f ca="1">IF(ISERROR(OFFSET('HARGA SATUAN'!$I$6,MATCH(RAB!C53,'HARGA SATUAN'!$C$7:$C$1492,0),0)),0,OFFSET('HARGA SATUAN'!$I$6,MATCH(RAB!C53,'HARGA SATUAN'!$C$7:$C$1492,0),0))</f>
        <v>30000</v>
      </c>
      <c r="H53" s="361">
        <f t="shared" ca="1" si="28"/>
        <v>0</v>
      </c>
      <c r="I53" s="361">
        <f t="shared" ca="1" si="29"/>
        <v>48000</v>
      </c>
      <c r="J53" s="361">
        <f t="shared" ca="1" si="30"/>
        <v>0</v>
      </c>
      <c r="K53" s="362">
        <f t="shared" ca="1" si="31"/>
        <v>48000</v>
      </c>
      <c r="L53" s="342"/>
      <c r="M53" s="342"/>
      <c r="N53" s="369"/>
      <c r="O53" s="344"/>
      <c r="P53" s="397"/>
      <c r="Q53" s="344"/>
    </row>
    <row r="54" spans="1:17" s="365" customFormat="1" ht="14.5">
      <c r="A54" s="336"/>
      <c r="B54" s="516">
        <v>3</v>
      </c>
      <c r="C54" s="517" t="s">
        <v>33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512">
        <f>F51*1</f>
        <v>2</v>
      </c>
      <c r="G54" s="360">
        <f ca="1">IF(ISERROR(OFFSET('HARGA SATUAN'!$I$6,MATCH(RAB!C54,'HARGA SATUAN'!$C$7:$C$1492,0),0)),0,OFFSET('HARGA SATUAN'!$I$6,MATCH(RAB!C54,'HARGA SATUAN'!$C$7:$C$1492,0),0))</f>
        <v>9500</v>
      </c>
      <c r="H54" s="361">
        <f t="shared" ca="1" si="28"/>
        <v>0</v>
      </c>
      <c r="I54" s="361">
        <f t="shared" ca="1" si="29"/>
        <v>19000</v>
      </c>
      <c r="J54" s="361">
        <f t="shared" ca="1" si="30"/>
        <v>0</v>
      </c>
      <c r="K54" s="362">
        <f t="shared" ca="1" si="31"/>
        <v>19000</v>
      </c>
      <c r="L54" s="342"/>
      <c r="M54" s="342"/>
      <c r="N54" s="369"/>
      <c r="O54" s="344"/>
      <c r="P54" s="397"/>
      <c r="Q54" s="344"/>
    </row>
    <row r="55" spans="1:17" s="365" customFormat="1" ht="14.5">
      <c r="A55" s="336"/>
      <c r="B55" s="516">
        <v>4</v>
      </c>
      <c r="C55" s="517" t="s">
        <v>737</v>
      </c>
      <c r="D55" s="358" t="str">
        <f ca="1">IF(ISERROR(OFFSET('HARGA SATUAN'!$D$6,MATCH(RAB!C55,'HARGA SATUAN'!$C$7:$C$1492,0),0)),"",OFFSET('HARGA SATUAN'!$D$6,MATCH(RAB!C55,'HARGA SATUAN'!$C$7:$C$1492,0),0))</f>
        <v>JASA</v>
      </c>
      <c r="E55" s="359" t="str">
        <f ca="1">IF(B55="+","Unit",IF(ISERROR(OFFSET('HARGA SATUAN'!$E$6,MATCH(RAB!C55,'HARGA SATUAN'!$C$7:$C$1492,0),0)),"",OFFSET('HARGA SATUAN'!$E$6,MATCH(RAB!C55,'HARGA SATUAN'!$C$7:$C$1492,0),0)))</f>
        <v>Unit</v>
      </c>
      <c r="F55" s="512">
        <f>F51*1</f>
        <v>2</v>
      </c>
      <c r="G55" s="360">
        <f ca="1">IF(ISERROR(OFFSET('HARGA SATUAN'!$I$6,MATCH(RAB!C55,'HARGA SATUAN'!$C$7:$C$1492,0),0)),0,OFFSET('HARGA SATUAN'!$I$6,MATCH(RAB!C55,'HARGA SATUAN'!$C$7:$C$1492,0),0))</f>
        <v>16200</v>
      </c>
      <c r="H55" s="361">
        <f t="shared" ca="1" si="28"/>
        <v>0</v>
      </c>
      <c r="I55" s="361">
        <f t="shared" ca="1" si="29"/>
        <v>0</v>
      </c>
      <c r="J55" s="361">
        <f t="shared" ca="1" si="30"/>
        <v>32400</v>
      </c>
      <c r="K55" s="362">
        <f t="shared" ca="1" si="31"/>
        <v>32400</v>
      </c>
      <c r="L55" s="342"/>
      <c r="M55" s="342"/>
      <c r="N55" s="369"/>
      <c r="O55" s="344"/>
      <c r="P55" s="397"/>
      <c r="Q55" s="344"/>
    </row>
    <row r="56" spans="1:17" s="365" customFormat="1" ht="14.5">
      <c r="A56" s="336"/>
      <c r="B56" s="516"/>
      <c r="C56" s="517"/>
      <c r="D56" s="358" t="str">
        <f ca="1">IF(ISERROR(OFFSET('HARGA SATUAN'!$D$6,MATCH(RAB!C56,'HARGA SATUAN'!$C$7:$C$1492,0),0)),"",OFFSET('HARGA SATUAN'!$D$6,MATCH(RAB!C56,'HARGA SATUAN'!$C$7:$C$1492,0),0))</f>
        <v/>
      </c>
      <c r="E56" s="359" t="str">
        <f ca="1">IF(B56="+","Unit",IF(ISERROR(OFFSET('HARGA SATUAN'!$E$6,MATCH(RAB!C56,'HARGA SATUAN'!$C$7:$C$1492,0),0)),"",OFFSET('HARGA SATUAN'!$E$6,MATCH(RAB!C56,'HARGA SATUAN'!$C$7:$C$1492,0),0)))</f>
        <v/>
      </c>
      <c r="F56" s="512"/>
      <c r="G56" s="360">
        <f ca="1">IF(ISERROR(OFFSET('HARGA SATUAN'!$I$6,MATCH(RAB!C56,'HARGA SATUAN'!$C$7:$C$1492,0),0)),0,OFFSET('HARGA SATUAN'!$I$6,MATCH(RAB!C56,'HARGA SATUAN'!$C$7:$C$1492,0),0))</f>
        <v>0</v>
      </c>
      <c r="H56" s="361">
        <f t="shared" ca="1" si="28"/>
        <v>0</v>
      </c>
      <c r="I56" s="361">
        <f t="shared" ca="1" si="29"/>
        <v>0</v>
      </c>
      <c r="J56" s="361">
        <f t="shared" ca="1" si="30"/>
        <v>0</v>
      </c>
      <c r="K56" s="362">
        <f t="shared" ca="1" si="31"/>
        <v>0</v>
      </c>
      <c r="L56" s="342"/>
      <c r="M56" s="342"/>
      <c r="N56" s="369"/>
      <c r="O56" s="344"/>
      <c r="P56" s="397"/>
      <c r="Q56" s="344"/>
    </row>
    <row r="57" spans="1:17" s="365" customFormat="1" ht="14.5">
      <c r="A57" s="336"/>
      <c r="B57" s="516" t="s">
        <v>1035</v>
      </c>
      <c r="C57" s="517" t="s">
        <v>1632</v>
      </c>
      <c r="D57" s="358" t="str">
        <f ca="1">IF(ISERROR(OFFSET('HARGA SATUAN'!$D$6,MATCH(RAB!C57,'HARGA SATUAN'!$C$7:$C$1492,0),0)),"",OFFSET('HARGA SATUAN'!$D$6,MATCH(RAB!C57,'HARGA SATUAN'!$C$7:$C$1492,0),0))</f>
        <v/>
      </c>
      <c r="E57" s="359" t="str">
        <f ca="1">IF(B57="+","Unit",IF(ISERROR(OFFSET('HARGA SATUAN'!$E$6,MATCH(RAB!C57,'HARGA SATUAN'!$C$7:$C$1492,0),0)),"",OFFSET('HARGA SATUAN'!$E$6,MATCH(RAB!C57,'HARGA SATUAN'!$C$7:$C$1492,0),0)))</f>
        <v>Unit</v>
      </c>
      <c r="F57" s="512">
        <v>2</v>
      </c>
      <c r="G57" s="360">
        <f ca="1">IF(ISERROR(OFFSET('HARGA SATUAN'!$I$6,MATCH(RAB!C57,'HARGA SATUAN'!$C$7:$C$1492,0),0)),0,OFFSET('HARGA SATUAN'!$I$6,MATCH(RAB!C57,'HARGA SATUAN'!$C$7:$C$1492,0),0))</f>
        <v>0</v>
      </c>
      <c r="H57" s="361">
        <f t="shared" ca="1" si="28"/>
        <v>0</v>
      </c>
      <c r="I57" s="361">
        <f t="shared" ca="1" si="29"/>
        <v>0</v>
      </c>
      <c r="J57" s="361">
        <f t="shared" ca="1" si="30"/>
        <v>0</v>
      </c>
      <c r="K57" s="362">
        <f t="shared" ca="1" si="31"/>
        <v>0</v>
      </c>
      <c r="L57" s="342"/>
      <c r="M57" s="342"/>
      <c r="N57" s="369"/>
      <c r="O57" s="344"/>
      <c r="P57" s="397"/>
      <c r="Q57" s="344"/>
    </row>
    <row r="58" spans="1:17" s="365" customFormat="1" ht="14.5">
      <c r="A58" s="336"/>
      <c r="B58" s="516">
        <v>1</v>
      </c>
      <c r="C58" s="517" t="s">
        <v>30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512">
        <f>F57*1</f>
        <v>2</v>
      </c>
      <c r="G58" s="360">
        <f ca="1">IF(ISERROR(OFFSET('HARGA SATUAN'!$I$6,MATCH(RAB!C58,'HARGA SATUAN'!$C$7:$C$1492,0),0)),0,OFFSET('HARGA SATUAN'!$I$6,MATCH(RAB!C58,'HARGA SATUAN'!$C$7:$C$1492,0),0))</f>
        <v>47459</v>
      </c>
      <c r="H58" s="361">
        <f t="shared" ca="1" si="28"/>
        <v>0</v>
      </c>
      <c r="I58" s="361">
        <f t="shared" ca="1" si="29"/>
        <v>94918</v>
      </c>
      <c r="J58" s="361">
        <f t="shared" ca="1" si="30"/>
        <v>0</v>
      </c>
      <c r="K58" s="362">
        <f t="shared" ca="1" si="31"/>
        <v>94918</v>
      </c>
      <c r="L58" s="342"/>
      <c r="M58" s="342"/>
      <c r="N58" s="369"/>
      <c r="O58" s="344"/>
      <c r="P58" s="397"/>
      <c r="Q58" s="344"/>
    </row>
    <row r="59" spans="1:17" s="365" customFormat="1" ht="14.5">
      <c r="A59" s="336"/>
      <c r="B59" s="516">
        <v>2</v>
      </c>
      <c r="C59" s="517" t="s">
        <v>32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Mtr</v>
      </c>
      <c r="F59" s="512">
        <f>F57*0.8</f>
        <v>1.6</v>
      </c>
      <c r="G59" s="360">
        <f ca="1">IF(ISERROR(OFFSET('HARGA SATUAN'!$I$6,MATCH(RAB!C59,'HARGA SATUAN'!$C$7:$C$1492,0),0)),0,OFFSET('HARGA SATUAN'!$I$6,MATCH(RAB!C59,'HARGA SATUAN'!$C$7:$C$1492,0),0))</f>
        <v>30000</v>
      </c>
      <c r="H59" s="361">
        <f t="shared" ca="1" si="28"/>
        <v>0</v>
      </c>
      <c r="I59" s="361">
        <f t="shared" ca="1" si="29"/>
        <v>48000</v>
      </c>
      <c r="J59" s="361">
        <f t="shared" ca="1" si="30"/>
        <v>0</v>
      </c>
      <c r="K59" s="362">
        <f t="shared" ca="1" si="31"/>
        <v>48000</v>
      </c>
      <c r="L59" s="342"/>
      <c r="M59" s="342"/>
      <c r="N59" s="369"/>
      <c r="O59" s="344"/>
      <c r="P59" s="397"/>
      <c r="Q59" s="344"/>
    </row>
    <row r="60" spans="1:17" s="365" customFormat="1" ht="14.5">
      <c r="A60" s="336"/>
      <c r="B60" s="516">
        <v>3</v>
      </c>
      <c r="C60" s="517" t="s">
        <v>33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Bh</v>
      </c>
      <c r="F60" s="512">
        <f>F57*1</f>
        <v>2</v>
      </c>
      <c r="G60" s="360">
        <f ca="1">IF(ISERROR(OFFSET('HARGA SATUAN'!$I$6,MATCH(RAB!C60,'HARGA SATUAN'!$C$7:$C$1492,0),0)),0,OFFSET('HARGA SATUAN'!$I$6,MATCH(RAB!C60,'HARGA SATUAN'!$C$7:$C$1492,0),0))</f>
        <v>9500</v>
      </c>
      <c r="H60" s="361">
        <f t="shared" ca="1" si="28"/>
        <v>0</v>
      </c>
      <c r="I60" s="361">
        <f t="shared" ca="1" si="29"/>
        <v>19000</v>
      </c>
      <c r="J60" s="361">
        <f t="shared" ca="1" si="30"/>
        <v>0</v>
      </c>
      <c r="K60" s="362">
        <f t="shared" ca="1" si="31"/>
        <v>19000</v>
      </c>
      <c r="L60" s="342"/>
      <c r="M60" s="342"/>
      <c r="N60" s="369"/>
      <c r="O60" s="344"/>
      <c r="P60" s="397"/>
      <c r="Q60" s="344"/>
    </row>
    <row r="61" spans="1:17" s="365" customFormat="1" ht="14.5">
      <c r="A61" s="336"/>
      <c r="B61" s="516">
        <v>4</v>
      </c>
      <c r="C61" s="517" t="s">
        <v>738</v>
      </c>
      <c r="D61" s="358" t="str">
        <f ca="1">IF(ISERROR(OFFSET('HARGA SATUAN'!$D$6,MATCH(RAB!C61,'HARGA SATUAN'!$C$7:$C$1492,0),0)),"",OFFSET('HARGA SATUAN'!$D$6,MATCH(RAB!C61,'HARGA SATUAN'!$C$7:$C$1492,0),0))</f>
        <v>JASA</v>
      </c>
      <c r="E61" s="359" t="str">
        <f ca="1">IF(B61="+","Unit",IF(ISERROR(OFFSET('HARGA SATUAN'!$E$6,MATCH(RAB!C61,'HARGA SATUAN'!$C$7:$C$1492,0),0)),"",OFFSET('HARGA SATUAN'!$E$6,MATCH(RAB!C61,'HARGA SATUAN'!$C$7:$C$1492,0),0)))</f>
        <v>Unit</v>
      </c>
      <c r="F61" s="512">
        <f>F57*1</f>
        <v>2</v>
      </c>
      <c r="G61" s="360">
        <f ca="1">IF(ISERROR(OFFSET('HARGA SATUAN'!$I$6,MATCH(RAB!C61,'HARGA SATUAN'!$C$7:$C$1492,0),0)),0,OFFSET('HARGA SATUAN'!$I$6,MATCH(RAB!C61,'HARGA SATUAN'!$C$7:$C$1492,0),0))</f>
        <v>21200</v>
      </c>
      <c r="H61" s="361">
        <f t="shared" ca="1" si="28"/>
        <v>0</v>
      </c>
      <c r="I61" s="361">
        <f t="shared" ca="1" si="29"/>
        <v>0</v>
      </c>
      <c r="J61" s="361">
        <f t="shared" ca="1" si="30"/>
        <v>42400</v>
      </c>
      <c r="K61" s="362">
        <f t="shared" ca="1" si="31"/>
        <v>42400</v>
      </c>
      <c r="L61" s="342"/>
      <c r="M61" s="342"/>
      <c r="N61" s="369"/>
      <c r="O61" s="344"/>
      <c r="P61" s="397"/>
      <c r="Q61" s="344"/>
    </row>
    <row r="62" spans="1:17" s="365" customFormat="1" ht="14.5">
      <c r="A62" s="336"/>
      <c r="B62" s="516"/>
      <c r="C62" s="517"/>
      <c r="D62" s="358" t="str">
        <f ca="1">IF(ISERROR(OFFSET('HARGA SATUAN'!$D$6,MATCH(RAB!C62,'HARGA SATUAN'!$C$7:$C$1492,0),0)),"",OFFSET('HARGA SATUAN'!$D$6,MATCH(RAB!C62,'HARGA SATUAN'!$C$7:$C$1492,0),0))</f>
        <v/>
      </c>
      <c r="E62" s="359" t="str">
        <f ca="1">IF(B62="+","Unit",IF(ISERROR(OFFSET('HARGA SATUAN'!$E$6,MATCH(RAB!C62,'HARGA SATUAN'!$C$7:$C$1492,0),0)),"",OFFSET('HARGA SATUAN'!$E$6,MATCH(RAB!C62,'HARGA SATUAN'!$C$7:$C$1492,0),0)))</f>
        <v/>
      </c>
      <c r="F62" s="512"/>
      <c r="G62" s="360">
        <f ca="1">IF(ISERROR(OFFSET('HARGA SATUAN'!$I$6,MATCH(RAB!C62,'HARGA SATUAN'!$C$7:$C$1492,0),0)),0,OFFSET('HARGA SATUAN'!$I$6,MATCH(RAB!C62,'HARGA SATUAN'!$C$7:$C$1492,0),0))</f>
        <v>0</v>
      </c>
      <c r="H62" s="361">
        <f t="shared" ca="1" si="28"/>
        <v>0</v>
      </c>
      <c r="I62" s="361">
        <f t="shared" ca="1" si="29"/>
        <v>0</v>
      </c>
      <c r="J62" s="361">
        <f t="shared" ca="1" si="30"/>
        <v>0</v>
      </c>
      <c r="K62" s="362">
        <f t="shared" ca="1" si="31"/>
        <v>0</v>
      </c>
      <c r="L62" s="342"/>
      <c r="M62" s="342"/>
      <c r="N62" s="369"/>
      <c r="O62" s="344"/>
      <c r="P62" s="397"/>
      <c r="Q62" s="344"/>
    </row>
    <row r="63" spans="1:17" s="365" customFormat="1" ht="14.5">
      <c r="A63" s="336"/>
      <c r="B63" s="495"/>
      <c r="C63" s="502" t="s">
        <v>1618</v>
      </c>
      <c r="D63" s="358" t="str">
        <f ca="1">IF(ISERROR(OFFSET('HARGA SATUAN'!$D$6,MATCH(RAB!C63,'HARGA SATUAN'!$C$7:$C$1492,0),0)),"",OFFSET('HARGA SATUAN'!$D$6,MATCH(RAB!C63,'HARGA SATUAN'!$C$7:$C$1492,0),0))</f>
        <v/>
      </c>
      <c r="E63" s="359" t="str">
        <f ca="1">IF(B63="+","Unit",IF(ISERROR(OFFSET('HARGA SATUAN'!$E$6,MATCH(RAB!C63,'HARGA SATUAN'!$C$7:$C$1492,0),0)),"",OFFSET('HARGA SATUAN'!$E$6,MATCH(RAB!C63,'HARGA SATUAN'!$C$7:$C$1492,0),0)))</f>
        <v/>
      </c>
      <c r="F63" s="498"/>
      <c r="G63" s="360">
        <f ca="1">IF(ISERROR(OFFSET('HARGA SATUAN'!$I$6,MATCH(RAB!C63,'HARGA SATUAN'!$C$7:$C$1492,0),0)),0,OFFSET('HARGA SATUAN'!$I$6,MATCH(RAB!C63,'HARGA SATUAN'!$C$7:$C$1492,0),0))</f>
        <v>0</v>
      </c>
      <c r="H63" s="361">
        <f t="shared" ca="1" si="24"/>
        <v>0</v>
      </c>
      <c r="I63" s="361">
        <f t="shared" ca="1" si="25"/>
        <v>0</v>
      </c>
      <c r="J63" s="361">
        <f t="shared" ca="1" si="26"/>
        <v>0</v>
      </c>
      <c r="K63" s="362">
        <f t="shared" ca="1" si="27"/>
        <v>0</v>
      </c>
      <c r="L63" s="342"/>
      <c r="M63" s="342"/>
      <c r="N63" s="369"/>
      <c r="O63" s="344"/>
      <c r="P63" s="397"/>
      <c r="Q63" s="344"/>
    </row>
    <row r="64" spans="1:17" s="365" customFormat="1" ht="14.5">
      <c r="A64" s="336"/>
      <c r="B64" s="495">
        <v>1</v>
      </c>
      <c r="C64" s="109" t="s">
        <v>1459</v>
      </c>
      <c r="D64" s="358" t="str">
        <f ca="1">IF(ISERROR(OFFSET('HARGA SATUAN'!$D$6,MATCH(RAB!C64,'HARGA SATUAN'!$C$7:$C$1492,0),0)),"",OFFSET('HARGA SATUAN'!$D$6,MATCH(RAB!C64,'HARGA SATUAN'!$C$7:$C$1492,0),0))</f>
        <v>MDU-KD</v>
      </c>
      <c r="E64" s="359" t="str">
        <f ca="1">IF(B64="+","Unit",IF(ISERROR(OFFSET('HARGA SATUAN'!$E$6,MATCH(RAB!C64,'HARGA SATUAN'!$C$7:$C$1492,0),0)),"",OFFSET('HARGA SATUAN'!$E$6,MATCH(RAB!C64,'HARGA SATUAN'!$C$7:$C$1492,0),0)))</f>
        <v>Mtr</v>
      </c>
      <c r="F64" s="498">
        <v>62</v>
      </c>
      <c r="G64" s="360">
        <f ca="1">IF(ISERROR(OFFSET('HARGA SATUAN'!$I$6,MATCH(RAB!C64,'HARGA SATUAN'!$C$7:$C$1492,0),0)),0,OFFSET('HARGA SATUAN'!$I$6,MATCH(RAB!C64,'HARGA SATUAN'!$C$7:$C$1492,0),0))</f>
        <v>54500</v>
      </c>
      <c r="H64" s="361">
        <f t="shared" ca="1" si="24"/>
        <v>3379000</v>
      </c>
      <c r="I64" s="361">
        <f t="shared" ca="1" si="25"/>
        <v>0</v>
      </c>
      <c r="J64" s="361">
        <f t="shared" ca="1" si="26"/>
        <v>0</v>
      </c>
      <c r="K64" s="362">
        <f t="shared" ca="1" si="27"/>
        <v>3379000</v>
      </c>
      <c r="L64" s="342"/>
      <c r="M64" s="342"/>
      <c r="N64" s="369"/>
      <c r="O64" s="344"/>
      <c r="P64" s="397"/>
      <c r="Q64" s="344"/>
    </row>
    <row r="65" spans="1:17" s="365" customFormat="1" ht="14.5">
      <c r="A65" s="336"/>
      <c r="B65" s="495">
        <v>2</v>
      </c>
      <c r="C65" s="109" t="s">
        <v>346</v>
      </c>
      <c r="D65" s="358" t="str">
        <f ca="1">IF(ISERROR(OFFSET('HARGA SATUAN'!$D$6,MATCH(RAB!C65,'HARGA SATUAN'!$C$7:$C$1492,0),0)),"",OFFSET('HARGA SATUAN'!$D$6,MATCH(RAB!C65,'HARGA SATUAN'!$C$7:$C$1492,0),0))</f>
        <v>JASA</v>
      </c>
      <c r="E65" s="359" t="str">
        <f ca="1">IF(B65="+","Unit",IF(ISERROR(OFFSET('HARGA SATUAN'!$E$6,MATCH(RAB!C65,'HARGA SATUAN'!$C$7:$C$1492,0),0)),"",OFFSET('HARGA SATUAN'!$E$6,MATCH(RAB!C65,'HARGA SATUAN'!$C$7:$C$1492,0),0)))</f>
        <v>Per 50 m</v>
      </c>
      <c r="F65" s="501">
        <f>F64/50</f>
        <v>1.24</v>
      </c>
      <c r="G65" s="360">
        <f ca="1">IF(ISERROR(OFFSET('HARGA SATUAN'!$I$6,MATCH(RAB!C65,'HARGA SATUAN'!$C$7:$C$1492,0),0)),0,OFFSET('HARGA SATUAN'!$I$6,MATCH(RAB!C65,'HARGA SATUAN'!$C$7:$C$1492,0),0))</f>
        <v>223500</v>
      </c>
      <c r="H65" s="361">
        <f t="shared" ca="1" si="24"/>
        <v>0</v>
      </c>
      <c r="I65" s="361">
        <f t="shared" ca="1" si="25"/>
        <v>0</v>
      </c>
      <c r="J65" s="361">
        <f t="shared" ca="1" si="26"/>
        <v>277140</v>
      </c>
      <c r="K65" s="362">
        <f t="shared" ca="1" si="27"/>
        <v>277140</v>
      </c>
      <c r="L65" s="342"/>
      <c r="M65" s="342"/>
      <c r="N65" s="369"/>
      <c r="O65" s="344"/>
      <c r="P65" s="397"/>
      <c r="Q65" s="344"/>
    </row>
    <row r="66" spans="1:17" s="365" customFormat="1" ht="14.5">
      <c r="A66" s="336"/>
      <c r="B66" s="495"/>
      <c r="C66" s="496"/>
      <c r="D66" s="358" t="str">
        <f ca="1">IF(ISERROR(OFFSET('HARGA SATUAN'!$D$6,MATCH(RAB!C66,'HARGA SATUAN'!$C$7:$C$1492,0),0)),"",OFFSET('HARGA SATUAN'!$D$6,MATCH(RAB!C66,'HARGA SATUAN'!$C$7:$C$1492,0),0))</f>
        <v/>
      </c>
      <c r="E66" s="359" t="str">
        <f ca="1">IF(B66="+","Unit",IF(ISERROR(OFFSET('HARGA SATUAN'!$E$6,MATCH(RAB!C66,'HARGA SATUAN'!$C$7:$C$1492,0),0)),"",OFFSET('HARGA SATUAN'!$E$6,MATCH(RAB!C66,'HARGA SATUAN'!$C$7:$C$1492,0),0)))</f>
        <v/>
      </c>
      <c r="F66" s="498"/>
      <c r="G66" s="360">
        <f ca="1">IF(ISERROR(OFFSET('HARGA SATUAN'!$I$6,MATCH(RAB!C66,'HARGA SATUAN'!$C$7:$C$1492,0),0)),0,OFFSET('HARGA SATUAN'!$I$6,MATCH(RAB!C66,'HARGA SATUAN'!$C$7:$C$1492,0),0))</f>
        <v>0</v>
      </c>
      <c r="H66" s="361">
        <f t="shared" ca="1" si="24"/>
        <v>0</v>
      </c>
      <c r="I66" s="361">
        <f t="shared" ca="1" si="25"/>
        <v>0</v>
      </c>
      <c r="J66" s="361">
        <f t="shared" ca="1" si="26"/>
        <v>0</v>
      </c>
      <c r="K66" s="362">
        <f t="shared" ca="1" si="27"/>
        <v>0</v>
      </c>
      <c r="L66" s="342"/>
      <c r="M66" s="342"/>
      <c r="N66" s="369"/>
      <c r="O66" s="344"/>
      <c r="P66" s="397"/>
      <c r="Q66" s="344"/>
    </row>
    <row r="67" spans="1:17" ht="14.5">
      <c r="B67" s="493" t="s">
        <v>1614</v>
      </c>
      <c r="C67" s="497" t="s">
        <v>1616</v>
      </c>
      <c r="D67" s="358" t="str">
        <f ca="1">IF(ISERROR(OFFSET('HARGA SATUAN'!$D$6,MATCH(RAB!C67,'HARGA SATUAN'!$C$7:$C$1492,0),0)),"",OFFSET('HARGA SATUAN'!$D$6,MATCH(RAB!C67,'HARGA SATUAN'!$C$7:$C$1492,0),0))</f>
        <v/>
      </c>
      <c r="E67" s="359" t="str">
        <f ca="1">IF(B67="+","Unit",IF(ISERROR(OFFSET('HARGA SATUAN'!$E$6,MATCH(RAB!C67,'HARGA SATUAN'!$C$7:$C$1492,0),0)),"",OFFSET('HARGA SATUAN'!$E$6,MATCH(RAB!C67,'HARGA SATUAN'!$C$7:$C$1492,0),0)))</f>
        <v/>
      </c>
      <c r="F67" s="368"/>
      <c r="G67" s="360">
        <f ca="1">IF(ISERROR(OFFSET('HARGA SATUAN'!$I$6,MATCH(RAB!C67,'HARGA SATUAN'!$C$7:$C$1492,0),0)),0,OFFSET('HARGA SATUAN'!$I$6,MATCH(RAB!C67,'HARGA SATUAN'!$C$7:$C$1492,0),0))</f>
        <v>0</v>
      </c>
      <c r="H67" s="361">
        <f t="shared" ref="H67:H73" ca="1" si="32">IF(OR(D67="MDU",D67="MDU-KD"),(IF($O$3="RAB NON MDU","PLN KD",G67*F67)),0)</f>
        <v>0</v>
      </c>
      <c r="I67" s="361">
        <f t="shared" ref="I67:I73" ca="1" si="33">IF(D67="HDW",G67*F67,0)</f>
        <v>0</v>
      </c>
      <c r="J67" s="361">
        <f t="shared" ref="J67:J73" ca="1" si="34">IF(D67="JASA",G67*F67,0)</f>
        <v>0</v>
      </c>
      <c r="K67" s="362">
        <f t="shared" ref="K67:K73" ca="1" si="35">SUM(H67:J67)</f>
        <v>0</v>
      </c>
    </row>
    <row r="68" spans="1:17" ht="14.5">
      <c r="B68" s="493"/>
      <c r="C68" s="494"/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/>
      </c>
      <c r="F68" s="500"/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ca="1" si="32"/>
        <v>0</v>
      </c>
      <c r="I68" s="361">
        <f t="shared" ca="1" si="33"/>
        <v>0</v>
      </c>
      <c r="J68" s="361">
        <f t="shared" ca="1" si="34"/>
        <v>0</v>
      </c>
      <c r="K68" s="362">
        <f t="shared" ca="1" si="35"/>
        <v>0</v>
      </c>
    </row>
    <row r="69" spans="1:17" ht="14.5">
      <c r="B69" s="493" t="s">
        <v>1035</v>
      </c>
      <c r="C69" s="494" t="s">
        <v>1626</v>
      </c>
      <c r="D69" s="358" t="str">
        <f ca="1">IF(ISERROR(OFFSET('HARGA SATUAN'!$D$6,MATCH(RAB!C69,'HARGA SATUAN'!$C$7:$C$1492,0),0)),"",OFFSET('HARGA SATUAN'!$D$6,MATCH(RAB!C69,'HARGA SATUAN'!$C$7:$C$1492,0),0))</f>
        <v/>
      </c>
      <c r="E69" s="359" t="str">
        <f ca="1">IF(B69="+","Unit",IF(ISERROR(OFFSET('HARGA SATUAN'!$E$6,MATCH(RAB!C69,'HARGA SATUAN'!$C$7:$C$1492,0),0)),"",OFFSET('HARGA SATUAN'!$E$6,MATCH(RAB!C69,'HARGA SATUAN'!$C$7:$C$1492,0),0)))</f>
        <v>Unit</v>
      </c>
      <c r="F69" s="503">
        <v>1</v>
      </c>
      <c r="G69" s="360">
        <f ca="1">IF(ISERROR(OFFSET('HARGA SATUAN'!$I$6,MATCH(RAB!C69,'HARGA SATUAN'!$C$7:$C$1492,0),0)),0,OFFSET('HARGA SATUAN'!$I$6,MATCH(RAB!C69,'HARGA SATUAN'!$C$7:$C$1492,0),0))</f>
        <v>0</v>
      </c>
      <c r="H69" s="361">
        <f t="shared" ca="1" si="32"/>
        <v>0</v>
      </c>
      <c r="I69" s="361">
        <f t="shared" ca="1" si="33"/>
        <v>0</v>
      </c>
      <c r="J69" s="361">
        <f t="shared" ca="1" si="34"/>
        <v>0</v>
      </c>
      <c r="K69" s="362">
        <f t="shared" ca="1" si="35"/>
        <v>0</v>
      </c>
    </row>
    <row r="70" spans="1:17" ht="29">
      <c r="B70" s="509">
        <v>1</v>
      </c>
      <c r="C70" s="109" t="s">
        <v>1197</v>
      </c>
      <c r="D70" s="358" t="str">
        <f ca="1">IF(ISERROR(OFFSET('HARGA SATUAN'!$D$6,MATCH(RAB!C70,'HARGA SATUAN'!$C$7:$C$1492,0),0)),"",OFFSET('HARGA SATUAN'!$D$6,MATCH(RAB!C70,'HARGA SATUAN'!$C$7:$C$1492,0),0))</f>
        <v>MDU-KD</v>
      </c>
      <c r="E70" s="359" t="str">
        <f ca="1">IF(B70="+","Unit",IF(ISERROR(OFFSET('HARGA SATUAN'!$E$6,MATCH(RAB!C70,'HARGA SATUAN'!$C$7:$C$1492,0),0)),"",OFFSET('HARGA SATUAN'!$E$6,MATCH(RAB!C70,'HARGA SATUAN'!$C$7:$C$1492,0),0)))</f>
        <v>Bh</v>
      </c>
      <c r="F70" s="503">
        <f>F69*1</f>
        <v>1</v>
      </c>
      <c r="G70" s="360">
        <f ca="1">IF(ISERROR(OFFSET('HARGA SATUAN'!$I$6,MATCH(RAB!C70,'HARGA SATUAN'!$C$7:$C$1492,0),0)),0,OFFSET('HARGA SATUAN'!$I$6,MATCH(RAB!C70,'HARGA SATUAN'!$C$7:$C$1492,0),0))</f>
        <v>1427400</v>
      </c>
      <c r="H70" s="361">
        <f t="shared" ca="1" si="32"/>
        <v>1427400</v>
      </c>
      <c r="I70" s="361">
        <f t="shared" ca="1" si="33"/>
        <v>0</v>
      </c>
      <c r="J70" s="361">
        <f t="shared" ca="1" si="34"/>
        <v>0</v>
      </c>
      <c r="K70" s="362">
        <f t="shared" ca="1" si="35"/>
        <v>1427400</v>
      </c>
    </row>
    <row r="71" spans="1:17" ht="14.5">
      <c r="B71" s="509">
        <v>2</v>
      </c>
      <c r="C71" s="510" t="s">
        <v>509</v>
      </c>
      <c r="D71" s="358" t="str">
        <f ca="1">IF(ISERROR(OFFSET('HARGA SATUAN'!$D$6,MATCH(RAB!C71,'HARGA SATUAN'!$C$7:$C$1492,0),0)),"",OFFSET('HARGA SATUAN'!$D$6,MATCH(RAB!C71,'HARGA SATUAN'!$C$7:$C$1492,0),0))</f>
        <v>MDU-KD</v>
      </c>
      <c r="E71" s="359" t="str">
        <f ca="1">IF(B71="+","Unit",IF(ISERROR(OFFSET('HARGA SATUAN'!$E$6,MATCH(RAB!C71,'HARGA SATUAN'!$C$7:$C$1492,0),0)),"",OFFSET('HARGA SATUAN'!$E$6,MATCH(RAB!C71,'HARGA SATUAN'!$C$7:$C$1492,0),0)))</f>
        <v>Unit</v>
      </c>
      <c r="F71" s="503">
        <f>F69*1</f>
        <v>1</v>
      </c>
      <c r="G71" s="360">
        <f ca="1">IF(ISERROR(OFFSET('HARGA SATUAN'!$I$6,MATCH(RAB!C71,'HARGA SATUAN'!$C$7:$C$1492,0),0)),0,OFFSET('HARGA SATUAN'!$I$6,MATCH(RAB!C71,'HARGA SATUAN'!$C$7:$C$1492,0),0))</f>
        <v>3564900</v>
      </c>
      <c r="H71" s="361">
        <f t="shared" ca="1" si="32"/>
        <v>3564900</v>
      </c>
      <c r="I71" s="361">
        <f t="shared" ca="1" si="33"/>
        <v>0</v>
      </c>
      <c r="J71" s="361">
        <f t="shared" ca="1" si="34"/>
        <v>0</v>
      </c>
      <c r="K71" s="362">
        <f t="shared" ca="1" si="35"/>
        <v>3564900</v>
      </c>
    </row>
    <row r="72" spans="1:17" ht="14.5">
      <c r="B72" s="509">
        <v>3</v>
      </c>
      <c r="C72" s="510" t="s">
        <v>77</v>
      </c>
      <c r="D72" s="358" t="str">
        <f ca="1">IF(ISERROR(OFFSET('HARGA SATUAN'!$D$6,MATCH(RAB!C72,'HARGA SATUAN'!$C$7:$C$1492,0),0)),"",OFFSET('HARGA SATUAN'!$D$6,MATCH(RAB!C72,'HARGA SATUAN'!$C$7:$C$1492,0),0))</f>
        <v>MDU-KD</v>
      </c>
      <c r="E72" s="359" t="str">
        <f ca="1">IF(B72="+","Unit",IF(ISERROR(OFFSET('HARGA SATUAN'!$E$6,MATCH(RAB!C72,'HARGA SATUAN'!$C$7:$C$1492,0),0)),"",OFFSET('HARGA SATUAN'!$E$6,MATCH(RAB!C72,'HARGA SATUAN'!$C$7:$C$1492,0),0)))</f>
        <v>Mtr</v>
      </c>
      <c r="F72" s="503">
        <v>25</v>
      </c>
      <c r="G72" s="360">
        <f ca="1">IF(ISERROR(OFFSET('HARGA SATUAN'!$I$6,MATCH(RAB!C72,'HARGA SATUAN'!$C$7:$C$1492,0),0)),0,OFFSET('HARGA SATUAN'!$I$6,MATCH(RAB!C72,'HARGA SATUAN'!$C$7:$C$1492,0),0))</f>
        <v>13500</v>
      </c>
      <c r="H72" s="361">
        <f t="shared" ca="1" si="32"/>
        <v>337500</v>
      </c>
      <c r="I72" s="361">
        <f t="shared" ca="1" si="33"/>
        <v>0</v>
      </c>
      <c r="J72" s="361">
        <f t="shared" ca="1" si="34"/>
        <v>0</v>
      </c>
      <c r="K72" s="362">
        <f t="shared" ca="1" si="35"/>
        <v>337500</v>
      </c>
    </row>
    <row r="73" spans="1:17" ht="14.5">
      <c r="B73" s="509">
        <v>4</v>
      </c>
      <c r="C73" s="510" t="s">
        <v>799</v>
      </c>
      <c r="D73" s="358" t="str">
        <f ca="1">IF(ISERROR(OFFSET('HARGA SATUAN'!$D$6,MATCH(RAB!C73,'HARGA SATUAN'!$C$7:$C$1492,0),0)),"",OFFSET('HARGA SATUAN'!$D$6,MATCH(RAB!C73,'HARGA SATUAN'!$C$7:$C$1492,0),0))</f>
        <v>JASA</v>
      </c>
      <c r="E73" s="359" t="str">
        <f ca="1">IF(B73="+","Unit",IF(ISERROR(OFFSET('HARGA SATUAN'!$E$6,MATCH(RAB!C73,'HARGA SATUAN'!$C$7:$C$1492,0),0)),"",OFFSET('HARGA SATUAN'!$E$6,MATCH(RAB!C73,'HARGA SATUAN'!$C$7:$C$1492,0),0)))</f>
        <v>Unit</v>
      </c>
      <c r="F73" s="503">
        <f>F69*1</f>
        <v>1</v>
      </c>
      <c r="G73" s="360">
        <f ca="1">IF(ISERROR(OFFSET('HARGA SATUAN'!$I$6,MATCH(RAB!C73,'HARGA SATUAN'!$C$7:$C$1492,0),0)),0,OFFSET('HARGA SATUAN'!$I$6,MATCH(RAB!C73,'HARGA SATUAN'!$C$7:$C$1492,0),0))</f>
        <v>106400</v>
      </c>
      <c r="H73" s="361">
        <f t="shared" ca="1" si="32"/>
        <v>0</v>
      </c>
      <c r="I73" s="361">
        <f t="shared" ca="1" si="33"/>
        <v>0</v>
      </c>
      <c r="J73" s="361">
        <f t="shared" ca="1" si="34"/>
        <v>106400</v>
      </c>
      <c r="K73" s="362">
        <f t="shared" ca="1" si="35"/>
        <v>106400</v>
      </c>
    </row>
    <row r="74" spans="1:17" ht="14.5">
      <c r="B74" s="374"/>
      <c r="C74" s="499"/>
      <c r="D74" s="358" t="str">
        <f ca="1">IF(ISERROR(OFFSET('HARGA SATUAN'!$D$6,MATCH(RAB!C74,'HARGA SATUAN'!$C$7:$C$1492,0),0)),"",OFFSET('HARGA SATUAN'!$D$6,MATCH(RAB!C74,'HARGA SATUAN'!$C$7:$C$1492,0),0))</f>
        <v/>
      </c>
      <c r="E74" s="359" t="str">
        <f ca="1">IF(B74="+","Unit",IF(ISERROR(OFFSET('HARGA SATUAN'!$E$6,MATCH(RAB!C74,'HARGA SATUAN'!$C$7:$C$1492,0),0)),"",OFFSET('HARGA SATUAN'!$E$6,MATCH(RAB!C74,'HARGA SATUAN'!$C$7:$C$1492,0),0)))</f>
        <v/>
      </c>
      <c r="F74" s="368"/>
      <c r="G74" s="360">
        <f ca="1">IF(ISERROR(OFFSET('HARGA SATUAN'!$I$6,MATCH(RAB!C74,'HARGA SATUAN'!$C$7:$C$1492,0),0)),0,OFFSET('HARGA SATUAN'!$I$6,MATCH(RAB!C74,'HARGA SATUAN'!$C$7:$C$1492,0),0))</f>
        <v>0</v>
      </c>
      <c r="H74" s="361">
        <f t="shared" ref="H74:H82" ca="1" si="36">IF(OR(D74="MDU",D74="MDU-KD"),(IF($O$3="RAB NON MDU","PLN KD",G74*F74)),0)</f>
        <v>0</v>
      </c>
      <c r="I74" s="361">
        <f t="shared" ref="I74:I82" ca="1" si="37">IF(D74="HDW",G74*F74,0)</f>
        <v>0</v>
      </c>
      <c r="J74" s="361">
        <f t="shared" ref="J74:J82" ca="1" si="38">IF(D74="JASA",G74*F74,0)</f>
        <v>0</v>
      </c>
      <c r="K74" s="362">
        <f t="shared" ref="K74:K82" ca="1" si="39">SUM(H74:J74)</f>
        <v>0</v>
      </c>
    </row>
    <row r="75" spans="1:17" ht="14.5">
      <c r="B75" s="519" t="s">
        <v>1035</v>
      </c>
      <c r="C75" s="520" t="s">
        <v>1633</v>
      </c>
      <c r="D75" s="358" t="str">
        <f ca="1">IF(ISERROR(OFFSET('HARGA SATUAN'!$D$6,MATCH(RAB!C75,'HARGA SATUAN'!$C$7:$C$1492,0),0)),"",OFFSET('HARGA SATUAN'!$D$6,MATCH(RAB!C75,'HARGA SATUAN'!$C$7:$C$1492,0),0))</f>
        <v/>
      </c>
      <c r="E75" s="359" t="str">
        <f ca="1">IF(B75="+","Unit",IF(ISERROR(OFFSET('HARGA SATUAN'!$E$6,MATCH(RAB!C75,'HARGA SATUAN'!$C$7:$C$1492,0),0)),"",OFFSET('HARGA SATUAN'!$E$6,MATCH(RAB!C75,'HARGA SATUAN'!$C$7:$C$1492,0),0)))</f>
        <v>Unit</v>
      </c>
      <c r="F75" s="521">
        <v>1</v>
      </c>
      <c r="G75" s="360">
        <f ca="1">IF(ISERROR(OFFSET('HARGA SATUAN'!$I$6,MATCH(RAB!C75,'HARGA SATUAN'!$C$7:$C$1492,0),0)),0,OFFSET('HARGA SATUAN'!$I$6,MATCH(RAB!C75,'HARGA SATUAN'!$C$7:$C$1492,0),0))</f>
        <v>0</v>
      </c>
      <c r="H75" s="361">
        <f t="shared" ca="1" si="36"/>
        <v>0</v>
      </c>
      <c r="I75" s="361">
        <f t="shared" ca="1" si="37"/>
        <v>0</v>
      </c>
      <c r="J75" s="361">
        <f t="shared" ca="1" si="38"/>
        <v>0</v>
      </c>
      <c r="K75" s="362">
        <f t="shared" ca="1" si="39"/>
        <v>0</v>
      </c>
    </row>
    <row r="76" spans="1:17" ht="14.5">
      <c r="B76" s="519">
        <v>1</v>
      </c>
      <c r="C76" s="520" t="s">
        <v>115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Set</v>
      </c>
      <c r="F76" s="521">
        <f>F75*1</f>
        <v>1</v>
      </c>
      <c r="G76" s="360">
        <f ca="1">IF(ISERROR(OFFSET('HARGA SATUAN'!$I$6,MATCH(RAB!C76,'HARGA SATUAN'!$C$7:$C$1492,0),0)),0,OFFSET('HARGA SATUAN'!$I$6,MATCH(RAB!C76,'HARGA SATUAN'!$C$7:$C$1492,0),0))</f>
        <v>11500</v>
      </c>
      <c r="H76" s="361">
        <f t="shared" ca="1" si="36"/>
        <v>0</v>
      </c>
      <c r="I76" s="361">
        <f t="shared" ca="1" si="37"/>
        <v>11500</v>
      </c>
      <c r="J76" s="361">
        <f t="shared" ca="1" si="38"/>
        <v>0</v>
      </c>
      <c r="K76" s="362">
        <f t="shared" ca="1" si="39"/>
        <v>11500</v>
      </c>
    </row>
    <row r="77" spans="1:17" ht="14.5">
      <c r="B77" s="519">
        <v>2</v>
      </c>
      <c r="C77" s="520" t="s">
        <v>145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Set</v>
      </c>
      <c r="F77" s="521">
        <f>F75*1</f>
        <v>1</v>
      </c>
      <c r="G77" s="360">
        <f ca="1">IF(ISERROR(OFFSET('HARGA SATUAN'!$I$6,MATCH(RAB!C77,'HARGA SATUAN'!$C$7:$C$1492,0),0)),0,OFFSET('HARGA SATUAN'!$I$6,MATCH(RAB!C77,'HARGA SATUAN'!$C$7:$C$1492,0),0))</f>
        <v>6200</v>
      </c>
      <c r="H77" s="361">
        <f t="shared" ca="1" si="36"/>
        <v>0</v>
      </c>
      <c r="I77" s="361">
        <f t="shared" ca="1" si="37"/>
        <v>6200</v>
      </c>
      <c r="J77" s="361">
        <f t="shared" ca="1" si="38"/>
        <v>0</v>
      </c>
      <c r="K77" s="362">
        <f t="shared" ca="1" si="39"/>
        <v>6200</v>
      </c>
    </row>
    <row r="78" spans="1:17" ht="14.5">
      <c r="B78" s="519">
        <v>3</v>
      </c>
      <c r="C78" s="520" t="s">
        <v>587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Btg</v>
      </c>
      <c r="F78" s="521">
        <f>F75*1</f>
        <v>1</v>
      </c>
      <c r="G78" s="360">
        <f ca="1">IF(ISERROR(OFFSET('HARGA SATUAN'!$I$6,MATCH(RAB!C78,'HARGA SATUAN'!$C$7:$C$1492,0),0)),0,OFFSET('HARGA SATUAN'!$I$6,MATCH(RAB!C78,'HARGA SATUAN'!$C$7:$C$1492,0),0))</f>
        <v>45796</v>
      </c>
      <c r="H78" s="361">
        <f t="shared" ca="1" si="36"/>
        <v>0</v>
      </c>
      <c r="I78" s="361">
        <f t="shared" ca="1" si="37"/>
        <v>45796</v>
      </c>
      <c r="J78" s="361">
        <f t="shared" ca="1" si="38"/>
        <v>0</v>
      </c>
      <c r="K78" s="362">
        <f t="shared" ca="1" si="39"/>
        <v>45796</v>
      </c>
    </row>
    <row r="79" spans="1:17" ht="14.5">
      <c r="B79" s="519">
        <v>4</v>
      </c>
      <c r="C79" s="520" t="s">
        <v>118</v>
      </c>
      <c r="D79" s="358" t="str">
        <f ca="1">IF(ISERROR(OFFSET('HARGA SATUAN'!$D$6,MATCH(RAB!C79,'HARGA SATUAN'!$C$7:$C$1492,0),0)),"",OFFSET('HARGA SATUAN'!$D$6,MATCH(RAB!C79,'HARGA SATUAN'!$C$7:$C$1492,0),0))</f>
        <v>HDW</v>
      </c>
      <c r="E79" s="359" t="str">
        <f ca="1">IF(B79="+","Unit",IF(ISERROR(OFFSET('HARGA SATUAN'!$E$6,MATCH(RAB!C79,'HARGA SATUAN'!$C$7:$C$1492,0),0)),"",OFFSET('HARGA SATUAN'!$E$6,MATCH(RAB!C79,'HARGA SATUAN'!$C$7:$C$1492,0),0)))</f>
        <v>Set</v>
      </c>
      <c r="F79" s="521">
        <f>F75*1</f>
        <v>1</v>
      </c>
      <c r="G79" s="360">
        <f ca="1">IF(ISERROR(OFFSET('HARGA SATUAN'!$I$6,MATCH(RAB!C79,'HARGA SATUAN'!$C$7:$C$1492,0),0)),0,OFFSET('HARGA SATUAN'!$I$6,MATCH(RAB!C79,'HARGA SATUAN'!$C$7:$C$1492,0),0))</f>
        <v>5300</v>
      </c>
      <c r="H79" s="361">
        <f t="shared" ca="1" si="36"/>
        <v>0</v>
      </c>
      <c r="I79" s="361">
        <f t="shared" ca="1" si="37"/>
        <v>5300</v>
      </c>
      <c r="J79" s="361">
        <f t="shared" ca="1" si="38"/>
        <v>0</v>
      </c>
      <c r="K79" s="362">
        <f t="shared" ca="1" si="39"/>
        <v>5300</v>
      </c>
    </row>
    <row r="80" spans="1:17" ht="14.5">
      <c r="B80" s="519">
        <v>5</v>
      </c>
      <c r="C80" s="520" t="s">
        <v>117</v>
      </c>
      <c r="D80" s="358" t="str">
        <f ca="1">IF(ISERROR(OFFSET('HARGA SATUAN'!$D$6,MATCH(RAB!C80,'HARGA SATUAN'!$C$7:$C$1492,0),0)),"",OFFSET('HARGA SATUAN'!$D$6,MATCH(RAB!C80,'HARGA SATUAN'!$C$7:$C$1492,0),0))</f>
        <v>HDW</v>
      </c>
      <c r="E80" s="359" t="str">
        <f ca="1">IF(B80="+","Unit",IF(ISERROR(OFFSET('HARGA SATUAN'!$E$6,MATCH(RAB!C80,'HARGA SATUAN'!$C$7:$C$1492,0),0)),"",OFFSET('HARGA SATUAN'!$E$6,MATCH(RAB!C80,'HARGA SATUAN'!$C$7:$C$1492,0),0)))</f>
        <v>Bh</v>
      </c>
      <c r="F80" s="521">
        <f>F75*1</f>
        <v>1</v>
      </c>
      <c r="G80" s="360">
        <f ca="1">IF(ISERROR(OFFSET('HARGA SATUAN'!$I$6,MATCH(RAB!C80,'HARGA SATUAN'!$C$7:$C$1492,0),0)),0,OFFSET('HARGA SATUAN'!$I$6,MATCH(RAB!C80,'HARGA SATUAN'!$C$7:$C$1492,0),0))</f>
        <v>58600</v>
      </c>
      <c r="H80" s="361">
        <f t="shared" ca="1" si="36"/>
        <v>0</v>
      </c>
      <c r="I80" s="361">
        <f t="shared" ca="1" si="37"/>
        <v>58600</v>
      </c>
      <c r="J80" s="361">
        <f t="shared" ca="1" si="38"/>
        <v>0</v>
      </c>
      <c r="K80" s="362">
        <f t="shared" ca="1" si="39"/>
        <v>58600</v>
      </c>
    </row>
    <row r="81" spans="2:13" ht="14.5">
      <c r="B81" s="519">
        <v>6</v>
      </c>
      <c r="C81" s="109" t="s">
        <v>1155</v>
      </c>
      <c r="D81" s="358" t="str">
        <f ca="1">IF(ISERROR(OFFSET('HARGA SATUAN'!$D$6,MATCH(RAB!C81,'HARGA SATUAN'!$C$7:$C$1492,0),0)),"",OFFSET('HARGA SATUAN'!$D$6,MATCH(RAB!C81,'HARGA SATUAN'!$C$7:$C$1492,0),0))</f>
        <v>HDW</v>
      </c>
      <c r="E81" s="359" t="str">
        <f ca="1">IF(B81="+","Unit",IF(ISERROR(OFFSET('HARGA SATUAN'!$E$6,MATCH(RAB!C81,'HARGA SATUAN'!$C$7:$C$1492,0),0)),"",OFFSET('HARGA SATUAN'!$E$6,MATCH(RAB!C81,'HARGA SATUAN'!$C$7:$C$1492,0),0)))</f>
        <v>Set</v>
      </c>
      <c r="F81" s="521">
        <f>F75*2</f>
        <v>2</v>
      </c>
      <c r="G81" s="360">
        <f ca="1">IF(ISERROR(OFFSET('HARGA SATUAN'!$I$6,MATCH(RAB!C81,'HARGA SATUAN'!$C$7:$C$1492,0),0)),0,OFFSET('HARGA SATUAN'!$I$6,MATCH(RAB!C81,'HARGA SATUAN'!$C$7:$C$1492,0),0))</f>
        <v>2900</v>
      </c>
      <c r="H81" s="361">
        <f t="shared" ca="1" si="36"/>
        <v>0</v>
      </c>
      <c r="I81" s="361">
        <f t="shared" ca="1" si="37"/>
        <v>5800</v>
      </c>
      <c r="J81" s="361">
        <f t="shared" ca="1" si="38"/>
        <v>0</v>
      </c>
      <c r="K81" s="362">
        <f t="shared" ca="1" si="39"/>
        <v>5800</v>
      </c>
    </row>
    <row r="82" spans="2:13" ht="14.5">
      <c r="B82" s="519">
        <v>7</v>
      </c>
      <c r="C82" s="520" t="s">
        <v>119</v>
      </c>
      <c r="D82" s="358" t="str">
        <f ca="1">IF(ISERROR(OFFSET('HARGA SATUAN'!$D$6,MATCH(RAB!C82,'HARGA SATUAN'!$C$7:$C$1492,0),0)),"",OFFSET('HARGA SATUAN'!$D$6,MATCH(RAB!C82,'HARGA SATUAN'!$C$7:$C$1492,0),0))</f>
        <v>HDW</v>
      </c>
      <c r="E82" s="359" t="str">
        <f ca="1">IF(B82="+","Unit",IF(ISERROR(OFFSET('HARGA SATUAN'!$E$6,MATCH(RAB!C82,'HARGA SATUAN'!$C$7:$C$1492,0),0)),"",OFFSET('HARGA SATUAN'!$E$6,MATCH(RAB!C82,'HARGA SATUAN'!$C$7:$C$1492,0),0)))</f>
        <v>Set</v>
      </c>
      <c r="F82" s="521">
        <f>F75*4</f>
        <v>4</v>
      </c>
      <c r="G82" s="360">
        <f ca="1">IF(ISERROR(OFFSET('HARGA SATUAN'!$I$6,MATCH(RAB!C82,'HARGA SATUAN'!$C$7:$C$1492,0),0)),0,OFFSET('HARGA SATUAN'!$I$6,MATCH(RAB!C82,'HARGA SATUAN'!$C$7:$C$1492,0),0))</f>
        <v>8900</v>
      </c>
      <c r="H82" s="361">
        <f t="shared" ca="1" si="36"/>
        <v>0</v>
      </c>
      <c r="I82" s="361">
        <f t="shared" ca="1" si="37"/>
        <v>35600</v>
      </c>
      <c r="J82" s="361">
        <f t="shared" ca="1" si="38"/>
        <v>0</v>
      </c>
      <c r="K82" s="362">
        <f t="shared" ca="1" si="39"/>
        <v>35600</v>
      </c>
    </row>
    <row r="83" spans="2:13" ht="14.5">
      <c r="B83" s="519"/>
      <c r="C83" s="520"/>
      <c r="D83" s="358"/>
      <c r="E83" s="359"/>
      <c r="F83" s="521"/>
      <c r="G83" s="360"/>
      <c r="H83" s="361"/>
      <c r="I83" s="361"/>
      <c r="J83" s="361"/>
      <c r="K83" s="362"/>
    </row>
    <row r="84" spans="2:13">
      <c r="B84" s="366" t="s">
        <v>22</v>
      </c>
      <c r="C84" s="367" t="s">
        <v>1615</v>
      </c>
      <c r="D84" s="358" t="str">
        <f ca="1">IF(ISERROR(OFFSET('HARGA SATUAN'!$D$6,MATCH(RAB!C84,'HARGA SATUAN'!$C$7:$C$1492,0),0)),"",OFFSET('HARGA SATUAN'!$D$6,MATCH(RAB!C84,'HARGA SATUAN'!$C$7:$C$1492,0),0))</f>
        <v/>
      </c>
      <c r="E84" s="359" t="str">
        <f ca="1">IF(B84="+","Unit",IF(ISERROR(OFFSET('HARGA SATUAN'!$E$6,MATCH(RAB!C84,'HARGA SATUAN'!$C$7:$C$1492,0),0)),"",OFFSET('HARGA SATUAN'!$E$6,MATCH(RAB!C84,'HARGA SATUAN'!$C$7:$C$1492,0),0)))</f>
        <v/>
      </c>
      <c r="F84" s="368"/>
      <c r="G84" s="360">
        <f ca="1">IF(ISERROR(OFFSET('HARGA SATUAN'!$I$6,MATCH(RAB!C84,'HARGA SATUAN'!$C$7:$C$1492,0),0)),0,OFFSET('HARGA SATUAN'!$I$6,MATCH(RAB!C84,'HARGA SATUAN'!$C$7:$C$1492,0),0))</f>
        <v>0</v>
      </c>
      <c r="H84" s="361">
        <f t="shared" ref="H84:H86" ca="1" si="40">IF(OR(D84="MDU",D84="MDU-KD"),(IF($O$3="RAB NON MDU","PLN KD",G84*F84)),0)</f>
        <v>0</v>
      </c>
      <c r="I84" s="361">
        <f t="shared" ref="I84:I86" ca="1" si="41">IF(D84="HDW",G84*F84,0)</f>
        <v>0</v>
      </c>
      <c r="J84" s="361">
        <f t="shared" ref="J84:J86" ca="1" si="42">IF(D84="JASA",G84*F84,0)</f>
        <v>0</v>
      </c>
      <c r="K84" s="362">
        <f t="shared" ref="K84:K86" ca="1" si="43">SUM(H84:J84)</f>
        <v>0</v>
      </c>
    </row>
    <row r="85" spans="2:13">
      <c r="B85" s="374"/>
      <c r="C85" s="373"/>
      <c r="D85" s="358" t="str">
        <f ca="1">IF(ISERROR(OFFSET('HARGA SATUAN'!$D$6,MATCH(RAB!C85,'HARGA SATUAN'!$C$7:$C$1492,0),0)),"",OFFSET('HARGA SATUAN'!$D$6,MATCH(RAB!C85,'HARGA SATUAN'!$C$7:$C$1492,0),0))</f>
        <v/>
      </c>
      <c r="E85" s="359" t="str">
        <f ca="1">IF(B85="+","Unit",IF(ISERROR(OFFSET('HARGA SATUAN'!$E$6,MATCH(RAB!C85,'HARGA SATUAN'!$C$7:$C$1492,0),0)),"",OFFSET('HARGA SATUAN'!$E$6,MATCH(RAB!C85,'HARGA SATUAN'!$C$7:$C$1492,0),0)))</f>
        <v/>
      </c>
      <c r="F85" s="368"/>
      <c r="G85" s="360">
        <f ca="1">IF(ISERROR(OFFSET('HARGA SATUAN'!$I$6,MATCH(RAB!C85,'HARGA SATUAN'!$C$7:$C$1492,0),0)),0,OFFSET('HARGA SATUAN'!$I$6,MATCH(RAB!C85,'HARGA SATUAN'!$C$7:$C$1492,0),0))</f>
        <v>0</v>
      </c>
      <c r="H85" s="361">
        <f t="shared" ca="1" si="40"/>
        <v>0</v>
      </c>
      <c r="I85" s="361">
        <f t="shared" ca="1" si="41"/>
        <v>0</v>
      </c>
      <c r="J85" s="361">
        <f t="shared" ca="1" si="42"/>
        <v>0</v>
      </c>
      <c r="K85" s="362">
        <f t="shared" ca="1" si="43"/>
        <v>0</v>
      </c>
    </row>
    <row r="86" spans="2:13">
      <c r="B86" s="375"/>
      <c r="C86" s="376" t="s">
        <v>475</v>
      </c>
      <c r="D86" s="358" t="str">
        <f ca="1">IF(ISERROR(OFFSET('HARGA SATUAN'!$D$6,MATCH(RAB!C86,'HARGA SATUAN'!$C$7:$C$1492,0),0)),"",OFFSET('HARGA SATUAN'!$D$6,MATCH(RAB!C86,'HARGA SATUAN'!$C$7:$C$1492,0),0))</f>
        <v/>
      </c>
      <c r="E86" s="359" t="str">
        <f ca="1">IF(B86="+","Unit",IF(ISERROR(OFFSET('HARGA SATUAN'!$E$6,MATCH(RAB!C86,'HARGA SATUAN'!$C$7:$C$1492,0),0)),"",OFFSET('HARGA SATUAN'!$E$6,MATCH(RAB!C86,'HARGA SATUAN'!$C$7:$C$1492,0),0)))</f>
        <v/>
      </c>
      <c r="F86" s="368"/>
      <c r="G86" s="360">
        <f ca="1">IF(ISERROR(OFFSET('HARGA SATUAN'!$I$6,MATCH(RAB!C86,'HARGA SATUAN'!$C$7:$C$1492,0),0)),0,OFFSET('HARGA SATUAN'!$I$6,MATCH(RAB!C86,'HARGA SATUAN'!$C$7:$C$1492,0),0))</f>
        <v>0</v>
      </c>
      <c r="H86" s="361">
        <f t="shared" ca="1" si="40"/>
        <v>0</v>
      </c>
      <c r="I86" s="361">
        <f t="shared" ca="1" si="41"/>
        <v>0</v>
      </c>
      <c r="J86" s="361">
        <f t="shared" ca="1" si="42"/>
        <v>0</v>
      </c>
      <c r="K86" s="362">
        <f t="shared" ca="1" si="43"/>
        <v>0</v>
      </c>
    </row>
    <row r="87" spans="2:13">
      <c r="B87" s="378">
        <v>1</v>
      </c>
      <c r="C87" s="379" t="s">
        <v>1091</v>
      </c>
      <c r="D87" s="380" t="str">
        <f ca="1">IF(ISERROR(OFFSET('HARGA SATUAN'!$D$6,MATCH(RAB!C87,'HARGA SATUAN'!$C$7:$C$1492,0),0)),"",OFFSET('HARGA SATUAN'!$D$6,MATCH(RAB!C87,'HARGA SATUAN'!$C$7:$C$1492,0),0))</f>
        <v>JASA</v>
      </c>
      <c r="E87" s="381" t="str">
        <f ca="1">IF(ISERROR(OFFSET('HARGA SATUAN'!$E$6,MATCH(RAB!C87,'HARGA SATUAN'!$C$7:$C$1492,0),0)),"",OFFSET('HARGA SATUAN'!$E$6,MATCH(RAB!C87,'HARGA SATUAN'!$C$7:$C$1492,0),0))</f>
        <v>Lot</v>
      </c>
      <c r="F87" s="382">
        <v>1</v>
      </c>
      <c r="G87" s="383">
        <f ca="1">IF(ISERROR(OFFSET('HARGA SATUAN'!$I$6,MATCH(RAB!C87,'HARGA SATUAN'!$C$7:$C$1492,0),0)),0,OFFSET('HARGA SATUAN'!$I$6,MATCH(RAB!C87,'HARGA SATUAN'!$C$7:$C$1492,0),0))</f>
        <v>2.5000000000000001E-2</v>
      </c>
      <c r="H87" s="384">
        <f ca="1">SUM(H14:H86)*G87</f>
        <v>217720</v>
      </c>
      <c r="I87" s="384">
        <f ca="1">SUM(I14:I86)*G87</f>
        <v>226825.15600000002</v>
      </c>
      <c r="J87" s="384">
        <f ca="1">SUM(J14:J86)*G87</f>
        <v>21049.333333333336</v>
      </c>
      <c r="K87" s="385">
        <f ca="1">SUM(H87:J87)</f>
        <v>465594.48933333333</v>
      </c>
    </row>
    <row r="88" spans="2:13">
      <c r="B88" s="386"/>
      <c r="C88" s="387"/>
      <c r="D88" s="358" t="str">
        <f ca="1">IF(ISERROR(OFFSET('HARGA SATUAN'!$D$6,MATCH(RAB!C88,'HARGA SATUAN'!$C$7:$C$1492,0),0)),"",OFFSET('HARGA SATUAN'!$D$6,MATCH(RAB!C88,'HARGA SATUAN'!$C$7:$C$1492,0),0))</f>
        <v/>
      </c>
      <c r="E88" s="359" t="str">
        <f ca="1">IF(ISERROR(OFFSET('HARGA SATUAN'!$E$6,MATCH(RAB!C88,'HARGA SATUAN'!$C$7:$C$1492,0),0)),"",OFFSET('HARGA SATUAN'!$E$6,MATCH(RAB!C88,'HARGA SATUAN'!$C$7:$C$1492,0),0))</f>
        <v/>
      </c>
      <c r="F88" s="377"/>
      <c r="G88" s="360" t="str">
        <f ca="1">IF(ISERROR(OFFSET('HARGA SATUAN'!$I$6,MATCH(RAB!C88,'HARGA SATUAN'!$C$7:$C$1492,0),0)),"",OFFSET('HARGA SATUAN'!$I$6,MATCH(RAB!C88,'HARGA SATUAN'!$C$7:$C$1492,0),0))</f>
        <v/>
      </c>
      <c r="H88" s="361">
        <f ca="1">IF(OR(D88="MDU",D88="MDU-KD"),IF(G88="PLN",0,G88*F88),0)</f>
        <v>0</v>
      </c>
      <c r="I88" s="361">
        <f ca="1">IF(D88="HDW",IF(G88="PLN",0,G88*F88),0)</f>
        <v>0</v>
      </c>
      <c r="J88" s="361">
        <f ca="1">IF(D88="JASA",IF(G88="PLN",0,G88*F88),0)</f>
        <v>0</v>
      </c>
      <c r="K88" s="362">
        <f ca="1">SUM(H88:J88)</f>
        <v>0</v>
      </c>
    </row>
    <row r="89" spans="2:13" ht="14.5" thickBot="1">
      <c r="B89" s="388"/>
      <c r="C89" s="389"/>
      <c r="D89" s="390"/>
      <c r="E89" s="391"/>
      <c r="F89" s="391"/>
      <c r="G89" s="391"/>
      <c r="H89" s="392"/>
      <c r="I89" s="392"/>
      <c r="J89" s="392"/>
      <c r="K89" s="393"/>
    </row>
    <row r="90" spans="2:13">
      <c r="B90" s="394"/>
      <c r="C90" s="622" t="s">
        <v>1008</v>
      </c>
      <c r="D90" s="622"/>
      <c r="E90" s="622"/>
      <c r="F90" s="622"/>
      <c r="G90" s="395" t="s">
        <v>9</v>
      </c>
      <c r="H90" s="396">
        <f ca="1">SUM(H14:H88)</f>
        <v>8926520</v>
      </c>
      <c r="I90" s="396">
        <f ca="1">SUM(I14:I88)</f>
        <v>9299831.3959999997</v>
      </c>
      <c r="J90" s="396">
        <f ca="1">SUM(J14:J88)</f>
        <v>863022.66666666674</v>
      </c>
      <c r="K90" s="396">
        <f ca="1">SUM(K14:K88)</f>
        <v>19089374.062666666</v>
      </c>
    </row>
    <row r="91" spans="2:13">
      <c r="B91" s="398"/>
      <c r="C91" s="638" t="s">
        <v>1457</v>
      </c>
      <c r="D91" s="638"/>
      <c r="E91" s="638"/>
      <c r="F91" s="638"/>
      <c r="G91" s="399" t="s">
        <v>9</v>
      </c>
      <c r="H91" s="400">
        <f ca="1">H90*0.11</f>
        <v>981917.2</v>
      </c>
      <c r="I91" s="400">
        <f ca="1">I90*0.11</f>
        <v>1022981.4535599999</v>
      </c>
      <c r="J91" s="400">
        <f ca="1">J90*0.11</f>
        <v>94932.493333333347</v>
      </c>
      <c r="K91" s="400">
        <f ca="1">K90*0.11</f>
        <v>2099831.1468933332</v>
      </c>
    </row>
    <row r="92" spans="2:13" ht="14.5" thickBot="1">
      <c r="B92" s="398"/>
      <c r="C92" s="636" t="s">
        <v>463</v>
      </c>
      <c r="D92" s="636"/>
      <c r="E92" s="636"/>
      <c r="F92" s="636"/>
      <c r="G92" s="401" t="s">
        <v>9</v>
      </c>
      <c r="H92" s="402">
        <f ca="1">SUM(H90:H91)</f>
        <v>9908437.1999999993</v>
      </c>
      <c r="I92" s="402">
        <f ca="1">SUM(I90:I91)</f>
        <v>10322812.84956</v>
      </c>
      <c r="J92" s="401">
        <f ca="1">SUM(J90:J91)</f>
        <v>957955.16000000015</v>
      </c>
      <c r="K92" s="401">
        <f ca="1">SUM(K90:K91)</f>
        <v>21189205.209559999</v>
      </c>
      <c r="M92" s="484"/>
    </row>
    <row r="93" spans="2:13">
      <c r="B93" s="639" t="str">
        <f ca="1">"Terbilang : "&amp;PROPER(IF(K92=0,"nol",IF(K92&lt;0,"minus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IF(--MID(TEXT(ABS(K92),"000000000000000"),1,3)=0,"",MID(TEXT(ABS(K92),"000000000000000"),1,1)&amp;" ratus "&amp;MID(TEXT(ABS(K92),"000000000000000"),2,1)&amp;" puluh "&amp;MID(TEXT(ABS(K92),"000000000000000"),3,1)&amp;" trilyun ")&amp; IF(--MID(TEXT(ABS(K92),"000000000000000"),4,3)=0,"",MID(TEXT(ABS(K92),"000000000000000"),4,1)&amp;" ratus "&amp;MID(TEXT(ABS(K92),"000000000000000"),5,1)&amp;" puluh "&amp;MID(TEXT(ABS(K92),"000000000000000"),6,1)&amp;" milyar ")&amp; IF(--MID(TEXT(ABS(K92),"000000000000000"),7,3)=0,"",MID(TEXT(ABS(K92),"000000000000000"),7,1)&amp;" ratus "&amp;MID(TEXT(ABS(K92),"000000000000000"),8,1)&amp;" puluh "&amp;MID(TEXT(ABS(K92),"000000000000000"),9,1)&amp;" juta ")&amp; IF(--MID(TEXT(ABS(K92),"000000000000000"),10,3)=0,"",IF(--MID(TEXT(ABS(K92),"000000000000000"),10,3)=1,"*",MID(TEXT(ABS(K92),"000000000000000"),10,1)&amp;" ratus "&amp;MID(TEXT(ABS(K92),"000000000000000"),11,1)&amp;" puluh ")&amp;MID(TEXT(ABS(K92),"000000000000000"),12,1)&amp;" ribu ")&amp; IF(--MID(TEXT(ABS(K92),"000000000000000"),13,3)=0,"",MID(TEXT(ABS(K92),"000000000000000"),13,1)&amp;" ratus "&amp;MID(TEXT(ABS(K92),"000000000000000"),14,1)&amp;" puluh "&amp;MID(TEXT(ABS(K92),"000000000000000"),15,1)),1,"satu"),2,"dua"),3,"tiga"),4,"empat"),5,"lima"),6,"enam"),7,"tujuh"),8,"delapan"),9,"sembilan"),"0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Puluh Satu Juta Seratus Delapan Puluh Sembilan Ribu Dua Ratus Lima Rupiah</v>
      </c>
      <c r="C93" s="640"/>
      <c r="D93" s="640"/>
      <c r="E93" s="640"/>
      <c r="F93" s="640"/>
      <c r="G93" s="640"/>
      <c r="H93" s="640"/>
      <c r="I93" s="640"/>
      <c r="J93" s="640"/>
      <c r="K93" s="641"/>
    </row>
    <row r="94" spans="2:13">
      <c r="B94" s="642"/>
      <c r="C94" s="643"/>
      <c r="D94" s="643"/>
      <c r="E94" s="643"/>
      <c r="F94" s="643"/>
      <c r="G94" s="643"/>
      <c r="H94" s="643"/>
      <c r="I94" s="643"/>
      <c r="J94" s="643"/>
      <c r="K94" s="644"/>
    </row>
    <row r="95" spans="2:13" ht="14.5" thickBot="1">
      <c r="B95" s="403" t="str">
        <f>"Harga yang dipakai adalah "&amp;'HARGA SATUAN'!I5&amp;""</f>
        <v>Harga yang dipakai adalah RAB HSS 2023</v>
      </c>
      <c r="C95" s="404"/>
      <c r="D95" s="405"/>
      <c r="E95" s="405"/>
      <c r="F95" s="405"/>
      <c r="G95" s="406"/>
      <c r="H95" s="406"/>
      <c r="I95" s="406"/>
      <c r="J95" s="406"/>
      <c r="K95" s="407"/>
    </row>
    <row r="96" spans="2:13">
      <c r="C96" s="408"/>
      <c r="E96" s="410"/>
      <c r="F96" s="410"/>
      <c r="G96" s="410"/>
    </row>
    <row r="97" spans="3:11">
      <c r="C97" s="337"/>
      <c r="E97" s="410"/>
      <c r="F97" s="410"/>
      <c r="G97" s="410"/>
      <c r="H97" s="645"/>
      <c r="I97" s="645"/>
      <c r="J97" s="646"/>
      <c r="K97" s="646"/>
    </row>
    <row r="98" spans="3:11">
      <c r="C98" s="337"/>
      <c r="E98" s="410"/>
      <c r="F98" s="410"/>
      <c r="G98" s="410"/>
      <c r="H98" s="411"/>
      <c r="I98" s="635" t="s">
        <v>1610</v>
      </c>
      <c r="J98" s="635"/>
      <c r="K98" s="635"/>
    </row>
    <row r="99" spans="3:11">
      <c r="C99" s="337"/>
      <c r="E99" s="410"/>
      <c r="F99" s="410"/>
      <c r="G99" s="410"/>
      <c r="H99" s="411"/>
      <c r="I99" s="635" t="s">
        <v>1546</v>
      </c>
      <c r="J99" s="635"/>
      <c r="K99" s="635"/>
    </row>
    <row r="100" spans="3:11">
      <c r="C100" s="337"/>
      <c r="E100" s="410"/>
      <c r="F100" s="410"/>
      <c r="G100" s="410"/>
      <c r="H100" s="412"/>
      <c r="I100" s="413"/>
      <c r="J100" s="413"/>
      <c r="K100" s="413"/>
    </row>
    <row r="101" spans="3:11">
      <c r="C101" s="337"/>
      <c r="E101" s="410"/>
      <c r="F101" s="410"/>
      <c r="G101" s="410"/>
      <c r="H101" s="412"/>
      <c r="I101" s="412"/>
      <c r="J101" s="412"/>
      <c r="K101" s="412"/>
    </row>
    <row r="102" spans="3:11">
      <c r="C102" s="337"/>
      <c r="E102" s="410"/>
      <c r="F102" s="410"/>
      <c r="G102" s="410"/>
      <c r="H102" s="412"/>
      <c r="I102" s="412"/>
      <c r="J102" s="412"/>
      <c r="K102" s="412"/>
    </row>
    <row r="103" spans="3:11">
      <c r="C103" s="337"/>
      <c r="E103" s="410"/>
      <c r="F103" s="410"/>
      <c r="G103" s="410"/>
      <c r="H103" s="412"/>
      <c r="I103" s="412"/>
      <c r="J103" s="412"/>
      <c r="K103" s="412"/>
    </row>
    <row r="104" spans="3:11">
      <c r="C104" s="337"/>
      <c r="E104" s="410"/>
      <c r="F104" s="410"/>
      <c r="G104" s="410"/>
      <c r="H104" s="414"/>
      <c r="I104" s="635" t="s">
        <v>1547</v>
      </c>
      <c r="J104" s="635"/>
      <c r="K104" s="635"/>
    </row>
    <row r="105" spans="3:11">
      <c r="C105" s="408"/>
      <c r="E105" s="410"/>
      <c r="F105" s="410"/>
      <c r="G105" s="410"/>
      <c r="H105" s="412"/>
      <c r="I105" s="412"/>
      <c r="J105" s="412"/>
      <c r="K105" s="412"/>
    </row>
    <row r="106" spans="3:11">
      <c r="C106" s="408"/>
      <c r="E106" s="410"/>
      <c r="F106" s="410"/>
      <c r="G106" s="410"/>
      <c r="H106" s="412"/>
      <c r="I106" s="412"/>
      <c r="J106" s="412"/>
      <c r="K106" s="412"/>
    </row>
    <row r="107" spans="3:11">
      <c r="C107" s="408"/>
      <c r="E107" s="410"/>
      <c r="F107" s="410"/>
      <c r="G107" s="410"/>
      <c r="H107" s="412"/>
      <c r="I107" s="412"/>
      <c r="J107" s="412"/>
      <c r="K107" s="412"/>
    </row>
  </sheetData>
  <sheetProtection sort="0" autoFilter="0"/>
  <protectedRanges>
    <protectedRange sqref="B85 B68:B74" name="Range1_1"/>
    <protectedRange sqref="F66:F74 F14:F36 F63:F64 F84:F86" name="Range1_1_2_2"/>
    <protectedRange sqref="C85 C68:C69 C71 C73:C74" name="Range1_1_1"/>
    <protectedRange sqref="B67:C67" name="Range1_6_2"/>
    <protectedRange sqref="C72" name="Range1_1_3_13"/>
    <protectedRange sqref="C17" name="Range1_1_3_14"/>
    <protectedRange sqref="C18:C20" name="Range1_1_3"/>
    <protectedRange sqref="C65" name="Range1_1_3_5"/>
    <protectedRange sqref="C70" name="Range1_1_3_4"/>
    <protectedRange sqref="C64" name="Range1_1_3_7"/>
    <protectedRange sqref="F37:F62" name="Range1_1_2_2_1"/>
    <protectedRange sqref="B75:B83" name="Range1_1_2"/>
    <protectedRange sqref="F75:F83" name="Range1_1_2_2_2"/>
    <protectedRange sqref="C75:C83" name="Range1_1_1_1"/>
  </protectedRanges>
  <mergeCells count="22">
    <mergeCell ref="I99:K99"/>
    <mergeCell ref="I104:K104"/>
    <mergeCell ref="C92:F92"/>
    <mergeCell ref="G6:K6"/>
    <mergeCell ref="I98:K98"/>
    <mergeCell ref="C91:F91"/>
    <mergeCell ref="B93:K94"/>
    <mergeCell ref="H97:K97"/>
    <mergeCell ref="H11:K11"/>
    <mergeCell ref="H12:H13"/>
    <mergeCell ref="J12:J13"/>
    <mergeCell ref="K12:K13"/>
    <mergeCell ref="O3:P4"/>
    <mergeCell ref="B4:K4"/>
    <mergeCell ref="C90:F90"/>
    <mergeCell ref="B11:B13"/>
    <mergeCell ref="C11:C13"/>
    <mergeCell ref="D11:D13"/>
    <mergeCell ref="E11:E13"/>
    <mergeCell ref="F11:F13"/>
    <mergeCell ref="G11:G13"/>
    <mergeCell ref="I12:I13"/>
  </mergeCells>
  <phoneticPr fontId="142" type="noConversion"/>
  <conditionalFormatting sqref="C15 C18:C21">
    <cfRule type="cellIs" dxfId="20" priority="532" operator="equal">
      <formula>0</formula>
    </cfRule>
  </conditionalFormatting>
  <conditionalFormatting sqref="C65">
    <cfRule type="cellIs" dxfId="19" priority="50" operator="equal">
      <formula>0</formula>
    </cfRule>
  </conditionalFormatting>
  <conditionalFormatting sqref="C84">
    <cfRule type="cellIs" dxfId="18" priority="155" operator="equal">
      <formula>0</formula>
    </cfRule>
  </conditionalFormatting>
  <conditionalFormatting sqref="F65">
    <cfRule type="cellIs" dxfId="17" priority="58" operator="equal">
      <formula>0</formula>
    </cfRule>
  </conditionalFormatting>
  <conditionalFormatting sqref="E1:E3 G1:G13 E5:E13 H12:I12 O13 S14:V16 E14:K16 E66:F66 E87:G87 H87:K89 E88:H88 E89:F89 S18:V21 E18:K28 E67:K73 G29:K66 E84:K86 F74 E74:E82 G74:K82">
    <cfRule type="cellIs" dxfId="16" priority="1112" stopIfTrue="1" operator="equal">
      <formula>0</formula>
    </cfRule>
  </conditionalFormatting>
  <conditionalFormatting sqref="E29:F35 F63:F64 F36 E36:E65">
    <cfRule type="cellIs" dxfId="15" priority="36" stopIfTrue="1" operator="equal">
      <formula>0</formula>
    </cfRule>
  </conditionalFormatting>
  <conditionalFormatting sqref="G88:G65554 E93:E65554">
    <cfRule type="cellIs" dxfId="14" priority="246" stopIfTrue="1" operator="equal">
      <formula>0</formula>
    </cfRule>
  </conditionalFormatting>
  <conditionalFormatting sqref="C64">
    <cfRule type="cellIs" dxfId="13" priority="35" operator="equal">
      <formula>0</formula>
    </cfRule>
  </conditionalFormatting>
  <conditionalFormatting sqref="C70">
    <cfRule type="cellIs" dxfId="12" priority="30" operator="equal">
      <formula>0</formula>
    </cfRule>
  </conditionalFormatting>
  <conditionalFormatting sqref="C17">
    <cfRule type="cellIs" dxfId="11" priority="26" operator="equal">
      <formula>0</formula>
    </cfRule>
  </conditionalFormatting>
  <conditionalFormatting sqref="S17:V17 E17:K17">
    <cfRule type="cellIs" dxfId="10" priority="27" stopIfTrue="1" operator="equal">
      <formula>0</formula>
    </cfRule>
  </conditionalFormatting>
  <conditionalFormatting sqref="F56">
    <cfRule type="cellIs" dxfId="9" priority="14" stopIfTrue="1" operator="equal">
      <formula>0</formula>
    </cfRule>
  </conditionalFormatting>
  <conditionalFormatting sqref="F37:F43">
    <cfRule type="cellIs" dxfId="8" priority="9" stopIfTrue="1" operator="equal">
      <formula>0</formula>
    </cfRule>
  </conditionalFormatting>
  <conditionalFormatting sqref="F45:F49">
    <cfRule type="cellIs" dxfId="7" priority="8" stopIfTrue="1" operator="equal">
      <formula>0</formula>
    </cfRule>
  </conditionalFormatting>
  <conditionalFormatting sqref="F51:F55">
    <cfRule type="cellIs" dxfId="6" priority="7" stopIfTrue="1" operator="equal">
      <formula>0</formula>
    </cfRule>
  </conditionalFormatting>
  <conditionalFormatting sqref="F44 F50">
    <cfRule type="cellIs" dxfId="5" priority="10" stopIfTrue="1" operator="equal">
      <formula>0</formula>
    </cfRule>
  </conditionalFormatting>
  <conditionalFormatting sqref="F57:F61">
    <cfRule type="cellIs" dxfId="4" priority="4" stopIfTrue="1" operator="equal">
      <formula>0</formula>
    </cfRule>
  </conditionalFormatting>
  <conditionalFormatting sqref="F62">
    <cfRule type="cellIs" dxfId="3" priority="6" stopIfTrue="1" operator="equal">
      <formula>0</formula>
    </cfRule>
  </conditionalFormatting>
  <conditionalFormatting sqref="E83 G83:K83">
    <cfRule type="cellIs" dxfId="2" priority="3" stopIfTrue="1" operator="equal">
      <formula>0</formula>
    </cfRule>
  </conditionalFormatting>
  <conditionalFormatting sqref="C81">
    <cfRule type="cellIs" dxfId="1" priority="2" operator="equal">
      <formula>0</formula>
    </cfRule>
  </conditionalFormatting>
  <conditionalFormatting sqref="F75:F83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66 F51:F64 F23:F43 F49 F45:F47 H14:K89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G13" zoomScale="145" zoomScaleNormal="115" zoomScaleSheetLayoutView="145" workbookViewId="0">
      <selection activeCell="Q29" sqref="Q29"/>
    </sheetView>
  </sheetViews>
  <sheetFormatPr defaultColWidth="9.1796875" defaultRowHeight="12"/>
  <cols>
    <col min="1" max="2" width="1.453125" style="235" customWidth="1"/>
    <col min="3" max="3" width="7.453125" style="235" customWidth="1"/>
    <col min="4" max="23" width="5.7265625" style="235" customWidth="1"/>
    <col min="24" max="24" width="6.26953125" style="235" customWidth="1"/>
    <col min="25" max="26" width="5.7265625" style="235" customWidth="1"/>
    <col min="27" max="27" width="6.54296875" style="235" customWidth="1"/>
    <col min="28" max="118" width="5.7265625" style="235" customWidth="1"/>
    <col min="119" max="16384" width="9.1796875" style="235"/>
  </cols>
  <sheetData>
    <row r="1" spans="3:30" ht="12.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9" t="s">
        <v>1439</v>
      </c>
      <c r="X2" s="650"/>
      <c r="Y2" s="650"/>
      <c r="Z2" s="650"/>
      <c r="AA2" s="650"/>
      <c r="AB2" s="650"/>
      <c r="AC2" s="650"/>
      <c r="AD2" s="651"/>
    </row>
    <row r="3" spans="3:30">
      <c r="C3" s="238"/>
      <c r="W3" s="652"/>
      <c r="X3" s="653"/>
      <c r="Y3" s="653"/>
      <c r="Z3" s="653"/>
      <c r="AA3" s="653"/>
      <c r="AB3" s="653"/>
      <c r="AC3" s="653"/>
      <c r="AD3" s="654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5" t="s">
        <v>990</v>
      </c>
      <c r="Y5" s="655"/>
      <c r="Z5" s="655"/>
      <c r="AA5" s="655" t="s">
        <v>988</v>
      </c>
      <c r="AB5" s="655"/>
      <c r="AC5" s="655" t="s">
        <v>989</v>
      </c>
      <c r="AD5" s="656"/>
    </row>
    <row r="6" spans="3:30">
      <c r="C6" s="238"/>
      <c r="W6" s="241">
        <v>1</v>
      </c>
      <c r="X6" s="655" t="s">
        <v>993</v>
      </c>
      <c r="Y6" s="655"/>
      <c r="Z6" s="655"/>
      <c r="AA6" s="655"/>
      <c r="AB6" s="655"/>
      <c r="AC6" s="655"/>
      <c r="AD6" s="656"/>
    </row>
    <row r="7" spans="3:30">
      <c r="C7" s="238"/>
      <c r="E7" s="490" t="str">
        <f>PETA!C6</f>
        <v>KOORDINAT : -6.897373, 110.622904</v>
      </c>
      <c r="W7" s="241">
        <v>2</v>
      </c>
      <c r="X7" s="655" t="s">
        <v>994</v>
      </c>
      <c r="Y7" s="655"/>
      <c r="Z7" s="655"/>
      <c r="AA7" s="655"/>
      <c r="AB7" s="655"/>
      <c r="AC7" s="655"/>
      <c r="AD7" s="656"/>
    </row>
    <row r="8" spans="3:30">
      <c r="C8" s="238"/>
      <c r="W8" s="241">
        <v>3</v>
      </c>
      <c r="X8" s="655" t="s">
        <v>995</v>
      </c>
      <c r="Y8" s="655"/>
      <c r="Z8" s="655"/>
      <c r="AA8" s="655"/>
      <c r="AB8" s="655"/>
      <c r="AC8" s="655"/>
      <c r="AD8" s="656"/>
    </row>
    <row r="9" spans="3:30">
      <c r="C9" s="238"/>
      <c r="W9" s="241">
        <v>4</v>
      </c>
      <c r="X9" s="655" t="s">
        <v>996</v>
      </c>
      <c r="Y9" s="655"/>
      <c r="Z9" s="655"/>
      <c r="AA9" s="655"/>
      <c r="AB9" s="655"/>
      <c r="AC9" s="655"/>
      <c r="AD9" s="656"/>
    </row>
    <row r="10" spans="3:30">
      <c r="C10" s="238"/>
      <c r="W10" s="241">
        <v>5</v>
      </c>
      <c r="X10" s="655" t="s">
        <v>997</v>
      </c>
      <c r="Y10" s="655"/>
      <c r="Z10" s="655"/>
      <c r="AA10" s="655"/>
      <c r="AB10" s="655"/>
      <c r="AC10" s="655"/>
      <c r="AD10" s="656"/>
    </row>
    <row r="11" spans="3:30">
      <c r="C11" s="238"/>
      <c r="W11" s="241">
        <v>6</v>
      </c>
      <c r="X11" s="655" t="s">
        <v>998</v>
      </c>
      <c r="Y11" s="655"/>
      <c r="Z11" s="655"/>
      <c r="AA11" s="655"/>
      <c r="AB11" s="655"/>
      <c r="AC11" s="655"/>
      <c r="AD11" s="656"/>
    </row>
    <row r="12" spans="3:30">
      <c r="C12" s="238"/>
      <c r="W12" s="241">
        <v>7</v>
      </c>
      <c r="X12" s="655" t="s">
        <v>999</v>
      </c>
      <c r="Y12" s="655"/>
      <c r="Z12" s="655"/>
      <c r="AA12" s="655"/>
      <c r="AB12" s="655"/>
      <c r="AC12" s="655"/>
      <c r="AD12" s="656"/>
    </row>
    <row r="13" spans="3:30" ht="12.75" customHeight="1">
      <c r="C13" s="238"/>
      <c r="W13" s="241">
        <v>8</v>
      </c>
      <c r="X13" s="655" t="s">
        <v>1000</v>
      </c>
      <c r="Y13" s="655"/>
      <c r="Z13" s="655"/>
      <c r="AA13" s="655"/>
      <c r="AB13" s="655"/>
      <c r="AC13" s="655"/>
      <c r="AD13" s="656"/>
    </row>
    <row r="14" spans="3:30">
      <c r="C14" s="238"/>
      <c r="W14" s="241">
        <v>9</v>
      </c>
      <c r="X14" s="655" t="s">
        <v>1001</v>
      </c>
      <c r="Y14" s="655"/>
      <c r="Z14" s="655"/>
      <c r="AA14" s="655"/>
      <c r="AB14" s="655"/>
      <c r="AC14" s="655"/>
      <c r="AD14" s="656"/>
    </row>
    <row r="15" spans="3:30">
      <c r="C15" s="238"/>
      <c r="W15" s="241">
        <v>10</v>
      </c>
      <c r="X15" s="655" t="s">
        <v>1010</v>
      </c>
      <c r="Y15" s="655"/>
      <c r="Z15" s="655"/>
      <c r="AA15" s="655"/>
      <c r="AB15" s="655"/>
      <c r="AC15" s="655"/>
      <c r="AD15" s="656"/>
    </row>
    <row r="16" spans="3:30">
      <c r="C16" s="238"/>
      <c r="W16" s="241">
        <v>11</v>
      </c>
      <c r="X16" s="655" t="s">
        <v>1455</v>
      </c>
      <c r="Y16" s="655"/>
      <c r="Z16" s="655"/>
      <c r="AA16" s="655"/>
      <c r="AB16" s="655"/>
      <c r="AC16" s="655"/>
      <c r="AD16" s="656"/>
    </row>
    <row r="17" spans="3:30">
      <c r="C17" s="238"/>
      <c r="S17" s="242"/>
      <c r="W17" s="241">
        <v>12</v>
      </c>
      <c r="X17" s="655" t="s">
        <v>1011</v>
      </c>
      <c r="Y17" s="655"/>
      <c r="Z17" s="655"/>
      <c r="AA17" s="655"/>
      <c r="AB17" s="655"/>
      <c r="AC17" s="655"/>
      <c r="AD17" s="656"/>
    </row>
    <row r="18" spans="3:30">
      <c r="C18" s="243"/>
      <c r="D18" s="244"/>
      <c r="E18" s="244"/>
      <c r="W18" s="241">
        <v>13</v>
      </c>
      <c r="X18" s="655"/>
      <c r="Y18" s="655"/>
      <c r="Z18" s="655"/>
      <c r="AA18" s="655"/>
      <c r="AB18" s="655"/>
      <c r="AC18" s="655"/>
      <c r="AD18" s="656"/>
    </row>
    <row r="19" spans="3:30">
      <c r="C19" s="238"/>
      <c r="W19" s="245"/>
      <c r="X19" s="672"/>
      <c r="Y19" s="672"/>
      <c r="Z19" s="672"/>
      <c r="AA19" s="672"/>
      <c r="AB19" s="672"/>
      <c r="AC19" s="672"/>
      <c r="AD19" s="673"/>
    </row>
    <row r="20" spans="3:30">
      <c r="C20" s="238"/>
      <c r="W20" s="657" t="s">
        <v>992</v>
      </c>
      <c r="X20" s="658"/>
      <c r="Y20" s="658"/>
      <c r="Z20" s="658"/>
      <c r="AA20" s="658"/>
      <c r="AB20" s="658"/>
      <c r="AC20" s="658"/>
      <c r="AD20" s="659"/>
    </row>
    <row r="21" spans="3:30">
      <c r="C21" s="238"/>
      <c r="W21" s="660" t="s">
        <v>985</v>
      </c>
      <c r="X21" s="661"/>
      <c r="Y21" s="661"/>
      <c r="Z21" s="662"/>
      <c r="AA21" s="663" t="s">
        <v>986</v>
      </c>
      <c r="AB21" s="664"/>
      <c r="AC21" s="664"/>
      <c r="AD21" s="665"/>
    </row>
    <row r="22" spans="3:30">
      <c r="C22" s="238"/>
      <c r="W22" s="666" t="s">
        <v>1617</v>
      </c>
      <c r="X22" s="667"/>
      <c r="Y22" s="513" t="s">
        <v>1623</v>
      </c>
      <c r="Z22" s="492">
        <v>2</v>
      </c>
      <c r="AA22" s="668"/>
      <c r="AB22" s="669"/>
      <c r="AC22" s="248"/>
      <c r="AD22" s="249"/>
    </row>
    <row r="23" spans="3:30">
      <c r="C23" s="238"/>
      <c r="W23" s="666" t="s">
        <v>1619</v>
      </c>
      <c r="X23" s="667"/>
      <c r="Y23" s="513" t="s">
        <v>1623</v>
      </c>
      <c r="Z23" s="492">
        <v>1</v>
      </c>
      <c r="AA23" s="670"/>
      <c r="AB23" s="671"/>
      <c r="AC23" s="248"/>
      <c r="AD23" s="249"/>
    </row>
    <row r="24" spans="3:30">
      <c r="C24" s="238"/>
      <c r="W24" s="676" t="s">
        <v>1624</v>
      </c>
      <c r="X24" s="677"/>
      <c r="Y24" s="246" t="s">
        <v>1623</v>
      </c>
      <c r="Z24" s="247">
        <v>1</v>
      </c>
      <c r="AA24" s="678"/>
      <c r="AB24" s="679"/>
      <c r="AC24" s="248"/>
      <c r="AD24" s="249"/>
    </row>
    <row r="25" spans="3:30">
      <c r="C25" s="238"/>
      <c r="W25" s="676" t="s">
        <v>1625</v>
      </c>
      <c r="X25" s="677"/>
      <c r="Y25" s="246" t="s">
        <v>1623</v>
      </c>
      <c r="Z25" s="247">
        <v>1</v>
      </c>
      <c r="AA25" s="670"/>
      <c r="AB25" s="671"/>
      <c r="AC25" s="248"/>
      <c r="AD25" s="249"/>
    </row>
    <row r="26" spans="3:30">
      <c r="C26" s="238"/>
      <c r="W26" s="480"/>
      <c r="X26" s="481"/>
      <c r="Y26" s="246"/>
      <c r="Z26" s="247"/>
      <c r="AA26" s="670"/>
      <c r="AB26" s="671"/>
      <c r="AC26" s="248"/>
      <c r="AD26" s="249"/>
    </row>
    <row r="27" spans="3:30">
      <c r="C27" s="238"/>
      <c r="W27" s="480"/>
      <c r="X27" s="481"/>
      <c r="Y27" s="246"/>
      <c r="Z27" s="247"/>
      <c r="AA27" s="674"/>
      <c r="AB27" s="675"/>
      <c r="AC27" s="248"/>
      <c r="AD27" s="249"/>
    </row>
    <row r="28" spans="3:30">
      <c r="C28" s="238"/>
      <c r="W28" s="480"/>
      <c r="X28" s="481"/>
      <c r="Y28" s="246"/>
      <c r="Z28" s="247"/>
      <c r="AA28" s="674"/>
      <c r="AB28" s="675"/>
      <c r="AC28" s="248"/>
      <c r="AD28" s="249"/>
    </row>
    <row r="29" spans="3:30">
      <c r="C29" s="238"/>
      <c r="W29" s="480"/>
      <c r="X29" s="481"/>
      <c r="Y29" s="246"/>
      <c r="Z29" s="247"/>
      <c r="AA29" s="674"/>
      <c r="AB29" s="675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74"/>
      <c r="AB30" s="675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74"/>
      <c r="AB31" s="675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74"/>
      <c r="AB32" s="675"/>
      <c r="AC32" s="248"/>
      <c r="AD32" s="249"/>
    </row>
    <row r="33" spans="3:30">
      <c r="C33" s="238"/>
      <c r="W33" s="480"/>
      <c r="X33" s="481"/>
      <c r="Y33" s="246"/>
      <c r="Z33" s="247"/>
      <c r="AA33" s="674"/>
      <c r="AB33" s="675"/>
      <c r="AC33" s="248"/>
      <c r="AD33" s="249"/>
    </row>
    <row r="34" spans="3:30">
      <c r="C34" s="238"/>
      <c r="W34" s="480"/>
      <c r="X34" s="481"/>
      <c r="Y34" s="246"/>
      <c r="Z34" s="247"/>
      <c r="AA34" s="674"/>
      <c r="AB34" s="675"/>
      <c r="AC34" s="248"/>
      <c r="AD34" s="249"/>
    </row>
    <row r="35" spans="3:30">
      <c r="C35" s="238"/>
      <c r="W35" s="676"/>
      <c r="X35" s="689"/>
      <c r="Y35" s="246"/>
      <c r="Z35" s="247"/>
      <c r="AA35" s="674"/>
      <c r="AB35" s="675"/>
      <c r="AC35" s="248"/>
      <c r="AD35" s="249"/>
    </row>
    <row r="36" spans="3:30">
      <c r="C36" s="238"/>
      <c r="W36" s="680"/>
      <c r="X36" s="681"/>
      <c r="Y36" s="246"/>
      <c r="Z36" s="251"/>
      <c r="AA36" s="682"/>
      <c r="AB36" s="675"/>
      <c r="AC36" s="248"/>
      <c r="AD36" s="249"/>
    </row>
    <row r="37" spans="3:30" ht="12.75" customHeight="1">
      <c r="C37" s="238"/>
      <c r="W37" s="683"/>
      <c r="X37" s="684"/>
      <c r="Y37" s="246"/>
      <c r="Z37" s="251"/>
      <c r="AA37" s="685"/>
      <c r="AB37" s="686"/>
      <c r="AC37" s="252"/>
      <c r="AD37" s="253"/>
    </row>
    <row r="38" spans="3:30" ht="12.75" customHeight="1">
      <c r="C38" s="238"/>
      <c r="W38" s="683"/>
      <c r="X38" s="684"/>
      <c r="Y38" s="254"/>
      <c r="Z38" s="251"/>
      <c r="AA38" s="255"/>
      <c r="AB38" s="256"/>
      <c r="AC38" s="252"/>
      <c r="AD38" s="253"/>
    </row>
    <row r="39" spans="3:30" ht="12" customHeight="1">
      <c r="C39" s="238"/>
      <c r="D39" s="506"/>
      <c r="W39" s="683"/>
      <c r="X39" s="684"/>
      <c r="Y39" s="254"/>
      <c r="Z39" s="257"/>
      <c r="AA39" s="687"/>
      <c r="AB39" s="688"/>
      <c r="AC39" s="252"/>
      <c r="AD39" s="253"/>
    </row>
    <row r="40" spans="3:30" ht="12" customHeight="1">
      <c r="C40" s="238"/>
      <c r="D40" s="506"/>
      <c r="W40" s="693"/>
      <c r="X40" s="694"/>
      <c r="Y40" s="254"/>
      <c r="Z40" s="257"/>
      <c r="AA40" s="258"/>
      <c r="AB40" s="259"/>
      <c r="AC40" s="252"/>
      <c r="AD40" s="253"/>
    </row>
    <row r="41" spans="3:30" ht="12" customHeight="1">
      <c r="C41" s="238"/>
      <c r="D41" s="506"/>
      <c r="W41" s="695"/>
      <c r="X41" s="696"/>
      <c r="Y41" s="260"/>
      <c r="Z41" s="261"/>
      <c r="AA41" s="687"/>
      <c r="AB41" s="688"/>
      <c r="AC41" s="252"/>
      <c r="AD41" s="253"/>
    </row>
    <row r="42" spans="3:30" ht="12" customHeight="1">
      <c r="C42" s="238"/>
      <c r="D42" s="506"/>
      <c r="W42" s="697" t="s">
        <v>1456</v>
      </c>
      <c r="X42" s="698"/>
      <c r="Y42" s="698"/>
      <c r="Z42" s="698"/>
      <c r="AA42" s="262"/>
      <c r="AB42" s="262"/>
      <c r="AC42" s="262"/>
      <c r="AD42" s="263"/>
    </row>
    <row r="43" spans="3:30" ht="12" customHeight="1">
      <c r="C43" s="238"/>
      <c r="D43" s="506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506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90" t="s">
        <v>11</v>
      </c>
      <c r="X44" s="691"/>
      <c r="Y44" s="655"/>
      <c r="Z44" s="655"/>
      <c r="AA44" s="655"/>
      <c r="AB44" s="655"/>
      <c r="AC44" s="655"/>
      <c r="AD44" s="656"/>
    </row>
    <row r="45" spans="3:30">
      <c r="C45" s="268"/>
      <c r="D45" s="506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90" t="s">
        <v>984</v>
      </c>
      <c r="X45" s="691"/>
      <c r="Y45" s="655">
        <v>1</v>
      </c>
      <c r="Z45" s="655"/>
      <c r="AA45" s="655"/>
      <c r="AB45" s="655" t="s">
        <v>12</v>
      </c>
      <c r="AC45" s="655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90" t="s">
        <v>15</v>
      </c>
      <c r="X46" s="691"/>
      <c r="Y46" s="692"/>
      <c r="Z46" s="692"/>
      <c r="AA46" s="692"/>
      <c r="AB46" s="655" t="s">
        <v>16</v>
      </c>
      <c r="AC46" s="655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703" t="s">
        <v>17</v>
      </c>
      <c r="X47" s="703"/>
      <c r="Y47" s="703"/>
      <c r="Z47" s="703"/>
      <c r="AA47" s="703"/>
      <c r="AB47" s="703"/>
      <c r="AC47" s="703"/>
      <c r="AD47" s="704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05" t="str">
        <f>RAB!G6</f>
        <v>MASJID HAJAR ASWAD</v>
      </c>
      <c r="X48" s="705"/>
      <c r="Y48" s="705"/>
      <c r="Z48" s="705"/>
      <c r="AA48" s="705"/>
      <c r="AB48" s="705"/>
      <c r="AC48" s="705"/>
      <c r="AD48" s="706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05"/>
      <c r="X49" s="705"/>
      <c r="Y49" s="705"/>
      <c r="Z49" s="705"/>
      <c r="AA49" s="705"/>
      <c r="AB49" s="705"/>
      <c r="AC49" s="705"/>
      <c r="AD49" s="706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05"/>
      <c r="X50" s="705"/>
      <c r="Y50" s="705"/>
      <c r="Z50" s="705"/>
      <c r="AA50" s="705"/>
      <c r="AB50" s="705"/>
      <c r="AC50" s="705"/>
      <c r="AD50" s="706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07"/>
      <c r="X51" s="707"/>
      <c r="Y51" s="707"/>
      <c r="Z51" s="707"/>
      <c r="AA51" s="707"/>
      <c r="AB51" s="707"/>
      <c r="AC51" s="707"/>
      <c r="AD51" s="708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90" t="s">
        <v>18</v>
      </c>
      <c r="X52" s="691"/>
      <c r="Y52" s="655" t="s">
        <v>1549</v>
      </c>
      <c r="Z52" s="655"/>
      <c r="AA52" s="655"/>
      <c r="AB52" s="655"/>
      <c r="AC52" s="655"/>
      <c r="AD52" s="656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90" t="s">
        <v>19</v>
      </c>
      <c r="X53" s="691"/>
      <c r="Y53" s="655" t="s">
        <v>1549</v>
      </c>
      <c r="Z53" s="655"/>
      <c r="AA53" s="655"/>
      <c r="AB53" s="655"/>
      <c r="AC53" s="655"/>
      <c r="AD53" s="656"/>
    </row>
    <row r="54" spans="3:30" ht="12.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90" t="s">
        <v>20</v>
      </c>
      <c r="X54" s="691"/>
      <c r="Y54" s="699" t="s">
        <v>1550</v>
      </c>
      <c r="Z54" s="699"/>
      <c r="AA54" s="699"/>
      <c r="AB54" s="655"/>
      <c r="AC54" s="655"/>
      <c r="AD54" s="656"/>
    </row>
    <row r="55" spans="3:30" ht="12.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700" t="s">
        <v>21</v>
      </c>
      <c r="X55" s="701"/>
      <c r="Y55" s="699" t="s">
        <v>1551</v>
      </c>
      <c r="Z55" s="699"/>
      <c r="AA55" s="699"/>
      <c r="AB55" s="699"/>
      <c r="AC55" s="699"/>
      <c r="AD55" s="702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40" zoomScaleNormal="55" zoomScaleSheetLayoutView="40" workbookViewId="0">
      <selection activeCell="Q26" sqref="Q26"/>
    </sheetView>
  </sheetViews>
  <sheetFormatPr defaultColWidth="9.1796875" defaultRowHeight="13"/>
  <cols>
    <col min="1" max="1" width="1.7265625" style="211" customWidth="1"/>
    <col min="2" max="2" width="1.54296875" style="211" customWidth="1"/>
    <col min="3" max="3" width="10.7265625" style="211" customWidth="1"/>
    <col min="4" max="4" width="2.54296875" style="211" customWidth="1"/>
    <col min="5" max="21" width="9.1796875" style="211"/>
    <col min="22" max="22" width="14.54296875" style="211" customWidth="1"/>
    <col min="23" max="23" width="3.1796875" style="211" customWidth="1"/>
    <col min="24" max="27" width="9.1796875" style="211"/>
    <col min="28" max="28" width="2.81640625" style="211" customWidth="1"/>
    <col min="29" max="31" width="4.7265625" style="211" customWidth="1"/>
    <col min="32" max="32" width="1.7265625" style="211" customWidth="1"/>
    <col min="33" max="16384" width="9.179687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9" t="s">
        <v>1528</v>
      </c>
      <c r="E4" s="710"/>
      <c r="F4" s="710"/>
      <c r="G4" s="710"/>
      <c r="H4" s="710"/>
      <c r="I4" s="710"/>
      <c r="J4" s="710"/>
      <c r="K4" s="710"/>
      <c r="L4" s="710"/>
      <c r="M4" s="710"/>
      <c r="N4" s="710"/>
      <c r="O4" s="710"/>
      <c r="P4" s="710"/>
      <c r="Q4" s="710"/>
      <c r="R4" s="710"/>
      <c r="S4" s="710"/>
      <c r="T4" s="710"/>
      <c r="U4" s="710"/>
      <c r="V4" s="710"/>
      <c r="W4" s="710"/>
      <c r="X4" s="710"/>
      <c r="Y4" s="710"/>
      <c r="Z4" s="710"/>
      <c r="AA4" s="710"/>
      <c r="AB4" s="710"/>
      <c r="AC4" s="711"/>
      <c r="AD4" s="217"/>
      <c r="AE4" s="216"/>
      <c r="AF4" s="216"/>
    </row>
    <row r="5" spans="2:32" ht="13.5" customHeight="1">
      <c r="B5" s="215"/>
      <c r="C5" s="215"/>
      <c r="D5" s="712"/>
      <c r="E5" s="713"/>
      <c r="F5" s="713"/>
      <c r="G5" s="713"/>
      <c r="H5" s="713"/>
      <c r="I5" s="713"/>
      <c r="J5" s="713"/>
      <c r="K5" s="713"/>
      <c r="L5" s="713"/>
      <c r="M5" s="713"/>
      <c r="N5" s="713"/>
      <c r="O5" s="713"/>
      <c r="P5" s="713"/>
      <c r="Q5" s="713"/>
      <c r="R5" s="713"/>
      <c r="S5" s="713"/>
      <c r="T5" s="713"/>
      <c r="U5" s="713"/>
      <c r="V5" s="713"/>
      <c r="W5" s="713"/>
      <c r="X5" s="713"/>
      <c r="Y5" s="713"/>
      <c r="Z5" s="713"/>
      <c r="AA5" s="713"/>
      <c r="AB5" s="713"/>
      <c r="AC5" s="714"/>
      <c r="AD5" s="217"/>
      <c r="AE5" s="216"/>
      <c r="AF5" s="216"/>
    </row>
    <row r="6" spans="2:32" ht="12.75" customHeight="1">
      <c r="B6" s="215"/>
      <c r="C6" s="215"/>
      <c r="D6" s="712"/>
      <c r="E6" s="713"/>
      <c r="F6" s="713"/>
      <c r="G6" s="713"/>
      <c r="H6" s="713"/>
      <c r="I6" s="713"/>
      <c r="J6" s="713"/>
      <c r="K6" s="713"/>
      <c r="L6" s="713"/>
      <c r="M6" s="713"/>
      <c r="N6" s="713"/>
      <c r="O6" s="713"/>
      <c r="P6" s="713"/>
      <c r="Q6" s="713"/>
      <c r="R6" s="713"/>
      <c r="S6" s="713"/>
      <c r="T6" s="713"/>
      <c r="U6" s="713"/>
      <c r="V6" s="713"/>
      <c r="W6" s="713"/>
      <c r="X6" s="713"/>
      <c r="Y6" s="713"/>
      <c r="Z6" s="713"/>
      <c r="AA6" s="713"/>
      <c r="AB6" s="713"/>
      <c r="AC6" s="714"/>
      <c r="AE6" s="216"/>
      <c r="AF6" s="216"/>
    </row>
    <row r="7" spans="2:32" ht="12.75" customHeight="1" thickBot="1">
      <c r="B7" s="215"/>
      <c r="C7" s="215"/>
      <c r="D7" s="715"/>
      <c r="E7" s="716"/>
      <c r="F7" s="716"/>
      <c r="G7" s="716"/>
      <c r="H7" s="716"/>
      <c r="I7" s="716"/>
      <c r="J7" s="716"/>
      <c r="K7" s="716"/>
      <c r="L7" s="716"/>
      <c r="M7" s="716"/>
      <c r="N7" s="716"/>
      <c r="O7" s="716"/>
      <c r="P7" s="716"/>
      <c r="Q7" s="716"/>
      <c r="R7" s="716"/>
      <c r="S7" s="716"/>
      <c r="T7" s="716"/>
      <c r="U7" s="716"/>
      <c r="V7" s="716"/>
      <c r="W7" s="716"/>
      <c r="X7" s="716"/>
      <c r="Y7" s="716"/>
      <c r="Z7" s="716"/>
      <c r="AA7" s="716"/>
      <c r="AB7" s="716"/>
      <c r="AC7" s="717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4" zoomScale="40" zoomScaleNormal="40" zoomScaleSheetLayoutView="40" workbookViewId="0">
      <selection activeCell="AG23" sqref="AG23"/>
    </sheetView>
  </sheetViews>
  <sheetFormatPr defaultColWidth="9.1796875" defaultRowHeight="13"/>
  <cols>
    <col min="1" max="1" width="1.7265625" style="425" customWidth="1"/>
    <col min="2" max="2" width="10.7265625" style="425" customWidth="1"/>
    <col min="3" max="3" width="2.54296875" style="425" customWidth="1"/>
    <col min="4" max="20" width="9.1796875" style="425"/>
    <col min="21" max="21" width="14.54296875" style="425" customWidth="1"/>
    <col min="22" max="22" width="3.1796875" style="425" customWidth="1"/>
    <col min="23" max="26" width="9.1796875" style="425"/>
    <col min="27" max="27" width="2.81640625" style="425" customWidth="1"/>
    <col min="28" max="30" width="4.7265625" style="425" customWidth="1"/>
    <col min="31" max="31" width="1.7265625" style="425" customWidth="1"/>
    <col min="32" max="16384" width="9.179687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3" t="s">
        <v>1527</v>
      </c>
      <c r="D3" s="713"/>
      <c r="E3" s="713"/>
      <c r="F3" s="713"/>
      <c r="G3" s="713"/>
      <c r="H3" s="713"/>
      <c r="I3" s="713"/>
      <c r="J3" s="713"/>
      <c r="K3" s="713"/>
      <c r="L3" s="713"/>
      <c r="M3" s="713"/>
      <c r="N3" s="713"/>
      <c r="O3" s="713"/>
      <c r="P3" s="713"/>
      <c r="Q3" s="713"/>
      <c r="R3" s="713"/>
      <c r="S3" s="713"/>
      <c r="T3" s="713"/>
      <c r="U3" s="713"/>
      <c r="V3" s="713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13"/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18" t="s">
        <v>1622</v>
      </c>
      <c r="D6" s="718"/>
      <c r="E6" s="718"/>
      <c r="F6" s="718"/>
      <c r="G6" s="718"/>
      <c r="H6" s="718"/>
      <c r="I6" s="718"/>
      <c r="J6" s="718"/>
      <c r="K6" s="718"/>
      <c r="L6" s="718"/>
      <c r="M6" s="718"/>
      <c r="W6" s="182"/>
      <c r="Y6" s="428"/>
      <c r="Z6" s="428"/>
      <c r="AA6" s="428"/>
      <c r="AB6" s="429"/>
      <c r="AC6" s="429"/>
    </row>
    <row r="7" spans="1:29" ht="18" customHeight="1">
      <c r="A7" s="181"/>
      <c r="C7" s="718"/>
      <c r="D7" s="718"/>
      <c r="E7" s="718"/>
      <c r="F7" s="718"/>
      <c r="G7" s="718"/>
      <c r="H7" s="718"/>
      <c r="I7" s="718"/>
      <c r="J7" s="718"/>
      <c r="K7" s="718"/>
      <c r="L7" s="718"/>
      <c r="M7" s="718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5"/>
  <cols>
    <col min="6" max="6" width="12.453125" customWidth="1"/>
    <col min="8" max="8" width="12.453125" customWidth="1"/>
    <col min="10" max="10" width="12.453125" customWidth="1"/>
    <col min="12" max="12" width="12.453125" customWidth="1"/>
    <col min="14" max="14" width="12.453125" customWidth="1"/>
    <col min="16" max="16" width="12.453125" customWidth="1"/>
    <col min="18" max="18" width="12.453125" customWidth="1"/>
    <col min="20" max="20" width="12.453125" customWidth="1"/>
    <col min="22" max="22" width="12.453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PLN</cp:lastModifiedBy>
  <cp:lastPrinted>2023-05-10T03:04:01Z</cp:lastPrinted>
  <dcterms:created xsi:type="dcterms:W3CDTF">2011-02-06T11:57:38Z</dcterms:created>
  <dcterms:modified xsi:type="dcterms:W3CDTF">2024-03-26T13:27:25Z</dcterms:modified>
</cp:coreProperties>
</file>