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F50A255D-7B52-422D-9D9F-0FB4C344F4BD}" xr6:coauthVersionLast="47" xr6:coauthVersionMax="47" xr10:uidLastSave="{00000000-0000-0000-0000-000000000000}"/>
  <bookViews>
    <workbookView xWindow="-120" yWindow="-120" windowWidth="29040" windowHeight="15720" tabRatio="859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68" l="1"/>
  <c r="D20" i="11"/>
  <c r="H20" i="11" s="1"/>
  <c r="E20" i="11"/>
  <c r="G20" i="11"/>
  <c r="D21" i="11"/>
  <c r="J21" i="11" s="1"/>
  <c r="E21" i="11"/>
  <c r="G21" i="11"/>
  <c r="J20" i="11" l="1"/>
  <c r="I20" i="11"/>
  <c r="I21" i="11"/>
  <c r="H21" i="11"/>
  <c r="K21" i="11" l="1"/>
  <c r="K20" i="11"/>
  <c r="D16" i="11" l="1"/>
  <c r="H16" i="11" s="1"/>
  <c r="E16" i="11"/>
  <c r="G16" i="11"/>
  <c r="D17" i="11"/>
  <c r="H17" i="11" s="1"/>
  <c r="E17" i="11"/>
  <c r="G17" i="11"/>
  <c r="D19" i="11"/>
  <c r="J19" i="11" s="1"/>
  <c r="E19" i="11"/>
  <c r="G19" i="11"/>
  <c r="J17" i="11" l="1"/>
  <c r="I17" i="11"/>
  <c r="I19" i="11"/>
  <c r="H19" i="11"/>
  <c r="I16" i="11"/>
  <c r="J16" i="11"/>
  <c r="K17" i="11" l="1"/>
  <c r="K19" i="11"/>
  <c r="K16" i="11"/>
  <c r="D18" i="11" l="1"/>
  <c r="H18" i="11" s="1"/>
  <c r="E18" i="11"/>
  <c r="G18" i="11"/>
  <c r="F24" i="11"/>
  <c r="F23" i="11"/>
  <c r="D24" i="11"/>
  <c r="D25" i="11"/>
  <c r="D26" i="11"/>
  <c r="D22" i="11"/>
  <c r="D23" i="11"/>
  <c r="I18" i="11" l="1"/>
  <c r="J18" i="11"/>
  <c r="G15" i="11"/>
  <c r="D15" i="11"/>
  <c r="H15" i="11" s="1"/>
  <c r="E15" i="11"/>
  <c r="G14" i="11"/>
  <c r="E14" i="11"/>
  <c r="D14" i="11"/>
  <c r="J14" i="11" s="1"/>
  <c r="G7" i="11"/>
  <c r="V48" i="68"/>
  <c r="V2" i="68"/>
  <c r="J26" i="11"/>
  <c r="E26" i="11"/>
  <c r="G26" i="11"/>
  <c r="G25" i="11"/>
  <c r="E25" i="11"/>
  <c r="G24" i="11"/>
  <c r="E24" i="11"/>
  <c r="H24" i="11"/>
  <c r="G23" i="11"/>
  <c r="E23" i="11"/>
  <c r="G22" i="11"/>
  <c r="E22" i="11"/>
  <c r="H22" i="11"/>
  <c r="K18" i="11" l="1"/>
  <c r="I15" i="11"/>
  <c r="J15" i="11"/>
  <c r="H14" i="11"/>
  <c r="I14" i="11"/>
  <c r="H26" i="11"/>
  <c r="I26" i="11"/>
  <c r="J24" i="11"/>
  <c r="I23" i="11"/>
  <c r="J25" i="11"/>
  <c r="I22" i="11"/>
  <c r="J23" i="11"/>
  <c r="H25" i="11"/>
  <c r="J22" i="11"/>
  <c r="I25" i="11"/>
  <c r="H23" i="11"/>
  <c r="I24" i="11"/>
  <c r="K15" i="11" l="1"/>
  <c r="K14" i="11"/>
  <c r="K26" i="11"/>
  <c r="K25" i="11"/>
  <c r="K24" i="11"/>
  <c r="K22" i="11"/>
  <c r="K23" i="11"/>
  <c r="G6" i="11" l="1"/>
  <c r="K19" i="60" l="1"/>
  <c r="D19" i="60"/>
  <c r="J27" i="11" l="1"/>
  <c r="H27" i="11"/>
  <c r="I27" i="11"/>
  <c r="K27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6" i="11" l="1"/>
  <c r="D2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7" i="11"/>
  <c r="D28" i="11"/>
  <c r="H28" i="11" s="1"/>
  <c r="E2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2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8" i="11"/>
  <c r="I2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28" i="11"/>
  <c r="K30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0" i="11"/>
  <c r="H31" i="11" s="1"/>
  <c r="I30" i="11"/>
  <c r="I31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44" i="29" l="1"/>
  <c r="F300" i="29"/>
  <c r="F320" i="29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2" i="11"/>
  <c r="I3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1" i="11" l="1"/>
  <c r="K32" i="11" s="1"/>
  <c r="B3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0" i="11"/>
  <c r="J3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34" i="41" l="1"/>
  <c r="F790" i="41"/>
  <c r="F810" i="4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<sst xmlns="http://schemas.openxmlformats.org/spreadsheetml/2006/main" count="4691" uniqueCount="1622">
  <si>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</si>
  <si>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</si>
  <si>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</si>
  <si>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</si>
  <si>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</si>
  <si>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</si>
  <si>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</si>
  <si>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</si>
  <si>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</si>
  <si>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</si>
  <si>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</si>
  <si>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</si>
  <si>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</si>
  <si>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</si>
  <si>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</si>
  <si>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</si>
  <si>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</si>
  <si>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</si>
  <si>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</si>
  <si>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</si>
  <si>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</si>
  <si>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</si>
  <si>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</si>
  <si>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</si>
  <si>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</si>
  <si>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</si>
  <si>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</si>
  <si>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</si>
  <si>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</si>
  <si>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</si>
  <si>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</si>
  <si>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</si>
  <si>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</si>
  <si>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</si>
  <si>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</si>
  <si>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</si>
  <si>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</si>
  <si>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</si>
  <si>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</si>
  <si>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</si>
  <si>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</si>
  <si>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</si>
  <si>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</si>
  <si>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</si>
  <si>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</si>
  <si>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</si>
  <si>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</si>
  <si>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</si>
  <si>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</si>
  <si>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</si>
  <si>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</si>
  <si>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</si>
  <si>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</si>
  <si>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</si>
  <si>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</si>
  <si>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</si>
  <si>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</si>
  <si>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</si>
  <si>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</si>
  <si>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</si>
  <si>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</si>
  <si>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</si>
  <si>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</si>
  <si>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</si>
  <si>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</si>
  <si>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</si>
  <si>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</si>
  <si>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</si>
  <si>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</si>
  <si>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</si>
  <si>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</si>
  <si>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</si>
  <si>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</si>
  <si>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</si>
  <si>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</si>
  <si>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</si>
  <si>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</si>
  <si>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</si>
  <si>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</si>
  <si>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</si>
  <si>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</si>
  <si>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</si>
  <si>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</si>
  <si>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</si>
  <si>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</si>
  <si>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</si>
  <si>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</si>
  <si>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</si>
  <si>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</si>
  <si>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</si>
  <si>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</si>
  <si>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</si>
  <si>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</si>
  <si>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</si>
  <si>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</si>
  <si>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</si>
  <si>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</si>
  <si>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</si>
  <si>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</si>
  <si>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</si>
  <si>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</si>
  <si>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</si>
  <si>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</si>
  <si>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</si>
  <si>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</si>
  <si>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</si>
  <si>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</si>
  <si>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</si>
  <si>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</si>
  <si>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</si>
  <si>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</si>
  <si>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</si>
  <si>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</si>
  <si>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</si>
  <si>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</si>
  <si>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</si>
  <si>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</si>
  <si>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</si>
  <si>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</si>
  <si>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</si>
  <si>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</si>
  <si>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</si>
  <si>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</si>
  <si>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</si>
  <si>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</si>
  <si>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</si>
  <si>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</si>
  <si>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</si>
  <si>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</si>
  <si>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</si>
  <si>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</si>
  <si>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</si>
  <si>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</si>
  <si>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</si>
  <si>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</si>
  <si>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</si>
  <si>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</si>
  <si>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</si>
  <si>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</si>
  <si>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</si>
  <si>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</si>
  <si>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</si>
  <si>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</si>
  <si>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</si>
  <si>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</si>
  <si>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</si>
  <si>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</si>
  <si>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</si>
  <si>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</si>
  <si>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</si>
  <si>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</si>
  <si>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</si>
  <si>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</si>
  <si>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</si>
  <si>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</si>
  <si>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</si>
  <si>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</si>
  <si>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</si>
  <si>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</si>
  <si>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</si>
  <si>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</si>
  <si>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</si>
  <si>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</si>
  <si>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</si>
  <si>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</si>
  <si>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</si>
  <si>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</si>
  <si>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</si>
  <si>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</si>
  <si>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</si>
  <si>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</si>
  <si>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</si>
  <si>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</si>
  <si>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</si>
  <si>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</si>
  <si>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</si>
  <si>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</si>
  <si>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</si>
  <si>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</si>
  <si>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</si>
  <si>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</si>
  <si>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</si>
  <si>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</si>
  <si>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</si>
  <si>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</si>
  <si>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</si>
  <si>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</si>
  <si>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</si>
  <si>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</si>
  <si>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</si>
  <si>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</si>
  <si>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</si>
  <si>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</si>
  <si>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</si>
  <si>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</si>
  <si>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</si>
  <si>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</si>
  <si>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</si>
  <si>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</si>
  <si>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</si>
  <si>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</si>
  <si>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</si>
  <si>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</si>
  <si>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</si>
  <si>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</si>
  <si>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</si>
  <si>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</si>
  <si>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</si>
  <si>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</si>
  <si>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</si>
  <si>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</si>
  <si>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</si>
  <si>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</si>
  <si>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</si>
  <si>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</si>
  <si>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</si>
  <si>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</si>
  <si>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</si>
  <si>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</si>
  <si>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</si>
  <si>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</si>
  <si>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</si>
  <si>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</si>
  <si>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</si>
  <si>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</si>
  <si>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</si>
  <si>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</si>
  <si>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</si>
  <si>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</si>
  <si>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</si>
  <si>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</si>
  <si>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</si>
  <si>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</si>
  <si>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</si>
  <si>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</si>
  <si>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</si>
  <si>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</si>
  <si>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</si>
  <si>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</si>
  <si>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</si>
  <si>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</si>
  <si>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</si>
  <si>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</si>
  <si>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</si>
  <si>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</si>
  <si>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</si>
  <si>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</si>
  <si>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</si>
  <si>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</si>
  <si>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</si>
  <si>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</si>
  <si>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</si>
  <si>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</si>
  <si>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</si>
  <si>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</si>
  <si>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</si>
  <si>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</si>
  <si>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</si>
  <si>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</si>
  <si>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</si>
  <si>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</si>
  <si>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</si>
  <si>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</si>
  <si>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</si>
  <si>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</si>
  <si>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</si>
  <si>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</si>
  <si>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</si>
  <si>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</si>
  <si>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</si>
  <si>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</si>
  <si>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</si>
  <si>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</si>
  <si>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</si>
  <si>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</si>
  <si>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</si>
  <si>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</si>
  <si>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</si>
  <si>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</si>
  <si>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</si>
  <si>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</si>
  <si>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</si>
  <si>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</si>
  <si>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</si>
  <si>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</si>
  <si>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</si>
  <si>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</si>
  <si>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</si>
  <si>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</si>
  <si>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</si>
  <si>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</si>
  <si>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</si>
  <si>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</si>
  <si>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</si>
  <si>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</si>
  <si>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</si>
  <si>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</si>
  <si>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</si>
  <si>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</si>
  <si>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</si>
  <si>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</si>
  <si>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</si>
  <si>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</si>
  <si>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</si>
  <si>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</si>
  <si>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</si>
  <si>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</si>
  <si>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</si>
  <si>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</si>
  <si>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</si>
  <si>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</si>
  <si>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</si>
  <si>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</si>
  <si>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</si>
  <si>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</si>
  <si>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</si>
  <si>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</si>
  <si>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</si>
  <si>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</si>
  <si>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</si>
  <si>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</si>
  <si>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</si>
  <si>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</si>
  <si>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</si>
  <si>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</si>
  <si>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</si>
  <si>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</si>
  <si>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</si>
  <si>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</si>
  <si>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</si>
  <si>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</si>
  <si>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</si>
  <si>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</si>
  <si>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</si>
  <si>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</si>
  <si>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</si>
  <si>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</si>
  <si>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</si>
  <si>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</si>
  <si>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</si>
  <si>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</si>
  <si>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</si>
  <si>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</si>
  <si>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</si>
  <si>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</si>
  <si>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</si>
  <si>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</si>
  <si>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</si>
  <si>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</si>
  <si>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</si>
  <si>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</si>
  <si>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</si>
  <si>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</si>
  <si>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</si>
  <si>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</si>
  <si>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</si>
  <si>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</si>
  <si>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</si>
  <si>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</si>
  <si>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</si>
  <si>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</si>
  <si>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</si>
  <si>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</si>
  <si>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</si>
  <si>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</si>
  <si>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</si>
  <si>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</si>
  <si>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</si>
  <si>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</si>
  <si>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</si>
  <si>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</si>
  <si>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</si>
  <si>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</si>
  <si>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</si>
  <si>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</si>
  <si>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</si>
  <si>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</si>
  <si>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</si>
  <si>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</si>
  <si>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</si>
  <si>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</si>
  <si>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</si>
  <si>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</si>
  <si>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</si>
  <si>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</si>
  <si>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</si>
  <si>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</si>
  <si>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</si>
  <si>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</si>
  <si>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</si>
  <si>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</si>
  <si>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</si>
  <si>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</si>
  <si>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</si>
  <si>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</si>
  <si>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</si>
  <si>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</si>
  <si>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</si>
  <si>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</si>
  <si>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</si>
  <si>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</si>
  <si>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</si>
  <si>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</si>
  <si>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</si>
  <si>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</si>
  <si>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</si>
  <si>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</si>
  <si>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</si>
  <si>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</si>
  <si>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</si>
  <si>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</si>
  <si>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</si>
  <si>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</si>
  <si>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</si>
  <si>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</si>
  <si>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</si>
  <si>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</si>
  <si>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</si>
  <si>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</si>
  <si>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</si>
  <si>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</si>
  <si>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</si>
  <si>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</si>
  <si>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</si>
  <si>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</si>
  <si>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</si>
  <si>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</si>
  <si>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</si>
  <si>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</si>
  <si>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</si>
  <si>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</si>
  <si>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</si>
  <si>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</si>
  <si>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</si>
  <si>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</si>
  <si>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</si>
  <si>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</si>
  <si>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</si>
  <si>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</si>
  <si>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</si>
  <si>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</si>
  <si>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</si>
  <si>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</si>
  <si>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</si>
  <si>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</si>
  <si>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</si>
  <si>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</si>
  <si>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</si>
  <si>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</si>
  <si>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</si>
  <si>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</si>
  <si>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</si>
  <si>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</si>
  <si>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</si>
  <si>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</si>
  <si>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</si>
  <si>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</si>
  <si>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</si>
  <si>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</si>
  <si>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</si>
  <si>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</si>
  <si>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</si>
  <si>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</si>
  <si>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</si>
  <si>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</si>
  <si>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</si>
  <si>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</si>
  <si>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</si>
  <si>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</si>
  <si>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</si>
  <si>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</si>
  <si>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</si>
  <si>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</si>
  <si>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</si>
  <si>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</si>
  <si>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</si>
  <si>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</si>
  <si>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</si>
  <si>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</si>
  <si>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</si>
  <si>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</si>
  <si>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</si>
  <si>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</si>
  <si>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</si>
  <si>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</si>
  <si>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</si>
  <si>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</si>
  <si>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</si>
  <si>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</si>
  <si>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</si>
  <si>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</si>
  <si>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</si>
  <si>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</si>
  <si>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</si>
  <si>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</si>
  <si>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</si>
  <si>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</si>
  <si>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</si>
  <si>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</si>
  <si>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</si>
  <si>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</si>
  <si>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</si>
  <si>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</si>
  <si>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</si>
  <si>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</si>
  <si>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</si>
  <si>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</si>
  <si>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</si>
  <si>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</si>
  <si>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</si>
  <si>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</si>
  <si>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</si>
  <si>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</si>
  <si>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</si>
  <si>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</si>
  <si>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</si>
  <si>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</si>
  <si>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</si>
  <si>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</si>
  <si>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</si>
  <si>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</si>
  <si>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</si>
  <si>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</si>
  <si>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</si>
  <si>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</si>
  <si>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</si>
  <si>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</si>
  <si>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</si>
  <si>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</si>
  <si>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</si>
  <si>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</si>
  <si>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</si>
  <si>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</si>
  <si>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</si>
  <si>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</si>
  <si>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</si>
  <si>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</si>
  <si>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</si>
  <si>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</si>
  <si>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</si>
  <si>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</si>
  <si>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</si>
  <si>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</si>
  <si>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</si>
  <si>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</si>
  <si>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</si>
  <si>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</si>
  <si>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</si>
  <si>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</si>
  <si>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</si>
  <si>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</si>
  <si>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</si>
  <si>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</si>
  <si>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</si>
  <si>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</si>
  <si>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</si>
  <si>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</si>
  <si>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</si>
  <si>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</si>
  <si>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</si>
  <si>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</si>
  <si>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</si>
  <si>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</si>
  <si>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</si>
  <si>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</si>
  <si>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</si>
  <si>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</si>
  <si>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</si>
  <si>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</si>
  <si>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</si>
  <si>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</si>
  <si>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</si>
  <si>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</si>
  <si>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</si>
  <si>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</si>
  <si>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</si>
  <si>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</si>
  <si>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</si>
  <si>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</si>
  <si>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</si>
  <si>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</si>
  <si>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</si>
  <si>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</si>
  <si>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</si>
  <si>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</si>
  <si>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</si>
  <si>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</si>
  <si>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</si>
  <si>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</si>
  <si>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</si>
  <si>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</si>
  <si>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</si>
  <si>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</si>
  <si>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</si>
  <si>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</si>
  <si>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</si>
  <si>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</si>
  <si>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</si>
  <si>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</si>
  <si>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</si>
  <si>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</si>
  <si>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</si>
  <si>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</si>
  <si>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</si>
  <si>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</si>
  <si>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</si>
  <si>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</si>
  <si>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</si>
  <si>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</si>
  <si>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</si>
  <si>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</si>
  <si>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</si>
  <si>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</si>
  <si>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</si>
  <si>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</si>
  <si>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</si>
  <si>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</si>
  <si>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</si>
  <si>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</si>
  <si>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</si>
  <si>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</si>
  <si>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</si>
  <si>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</si>
  <si>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</si>
  <si>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</si>
  <si>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</si>
  <si>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</si>
  <si>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</si>
  <si>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</si>
  <si>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</si>
  <si>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</si>
  <si>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</si>
  <si>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</si>
  <si>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</si>
  <si>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</si>
  <si>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</si>
  <si>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</si>
  <si>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</si>
  <si>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</si>
  <si>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</si>
  <si>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</si>
  <si>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</si>
  <si>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</si>
  <si>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</si>
  <si>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</si>
  <si>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</si>
  <si>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</si>
  <si>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</si>
  <si>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</si>
  <si>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</si>
  <si>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</si>
  <si>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</si>
  <si>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</si>
  <si>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</si>
  <si>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</si>
  <si>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</si>
  <si>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</si>
  <si>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</si>
  <si>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</si>
  <si>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</si>
  <si>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</si>
  <si>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</si>
  <si>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</si>
  <si>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</si>
  <si>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</si>
  <si>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</si>
  <si>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</si>
  <si>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</si>
  <si>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</si>
  <si>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</si>
  <si>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</si>
  <si>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</si>
  <si>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</si>
  <si>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</si>
  <si>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</si>
  <si>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</si>
  <si>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</si>
  <si>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</si>
  <si>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</si>
  <si>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</si>
  <si>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</si>
  <si>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</si>
  <si>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</si>
  <si>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</si>
  <si>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</si>
  <si>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</si>
  <si>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</si>
  <si>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</si>
  <si>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</si>
  <si>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</si>
  <si>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</si>
  <si>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</si>
  <si>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</si>
  <si>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</si>
  <si>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</si>
  <si>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</si>
  <si>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</si>
  <si>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</si>
  <si>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</si>
  <si>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</si>
  <si>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</si>
  <si>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</si>
  <si>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</si>
  <si>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</si>
  <si>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</si>
  <si>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</si>
  <si>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</si>
  <si>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</si>
  <si>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</si>
  <si>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</si>
  <si>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</si>
  <si>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</si>
  <si>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</si>
  <si>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</si>
  <si>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</si>
  <si>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</si>
  <si>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</si>
  <si>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</si>
  <si>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</si>
  <si>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</si>
  <si>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</si>
  <si>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</si>
  <si>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</si>
  <si>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</si>
  <si>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</si>
  <si>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</si>
  <si>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</si>
  <si>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</si>
  <si>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</si>
  <si>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</si>
  <si>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</si>
  <si>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</si>
  <si>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</si>
  <si>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</si>
  <si>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</si>
  <si>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</si>
  <si>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</si>
  <si>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</si>
  <si>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</si>
  <si>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</si>
  <si>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</si>
  <si>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</si>
  <si>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</si>
  <si>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</si>
  <si>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</si>
  <si>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</si>
  <si>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</si>
  <si>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</si>
  <si>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</si>
  <si>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</si>
  <si>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</si>
  <si>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</si>
  <si>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</si>
  <si>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</si>
  <si>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</si>
  <si>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</si>
  <si>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</si>
  <si>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</si>
  <si>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</si>
  <si>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</si>
  <si>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</si>
  <si>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</si>
  <si>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</si>
  <si>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</si>
  <si>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</si>
  <si>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</si>
  <si>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</si>
  <si>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</si>
  <si>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</si>
  <si>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</si>
  <si>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</si>
  <si>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</si>
  <si>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</si>
  <si>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</si>
  <si>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</si>
  <si>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</si>
  <si>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</si>
  <si>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</si>
  <si>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</si>
  <si>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</si>
  <si>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</si>
  <si>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</si>
  <si>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</si>
  <si>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</si>
  <si>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</si>
  <si>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</si>
  <si>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</si>
  <si>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</si>
  <si>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</si>
  <si>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</si>
  <si>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</si>
  <si>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</si>
  <si>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</si>
  <si>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</si>
  <si>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</si>
  <si>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</si>
  <si>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</si>
  <si>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</si>
  <si>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</si>
  <si>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</si>
  <si>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</si>
  <si>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</si>
  <si>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</si>
  <si>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</si>
  <si>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</si>
  <si>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</si>
  <si>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</si>
  <si>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</si>
  <si>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</si>
  <si>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</si>
  <si>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</si>
  <si>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</si>
  <si>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</si>
  <si>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</si>
  <si>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</si>
  <si>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</si>
  <si>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</si>
  <si>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</si>
  <si>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</si>
  <si>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</si>
  <si>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</si>
  <si>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</si>
  <si>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</si>
  <si>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</si>
  <si>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</si>
  <si>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</si>
  <si>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</si>
  <si>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</si>
  <si>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</si>
  <si>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</si>
  <si>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</si>
  <si>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</si>
  <si>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</si>
  <si>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</si>
  <si>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</si>
  <si>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</si>
  <si>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</si>
  <si>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</si>
  <si>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</si>
  <si>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</si>
  <si>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</si>
  <si>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</si>
  <si>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</si>
  <si>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</si>
  <si>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</si>
  <si>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</si>
  <si>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</si>
  <si>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</si>
  <si>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</si>
  <si>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</si>
  <si>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</si>
  <si>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</si>
  <si>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</si>
  <si>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</si>
  <si>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</si>
  <si>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</si>
  <si>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</si>
  <si>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</si>
  <si>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</si>
  <si>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</si>
  <si>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</si>
  <si>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</si>
  <si>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</si>
  <si>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</si>
  <si>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</si>
  <si>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</si>
  <si>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</si>
  <si>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</si>
  <si>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</si>
  <si>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</si>
  <si>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</si>
  <si>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</si>
  <si>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</si>
  <si>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</si>
  <si>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</si>
  <si>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</si>
  <si>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</si>
  <si>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</si>
  <si>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</si>
  <si>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</si>
  <si>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</si>
  <si>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</si>
  <si>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</si>
  <si>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</si>
  <si>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</si>
  <si>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</si>
  <si>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</si>
  <si>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</si>
  <si>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</si>
  <si>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</si>
  <si>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</si>
  <si>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</si>
  <si>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</si>
  <si>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</si>
  <si>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</si>
  <si>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</si>
  <si>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</si>
  <si>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</si>
  <si>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</si>
  <si>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</si>
  <si>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</si>
  <si>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</si>
  <si>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</si>
  <si>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</si>
  <si>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</si>
  <si>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</si>
  <si>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</si>
  <si>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</si>
  <si>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</si>
  <si>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</si>
  <si>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</si>
  <si>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</si>
  <si>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</si>
  <si>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</si>
  <si>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</si>
  <si>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</si>
  <si>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</si>
  <si>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</si>
  <si>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</si>
  <si>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</si>
  <si>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</si>
  <si>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</si>
  <si>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</si>
  <si>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</si>
  <si>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</si>
  <si>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</si>
  <si>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</si>
  <si>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</si>
  <si>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</si>
  <si>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</si>
  <si>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</si>
  <si>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</si>
  <si>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</si>
  <si>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</si>
  <si>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</si>
  <si>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</si>
  <si>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</si>
  <si>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</si>
  <si>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</si>
  <si>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</si>
  <si>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</si>
  <si>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</si>
  <si>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</si>
  <si>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</si>
  <si>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</si>
  <si>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</si>
  <si>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</si>
  <si>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</si>
  <si>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</si>
  <si>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</si>
  <si>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</si>
  <si>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</si>
  <si>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</si>
  <si>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</si>
  <si>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</si>
  <si>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</si>
  <si>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</si>
  <si>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</si>
  <si>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</si>
  <si>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</si>
  <si>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</si>
  <si>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</si>
  <si>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</si>
  <si>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</si>
  <si>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</si>
  <si>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</si>
  <si>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</si>
  <si>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</si>
  <si>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</si>
  <si>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</si>
  <si>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</si>
  <si>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</si>
  <si>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</si>
  <si>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</si>
  <si>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</si>
  <si>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</si>
  <si>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</si>
  <si>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</si>
  <si>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</si>
  <si>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</si>
  <si>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</si>
  <si>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</si>
  <si>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</si>
  <si>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</si>
  <si>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</si>
  <si>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</si>
  <si>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</si>
  <si>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</si>
  <si>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</si>
  <si>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</si>
  <si>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</si>
  <si>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</si>
  <si>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</si>
  <si>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</si>
  <si>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</si>
  <si>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</si>
  <si>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</si>
  <si>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</si>
  <si>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</si>
  <si>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</si>
  <si>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</si>
  <si>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</si>
  <si>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</si>
  <si>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</si>
  <si>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</si>
  <si>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</si>
  <si>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</si>
  <si>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</si>
  <si>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</si>
  <si>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</si>
  <si>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</si>
  <si>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</si>
  <si>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</si>
  <si>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</si>
  <si>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</si>
  <si>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</si>
  <si>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</si>
  <si>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</si>
  <si>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</si>
  <si>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</si>
  <si>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</si>
  <si>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</si>
  <si>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</si>
  <si>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</si>
  <si>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</si>
  <si>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</si>
  <si>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</si>
  <si>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</si>
  <si>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</si>
  <si>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</si>
  <si>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</si>
  <si>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</si>
  <si>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</si>
  <si>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</si>
  <si>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</si>
  <si>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</si>
  <si>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</si>
  <si>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</si>
  <si>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</si>
  <si>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</si>
  <si>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</si>
  <si>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</si>
  <si>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</si>
  <si>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</si>
  <si>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</si>
  <si>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</si>
  <si>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</si>
  <si>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</si>
  <si>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</si>
  <si>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</si>
  <si>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</si>
  <si>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</si>
  <si>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</si>
  <si>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</si>
  <si>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</si>
  <si>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</si>
  <si>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</si>
  <si>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</si>
  <si>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</si>
  <si>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</si>
  <si>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</si>
  <si>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</si>
  <si>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</si>
  <si>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</si>
  <si>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</si>
  <si>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</si>
  <si>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</si>
  <si>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</si>
  <si>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</si>
  <si>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</si>
  <si>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</si>
  <si>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</si>
  <si>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</si>
  <si>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</si>
  <si>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</si>
  <si>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</si>
  <si>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</si>
  <si>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</si>
  <si>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</si>
  <si>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</si>
  <si>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</si>
  <si>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</si>
  <si>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</si>
  <si>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</si>
  <si>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</si>
  <si>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</si>
  <si>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</si>
  <si>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</si>
  <si>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</si>
  <si>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</si>
  <si>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</si>
  <si>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</si>
  <si>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</si>
  <si>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</si>
  <si>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</si>
  <si>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</si>
  <si>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</si>
  <si>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</si>
  <si>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</si>
  <si>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</si>
  <si>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</si>
  <si>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</si>
  <si>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</si>
  <si>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</si>
  <si>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</si>
  <si>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</si>
  <si>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</si>
  <si>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</si>
  <si>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</si>
  <si>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</si>
  <si>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</si>
  <si>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</si>
  <si>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</si>
  <si>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</si>
  <si>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</si>
  <si>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</si>
  <si>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</si>
  <si>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</si>
  <si>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</si>
  <si>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</si>
  <si>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</si>
  <si>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</si>
  <si>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</si>
  <si>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</si>
  <si>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</si>
  <si>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</si>
  <si>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</si>
  <si>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</si>
  <si>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</si>
  <si>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</si>
  <si>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</si>
  <si>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</si>
  <si>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</si>
  <si>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</si>
  <si>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</si>
  <si>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</si>
  <si>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</si>
  <si>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</si>
  <si>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</si>
  <si>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</si>
  <si>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</si>
  <si>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</si>
  <si>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</si>
  <si>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</si>
  <si>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</si>
  <si>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</si>
  <si>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</si>
  <si>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</si>
  <si>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</si>
  <si>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</si>
  <si>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</si>
  <si>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</si>
  <si>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</si>
  <si>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</si>
  <si>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</si>
  <si>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</si>
  <si>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</si>
  <si>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</si>
  <si>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</si>
  <si>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</si>
  <si>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</si>
  <si>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</si>
  <si>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</si>
  <si>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</si>
  <si>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</si>
  <si>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</si>
  <si>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</si>
  <si>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</si>
  <si>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</si>
  <si>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</si>
  <si>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</si>
  <si>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</si>
  <si>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</si>
  <si>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</si>
  <si>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</si>
  <si>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</si>
  <si>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</si>
  <si>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</si>
  <si>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</si>
  <si>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</si>
  <si>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</si>
  <si>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</si>
  <si>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</si>
  <si>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</si>
  <si>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</si>
  <si>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</si>
  <si>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</si>
  <si>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</si>
  <si>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</si>
  <si>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</si>
  <si>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</si>
  <si>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</si>
  <si>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</si>
  <si>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</si>
  <si>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</si>
  <si>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</si>
  <si>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</si>
  <si>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</si>
  <si>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</si>
  <si>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</si>
  <si>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</si>
  <si>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</si>
  <si>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</si>
  <si>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</si>
  <si>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</si>
  <si>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</si>
  <si>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</si>
  <si>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</si>
  <si>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</si>
  <si>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</si>
  <si>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</si>
  <si>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</si>
  <si>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</si>
  <si>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</si>
  <si>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</si>
  <si>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</si>
  <si>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</si>
  <si>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</si>
  <si>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</si>
  <si>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</si>
  <si>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</si>
  <si>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</si>
  <si>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</si>
  <si>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</si>
  <si>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</si>
  <si>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</si>
  <si>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</si>
  <si>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</si>
  <si>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</si>
  <si>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</si>
  <si>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</si>
  <si>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</si>
  <si>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</si>
  <si>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</si>
  <si>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</si>
  <si>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</si>
  <si>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</si>
  <si>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</si>
  <si>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</si>
  <si>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</si>
  <si>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</si>
  <si>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</si>
  <si>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</si>
  <si>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</si>
  <si>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</si>
  <si>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</si>
  <si>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</si>
  <si>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</si>
  <si>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</si>
  <si>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</si>
  <si>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</si>
  <si>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</si>
  <si>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</si>
  <si>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</si>
  <si>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</si>
  <si>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</si>
  <si>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</si>
  <si>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</si>
  <si>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</si>
  <si>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</si>
  <si>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</si>
  <si>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</si>
  <si>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</si>
  <si>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</si>
  <si>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</si>
  <si>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</si>
  <si>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</si>
  <si>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</si>
  <si>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</si>
  <si>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</si>
  <si>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</si>
  <si>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</si>
  <si>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</si>
  <si>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</si>
  <si>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</si>
  <si>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</si>
  <si>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</si>
  <si>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</si>
  <si>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</si>
  <si>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</si>
  <si>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</si>
  <si>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</si>
  <si>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</si>
  <si>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</si>
  <si>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</si>
  <si>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</si>
  <si>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</si>
  <si>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</si>
  <si>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</si>
  <si>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</si>
  <si>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</si>
  <si>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</si>
  <si>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</si>
  <si>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</si>
  <si>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</si>
  <si>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</si>
  <si>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</si>
  <si>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</si>
  <si>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</si>
  <si>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</si>
  <si>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</si>
  <si>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</si>
  <si>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</si>
  <si>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</si>
  <si>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</si>
  <si>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</si>
  <si>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</si>
  <si>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</si>
  <si>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</si>
  <si>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</si>
  <si>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</si>
  <si>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</si>
  <si>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</si>
  <si>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</si>
  <si>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</si>
  <si>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</si>
  <si>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</si>
  <si>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</si>
  <si>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</si>
  <si>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</si>
  <si>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</si>
  <si>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</si>
  <si>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</si>
  <si>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</si>
  <si>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</si>
  <si>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</si>
  <si>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</si>
  <si>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</si>
  <si>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</si>
  <si>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</si>
  <si>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</si>
  <si>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</si>
  <si>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</si>
  <si>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</si>
  <si>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</si>
  <si>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</si>
  <si>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</si>
  <si>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</si>
  <si>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</si>
  <si>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</si>
  <si>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</si>
  <si>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</si>
  <si>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</si>
  <si>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</si>
  <si>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</si>
  <si>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</si>
  <si>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</si>
  <si>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</si>
  <si>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</si>
  <si>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</si>
  <si>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</si>
  <si>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</si>
  <si>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</si>
  <si>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</si>
  <si>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</si>
  <si>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</si>
  <si>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</si>
  <si>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</si>
  <si>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</si>
  <si>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</si>
  <si>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</si>
  <si>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</si>
  <si>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</si>
  <si>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</si>
  <si>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</si>
  <si>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</si>
  <si>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</si>
  <si>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</si>
  <si>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</si>
  <si>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</si>
  <si>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</si>
  <si>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</si>
  <si>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</si>
  <si>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</si>
  <si>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</si>
  <si>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</si>
  <si>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</si>
  <si>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</si>
  <si>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</si>
  <si>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</si>
  <si>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</si>
  <si>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</si>
  <si>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</si>
  <si>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</si>
  <si>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</si>
  <si>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</si>
  <si>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</si>
  <si>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</si>
  <si>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</si>
  <si>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</si>
  <si>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</si>
  <si>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</si>
  <si>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</si>
  <si>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</si>
  <si>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</si>
  <si>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</si>
  <si>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</si>
  <si>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</si>
  <si>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</si>
  <si>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</si>
  <si>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</si>
  <si>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</si>
  <si>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</si>
  <si>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</si>
  <si>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</si>
  <si>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</si>
  <si>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</si>
  <si>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</si>
  <si>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</si>
  <si>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</si>
  <si>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</si>
  <si>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</si>
  <si>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</si>
  <si>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</si>
  <si>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</si>
  <si>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</si>
  <si>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</si>
  <si>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</si>
  <si>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</si>
  <si>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</si>
  <si>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</si>
  <si>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</si>
  <si>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</si>
  <si>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</si>
  <si>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</si>
  <si>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</si>
  <si>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</si>
  <si>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</si>
  <si>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</si>
  <si>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</si>
  <si>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</si>
  <si>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</si>
  <si>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</si>
  <si>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</si>
  <si>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</si>
  <si>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</si>
  <si>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</si>
  <si>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</si>
  <si>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</si>
  <si>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</si>
  <si>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</si>
  <si>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</si>
  <si>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</si>
  <si>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</si>
  <si>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</si>
  <si>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</si>
  <si>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</si>
  <si>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</si>
  <si>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</si>
  <si>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</si>
  <si>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</si>
  <si>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</si>
  <si>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</si>
  <si>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</si>
  <si>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</si>
  <si>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</si>
  <si>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</si>
  <si>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</si>
  <si>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</si>
  <si>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</si>
  <si>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</si>
  <si>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</si>
  <si>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</si>
  <si>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</si>
  <si>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</si>
  <si>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</si>
  <si>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</si>
  <si>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</si>
  <si>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</si>
  <si>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</si>
  <si>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</si>
  <si>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</si>
  <si>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</si>
  <si>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</si>
  <si>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</si>
  <si>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</si>
  <si>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</si>
  <si>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</si>
  <si>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</si>
  <si>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</si>
  <si>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</si>
  <si>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</si>
  <si>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</si>
  <si>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</si>
  <si>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</si>
  <si>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</si>
  <si>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</si>
  <si>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</si>
  <si>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</si>
  <si>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</si>
  <si>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</si>
  <si>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</si>
  <si>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</si>
  <si>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</si>
  <si>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</si>
  <si>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</si>
  <si>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</si>
  <si>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</si>
  <si>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</si>
  <si>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</si>
  <si>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</si>
  <si>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</si>
  <si>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</si>
  <si>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</si>
  <si>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</si>
  <si>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</si>
  <si>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</si>
  <si>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</si>
  <si>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</si>
  <si>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</si>
  <si>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</si>
  <si>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</si>
  <si>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</si>
  <si>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</si>
  <si>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</si>
  <si>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</si>
  <si>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</si>
  <si>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</si>
  <si>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</si>
  <si>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</si>
  <si>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</si>
  <si>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</si>
  <si>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</si>
  <si>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</si>
  <si>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</si>
  <si>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</si>
  <si>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</si>
  <si>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</si>
  <si>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</si>
  <si>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</si>
  <si>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</si>
  <si>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</si>
  <si>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</si>
  <si>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</si>
  <si>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</si>
  <si>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</si>
  <si>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</si>
  <si>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</si>
  <si>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</si>
  <si>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</si>
  <si>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</si>
  <si>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</si>
  <si>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</si>
  <si>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</si>
  <si>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</si>
  <si>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</si>
  <si>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</si>
  <si>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</si>
  <si>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</si>
  <si>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</si>
  <si>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</si>
  <si>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</si>
  <si>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</si>
  <si>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</si>
  <si>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</si>
  <si>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</si>
  <si>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</si>
  <si>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</si>
  <si>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</si>
  <si>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</si>
  <si>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</si>
  <si>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</si>
  <si>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</si>
  <si>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</si>
  <si>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</si>
  <si>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</si>
  <si>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</si>
  <si>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</si>
  <si>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</si>
  <si>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</si>
  <si>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</si>
  <si>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</si>
  <si>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</si>
  <si>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</si>
  <si>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</si>
  <si>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</si>
  <si>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</si>
  <si>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</si>
  <si>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</si>
  <si>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</si>
  <si>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</si>
  <si>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</si>
  <si>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</si>
  <si>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</si>
  <si>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</si>
  <si>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</si>
  <si>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</si>
  <si>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</si>
  <si>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</si>
  <si>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</si>
  <si>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</si>
  <si>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</si>
  <si>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</si>
  <si>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</si>
  <si>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</si>
  <si>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</si>
  <si>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</si>
  <si>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</si>
  <si>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</si>
  <si>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</si>
  <si>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</si>
  <si>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</si>
  <si>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</si>
  <si>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</si>
  <si>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</si>
  <si>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</si>
  <si>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</si>
  <si>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TRAFO</t>
  </si>
  <si>
    <t>PEMASANGAN APP</t>
  </si>
  <si>
    <t>II</t>
  </si>
  <si>
    <t>PEMASANGAN TIANG</t>
  </si>
  <si>
    <t>PEMASANGAN KONSTRUKSI</t>
  </si>
  <si>
    <t>SPV. RENSIS</t>
  </si>
  <si>
    <t>MB PERENCANAAN</t>
  </si>
  <si>
    <t>MANAGER</t>
  </si>
  <si>
    <t>III</t>
  </si>
  <si>
    <t>IV</t>
  </si>
  <si>
    <t>I2</t>
  </si>
  <si>
    <t>Daya 23.000 VA</t>
  </si>
  <si>
    <t>KOORDINAT :' -6.944177, 110.493045</t>
  </si>
  <si>
    <t>Sriwulan, Kec. Sayung, Kabupaten Demak</t>
  </si>
  <si>
    <t>MASJID SRIWULAN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</si>
</sst>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8"/>
      <color indexed="10"/>
      <name val="Calibri"/>
      <family val="2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</borders>
  <cellStyleXfs count="5654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9" fillId="0" borderId="0"/>
    <xf numFmtId="165" fontId="24" fillId="0" borderId="0" applyFont="0" applyFill="0" applyBorder="0" applyAlignment="0" applyProtection="0"/>
    <xf numFmtId="0" fontId="9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3"/>
    <xf numFmtId="0" fontId="91" fillId="0" borderId="94"/>
    <xf numFmtId="166" fontId="24" fillId="0" borderId="0" applyFont="0" applyFill="0" applyBorder="0" applyAlignment="0" applyProtection="0"/>
    <xf numFmtId="0" fontId="39" fillId="20" borderId="99" applyNumberFormat="0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9" fillId="21" borderId="95" applyNumberFormat="0" applyAlignment="0" applyProtection="0"/>
    <xf numFmtId="0" fontId="35" fillId="7" borderId="103" applyNumberFormat="0" applyAlignment="0" applyProtection="0"/>
    <xf numFmtId="0" fontId="41" fillId="0" borderId="100" applyNumberFormat="0" applyFill="0" applyAlignment="0" applyProtection="0"/>
    <xf numFmtId="0" fontId="8" fillId="0" borderId="0"/>
    <xf numFmtId="0" fontId="8" fillId="0" borderId="0"/>
    <xf numFmtId="0" fontId="90" fillId="0" borderId="102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41" fillId="0" borderId="106" applyNumberFormat="0" applyFill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0" fontId="39" fillId="20" borderId="99" applyNumberForma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193" fontId="45" fillId="28" borderId="98" applyAlignment="0" applyProtection="0"/>
    <xf numFmtId="0" fontId="18" fillId="27" borderId="98" applyNumberFormat="0" applyFont="0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193" fontId="45" fillId="28" borderId="98" applyAlignment="0" applyProtection="0"/>
    <xf numFmtId="0" fontId="24" fillId="27" borderId="98" applyNumberFormat="0" applyFont="0" applyAlignment="0" applyProtection="0"/>
    <xf numFmtId="0" fontId="8" fillId="0" borderId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9" fillId="21" borderId="95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0" fontId="35" fillId="7" borderId="97" applyNumberFormat="0" applyAlignment="0" applyProtection="0"/>
    <xf numFmtId="166" fontId="8" fillId="0" borderId="0" applyFont="0" applyFill="0" applyBorder="0" applyAlignment="0" applyProtection="0"/>
    <xf numFmtId="0" fontId="81" fillId="23" borderId="101"/>
    <xf numFmtId="0" fontId="81" fillId="0" borderId="101"/>
    <xf numFmtId="0" fontId="81" fillId="0" borderId="96"/>
    <xf numFmtId="0" fontId="81" fillId="0" borderId="96"/>
    <xf numFmtId="0" fontId="76" fillId="0" borderId="101"/>
    <xf numFmtId="0" fontId="76" fillId="0" borderId="101"/>
    <xf numFmtId="0" fontId="76" fillId="0" borderId="107"/>
    <xf numFmtId="0" fontId="76" fillId="0" borderId="107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28" fillId="20" borderId="97" applyNumberFormat="0" applyAlignment="0" applyProtection="0"/>
    <xf numFmtId="0" fontId="8" fillId="0" borderId="0"/>
    <xf numFmtId="0" fontId="8" fillId="0" borderId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18" fillId="27" borderId="104" applyNumberFormat="0" applyFont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39" fillId="20" borderId="99" applyNumberFormat="0" applyAlignment="0" applyProtection="0"/>
    <xf numFmtId="0" fontId="24" fillId="27" borderId="98" applyNumberFormat="0" applyFont="0" applyAlignment="0" applyProtection="0"/>
    <xf numFmtId="0" fontId="35" fillId="7" borderId="97" applyNumberFormat="0" applyAlignment="0" applyProtection="0"/>
    <xf numFmtId="0" fontId="28" fillId="20" borderId="97" applyNumberFormat="0" applyAlignment="0" applyProtection="0"/>
    <xf numFmtId="193" fontId="45" fillId="28" borderId="104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35" fillId="7" borderId="103" applyNumberFormat="0" applyAlignment="0" applyProtection="0"/>
    <xf numFmtId="0" fontId="28" fillId="20" borderId="103" applyNumberFormat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41" fillId="0" borderId="100" applyNumberFormat="0" applyFill="0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90" fillId="0" borderId="108"/>
    <xf numFmtId="0" fontId="35" fillId="7" borderId="103" applyNumberFormat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0" fontId="28" fillId="20" borderId="103" applyNumberFormat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5" fillId="7" borderId="103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2" fontId="18" fillId="0" borderId="0" applyFont="0" applyFill="0" applyBorder="0" applyAlignment="0" applyProtection="0"/>
    <xf numFmtId="0" fontId="76" fillId="0" borderId="107"/>
    <xf numFmtId="0" fontId="76" fillId="0" borderId="107"/>
    <xf numFmtId="0" fontId="81" fillId="0" borderId="96"/>
    <xf numFmtId="0" fontId="81" fillId="0" borderId="96"/>
    <xf numFmtId="0" fontId="81" fillId="0" borderId="107"/>
    <xf numFmtId="0" fontId="81" fillId="23" borderId="107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35" fillId="7" borderId="10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6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193" fontId="45" fillId="28" borderId="104" applyAlignment="0" applyProtection="0"/>
    <xf numFmtId="0" fontId="18" fillId="27" borderId="104" applyNumberFormat="0" applyFont="0" applyAlignment="0" applyProtection="0"/>
    <xf numFmtId="9" fontId="24" fillId="0" borderId="0" applyFont="0" applyFill="0" applyBorder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193" fontId="45" fillId="28" borderId="104" applyAlignment="0" applyProtection="0"/>
    <xf numFmtId="0" fontId="24" fillId="27" borderId="104" applyNumberFormat="0" applyFon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0" fontId="39" fillId="20" borderId="105" applyNumberFormat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0" fillId="0" borderId="109"/>
    <xf numFmtId="0" fontId="90" fillId="0" borderId="109"/>
    <xf numFmtId="0" fontId="91" fillId="0" borderId="110"/>
    <xf numFmtId="0" fontId="91" fillId="0" borderId="11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41" fillId="0" borderId="106" applyNumberFormat="0" applyFill="0" applyAlignment="0" applyProtection="0"/>
    <xf numFmtId="0" fontId="114" fillId="0" borderId="0"/>
    <xf numFmtId="166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76" fillId="0" borderId="136"/>
    <xf numFmtId="0" fontId="35" fillId="7" borderId="10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18" fillId="27" borderId="121" applyNumberFormat="0" applyFont="0" applyAlignment="0" applyProtection="0"/>
    <xf numFmtId="0" fontId="6" fillId="0" borderId="0"/>
    <xf numFmtId="0" fontId="35" fillId="7" borderId="113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28" fillId="20" borderId="132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6" fillId="0" borderId="0"/>
    <xf numFmtId="193" fontId="45" fillId="28" borderId="121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4" fillId="0" borderId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8" fillId="20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24" fillId="27" borderId="121" applyNumberFormat="0" applyFont="0" applyAlignment="0" applyProtection="0"/>
    <xf numFmtId="0" fontId="39" fillId="20" borderId="122" applyNumberFormat="0" applyAlignment="0" applyProtection="0"/>
    <xf numFmtId="0" fontId="90" fillId="0" borderId="119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0" fontId="24" fillId="27" borderId="127" applyNumberFormat="0" applyFont="0" applyAlignment="0" applyProtection="0"/>
    <xf numFmtId="0" fontId="24" fillId="27" borderId="127" applyNumberFormat="0" applyFont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166" fontId="24" fillId="0" borderId="0" applyFont="0" applyFill="0" applyBorder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32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28" fillId="20" borderId="120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35" fillId="7" borderId="126" applyNumberFormat="0" applyAlignment="0" applyProtection="0"/>
    <xf numFmtId="0" fontId="81" fillId="23" borderId="130"/>
    <xf numFmtId="0" fontId="81" fillId="0" borderId="130"/>
    <xf numFmtId="0" fontId="76" fillId="0" borderId="130"/>
    <xf numFmtId="0" fontId="76" fillId="0" borderId="130"/>
    <xf numFmtId="166" fontId="6" fillId="0" borderId="0" applyFont="0" applyFill="0" applyBorder="0" applyAlignment="0" applyProtection="0"/>
    <xf numFmtId="0" fontId="76" fillId="0" borderId="136"/>
    <xf numFmtId="0" fontId="76" fillId="0" borderId="124"/>
    <xf numFmtId="0" fontId="76" fillId="0" borderId="124"/>
    <xf numFmtId="0" fontId="81" fillId="0" borderId="136"/>
    <xf numFmtId="0" fontId="81" fillId="23" borderId="136"/>
    <xf numFmtId="0" fontId="81" fillId="0" borderId="124"/>
    <xf numFmtId="0" fontId="76" fillId="0" borderId="114"/>
    <xf numFmtId="0" fontId="76" fillId="0" borderId="114"/>
    <xf numFmtId="0" fontId="76" fillId="0" borderId="114"/>
    <xf numFmtId="0" fontId="76" fillId="0" borderId="114"/>
    <xf numFmtId="0" fontId="81" fillId="23" borderId="124"/>
    <xf numFmtId="0" fontId="81" fillId="0" borderId="114"/>
    <xf numFmtId="0" fontId="81" fillId="0" borderId="114"/>
    <xf numFmtId="0" fontId="81" fillId="23" borderId="114"/>
    <xf numFmtId="0" fontId="81" fillId="23" borderId="114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20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35" fillId="7" borderId="132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35" fillId="7" borderId="113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28" fillId="20" borderId="126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4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35" fillId="7" borderId="113" applyNumberFormat="0" applyAlignment="0" applyProtection="0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32" applyNumberFormat="0" applyAlignment="0" applyProtection="0"/>
    <xf numFmtId="0" fontId="90" fillId="0" borderId="111"/>
    <xf numFmtId="0" fontId="91" fillId="0" borderId="112"/>
    <xf numFmtId="0" fontId="35" fillId="7" borderId="120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28" fillId="20" borderId="113" applyNumberFormat="0" applyAlignment="0" applyProtection="0"/>
    <xf numFmtId="0" fontId="35" fillId="7" borderId="126" applyNumberFormat="0" applyAlignment="0" applyProtection="0"/>
    <xf numFmtId="0" fontId="35" fillId="7" borderId="103" applyNumberFormat="0" applyAlignment="0" applyProtection="0"/>
    <xf numFmtId="0" fontId="35" fillId="7" borderId="113" applyNumberFormat="0" applyAlignment="0" applyProtection="0"/>
    <xf numFmtId="0" fontId="24" fillId="27" borderId="133" applyNumberFormat="0" applyFont="0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0" borderId="0"/>
    <xf numFmtId="193" fontId="45" fillId="28" borderId="121" applyAlignment="0" applyProtection="0"/>
    <xf numFmtId="0" fontId="24" fillId="0" borderId="0"/>
    <xf numFmtId="0" fontId="35" fillId="7" borderId="132" applyNumberFormat="0" applyAlignment="0" applyProtection="0"/>
    <xf numFmtId="0" fontId="35" fillId="7" borderId="132" applyNumberForma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6" fillId="0" borderId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24" fillId="27" borderId="121" applyNumberFormat="0" applyFont="0" applyAlignment="0" applyProtection="0"/>
    <xf numFmtId="193" fontId="45" fillId="28" borderId="121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0" fontId="39" fillId="20" borderId="122" applyNumberForma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0" fontId="24" fillId="27" borderId="133" applyNumberFormat="0" applyFont="0" applyAlignment="0" applyProtection="0"/>
    <xf numFmtId="0" fontId="24" fillId="27" borderId="133" applyNumberFormat="0" applyFont="0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6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39" fillId="20" borderId="128" applyNumberFormat="0" applyAlignment="0" applyProtection="0"/>
    <xf numFmtId="0" fontId="24" fillId="27" borderId="127" applyNumberFormat="0" applyFont="0" applyAlignment="0" applyProtection="0"/>
    <xf numFmtId="0" fontId="90" fillId="0" borderId="125"/>
    <xf numFmtId="0" fontId="6" fillId="0" borderId="0"/>
    <xf numFmtId="0" fontId="28" fillId="20" borderId="12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18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18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24" fillId="27" borderId="115" applyNumberFormat="0" applyFont="0" applyAlignment="0" applyProtection="0"/>
    <xf numFmtId="193" fontId="45" fillId="28" borderId="115" applyAlignment="0" applyProtection="0"/>
    <xf numFmtId="193" fontId="45" fillId="28" borderId="115" applyAlignment="0" applyProtection="0"/>
    <xf numFmtId="0" fontId="24" fillId="27" borderId="115" applyNumberFormat="0" applyFon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39" fillId="20" borderId="116" applyNumberFormat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0" fontId="41" fillId="0" borderId="123" applyNumberFormat="0" applyFill="0" applyAlignment="0" applyProtection="0"/>
    <xf numFmtId="193" fontId="45" fillId="28" borderId="133" applyAlignment="0" applyProtection="0"/>
    <xf numFmtId="193" fontId="45" fillId="28" borderId="133" applyAlignment="0" applyProtection="0"/>
    <xf numFmtId="0" fontId="90" fillId="0" borderId="118"/>
    <xf numFmtId="0" fontId="90" fillId="0" borderId="118"/>
    <xf numFmtId="0" fontId="18" fillId="27" borderId="133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0" fontId="35" fillId="7" borderId="120" applyNumberFormat="0" applyAlignment="0" applyProtection="0"/>
    <xf numFmtId="0" fontId="41" fillId="0" borderId="123" applyNumberFormat="0" applyFill="0" applyAlignment="0" applyProtection="0"/>
    <xf numFmtId="0" fontId="28" fillId="20" borderId="132" applyNumberFormat="0" applyAlignment="0" applyProtection="0"/>
    <xf numFmtId="0" fontId="35" fillId="7" borderId="103" applyNumberFormat="0" applyAlignment="0" applyProtection="0"/>
    <xf numFmtId="0" fontId="90" fillId="0" borderId="111"/>
    <xf numFmtId="0" fontId="24" fillId="27" borderId="133" applyNumberFormat="0" applyFont="0" applyAlignment="0" applyProtection="0"/>
    <xf numFmtId="193" fontId="45" fillId="28" borderId="121" applyAlignment="0" applyProtection="0"/>
    <xf numFmtId="193" fontId="45" fillId="28" borderId="121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24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18" fillId="27" borderId="121" applyNumberFormat="0" applyFont="0" applyAlignment="0" applyProtection="0"/>
    <xf numFmtId="0" fontId="39" fillId="20" borderId="122" applyNumberFormat="0" applyAlignment="0" applyProtection="0"/>
    <xf numFmtId="0" fontId="24" fillId="27" borderId="133" applyNumberFormat="0" applyFont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17" applyNumberFormat="0" applyFill="0" applyAlignment="0" applyProtection="0"/>
    <xf numFmtId="0" fontId="41" fillId="0" borderId="129" applyNumberFormat="0" applyFill="0" applyAlignment="0" applyProtection="0"/>
    <xf numFmtId="0" fontId="35" fillId="7" borderId="126" applyNumberFormat="0" applyAlignment="0" applyProtection="0"/>
    <xf numFmtId="0" fontId="41" fillId="0" borderId="123" applyNumberFormat="0" applyFill="0" applyAlignment="0" applyProtection="0"/>
    <xf numFmtId="0" fontId="18" fillId="27" borderId="133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6" fillId="0" borderId="0"/>
    <xf numFmtId="0" fontId="41" fillId="0" borderId="123" applyNumberFormat="0" applyFill="0" applyAlignment="0" applyProtection="0"/>
    <xf numFmtId="166" fontId="13" fillId="0" borderId="0" applyFont="0" applyFill="0" applyBorder="0" applyAlignment="0" applyProtection="0"/>
    <xf numFmtId="0" fontId="6" fillId="0" borderId="0"/>
    <xf numFmtId="165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18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24" fillId="27" borderId="127" applyNumberFormat="0" applyFont="0" applyAlignment="0" applyProtection="0"/>
    <xf numFmtId="193" fontId="45" fillId="28" borderId="127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39" fillId="20" borderId="128" applyNumberFormat="0" applyAlignment="0" applyProtection="0"/>
    <xf numFmtId="0" fontId="41" fillId="0" borderId="135" applyNumberFormat="0" applyFill="0" applyAlignment="0" applyProtection="0"/>
    <xf numFmtId="0" fontId="39" fillId="20" borderId="134" applyNumberFormat="0" applyAlignment="0" applyProtection="0"/>
    <xf numFmtId="0" fontId="24" fillId="27" borderId="133" applyNumberFormat="0" applyFont="0" applyAlignment="0" applyProtection="0"/>
    <xf numFmtId="0" fontId="90" fillId="0" borderId="131"/>
    <xf numFmtId="0" fontId="35" fillId="7" borderId="132" applyNumberFormat="0" applyAlignment="0" applyProtection="0"/>
    <xf numFmtId="0" fontId="28" fillId="20" borderId="132" applyNumberFormat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27" applyNumberFormat="0" applyFont="0" applyAlignment="0" applyProtection="0"/>
    <xf numFmtId="0" fontId="24" fillId="0" borderId="0"/>
    <xf numFmtId="0" fontId="24" fillId="27" borderId="12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41" fillId="0" borderId="129" applyNumberFormat="0" applyFill="0" applyAlignment="0" applyProtection="0"/>
    <xf numFmtId="0" fontId="24" fillId="0" borderId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18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24" fillId="27" borderId="133" applyNumberFormat="0" applyFont="0" applyAlignment="0" applyProtection="0"/>
    <xf numFmtId="193" fontId="45" fillId="28" borderId="133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39" fillId="20" borderId="134" applyNumberFormat="0" applyAlignment="0" applyProtection="0"/>
    <xf numFmtId="0" fontId="90" fillId="0" borderId="137"/>
    <xf numFmtId="0" fontId="35" fillId="7" borderId="132" applyNumberFormat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41" fillId="0" borderId="135" applyNumberFormat="0" applyFill="0" applyAlignment="0" applyProtection="0"/>
    <xf numFmtId="0" fontId="24" fillId="0" borderId="0"/>
    <xf numFmtId="0" fontId="179" fillId="0" borderId="0"/>
  </cellStyleXfs>
  <cellXfs count="692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49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77" xfId="2670" applyFont="1" applyFill="1" applyBorder="1" applyAlignment="1">
      <alignment horizontal="left" vertical="center"/>
    </xf>
    <xf numFmtId="0" fontId="162" fillId="39" borderId="78" xfId="2670" applyFont="1" applyFill="1" applyBorder="1" applyAlignment="1">
      <alignment horizontal="center" vertical="center"/>
    </xf>
    <xf numFmtId="0" fontId="162" fillId="39" borderId="80" xfId="2670" applyFont="1" applyFill="1" applyBorder="1" applyAlignment="1">
      <alignment horizontal="left" vertical="center"/>
    </xf>
    <xf numFmtId="0" fontId="162" fillId="39" borderId="76" xfId="2670" applyFont="1" applyFill="1" applyBorder="1" applyAlignment="1">
      <alignment horizontal="center" vertical="center"/>
    </xf>
    <xf numFmtId="0" fontId="162" fillId="39" borderId="82" xfId="2670" applyFont="1" applyFill="1" applyBorder="1" applyAlignment="1">
      <alignment horizontal="left" vertical="center"/>
    </xf>
    <xf numFmtId="0" fontId="162" fillId="39" borderId="83" xfId="2670" applyFont="1" applyFill="1" applyBorder="1" applyAlignment="1">
      <alignment horizontal="center" vertical="center"/>
    </xf>
    <xf numFmtId="43" fontId="143" fillId="40" borderId="79" xfId="2672" applyFont="1" applyFill="1" applyBorder="1" applyAlignment="1" applyProtection="1">
      <alignment horizontal="right" vertical="center" wrapText="1"/>
      <protection locked="0"/>
    </xf>
    <xf numFmtId="43" fontId="143" fillId="40" borderId="81" xfId="2672" applyFont="1" applyFill="1" applyBorder="1" applyAlignment="1" applyProtection="1">
      <alignment horizontal="right" vertical="center"/>
      <protection locked="0"/>
    </xf>
    <xf numFmtId="168" fontId="143" fillId="40" borderId="81" xfId="2672" applyNumberFormat="1" applyFont="1" applyFill="1" applyBorder="1" applyAlignment="1" applyProtection="1">
      <alignment horizontal="right" vertical="center"/>
      <protection locked="0"/>
    </xf>
    <xf numFmtId="168" fontId="143" fillId="40" borderId="84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0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0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88" xfId="2673" applyFont="1" applyFill="1" applyBorder="1" applyAlignment="1">
      <alignment vertical="center" wrapText="1"/>
    </xf>
    <xf numFmtId="0" fontId="149" fillId="43" borderId="88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8" fillId="0" borderId="56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2" xfId="2673" applyFont="1" applyFill="1" applyBorder="1" applyAlignment="1">
      <alignment vertical="center" wrapText="1"/>
    </xf>
    <xf numFmtId="0" fontId="109" fillId="0" borderId="62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5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46" fillId="0" borderId="20" xfId="1615" applyFont="1" applyBorder="1" applyAlignment="1">
      <alignment horizontal="center" vertical="center"/>
    </xf>
    <xf numFmtId="0" fontId="13" fillId="0" borderId="21" xfId="1614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118" fillId="0" borderId="0" xfId="2677" applyFont="1" applyAlignment="1">
      <alignment horizontal="center"/>
    </xf>
    <xf numFmtId="0" fontId="118" fillId="0" borderId="26" xfId="2677" applyFont="1" applyBorder="1" applyAlignment="1">
      <alignment horizontal="center"/>
    </xf>
    <xf numFmtId="0" fontId="118" fillId="0" borderId="36" xfId="2677" applyFont="1" applyBorder="1" applyAlignment="1">
      <alignment horizontal="center"/>
    </xf>
    <xf numFmtId="0" fontId="118" fillId="0" borderId="28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8" fillId="0" borderId="37" xfId="2677" applyFont="1" applyBorder="1" applyAlignment="1">
      <alignment horizontal="center"/>
    </xf>
    <xf numFmtId="0" fontId="177" fillId="0" borderId="0" xfId="2677" quotePrefix="1" applyFont="1" applyAlignment="1">
      <alignment horizontal="left" vertical="center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18" fillId="0" borderId="0" xfId="2677" applyFont="1" applyAlignment="1">
      <alignment horizontal="left"/>
    </xf>
    <xf numFmtId="0" fontId="120" fillId="0" borderId="28" xfId="2677" applyFont="1" applyBorder="1" applyAlignment="1">
      <alignment horizontal="center"/>
    </xf>
    <xf numFmtId="0" fontId="120" fillId="0" borderId="0" xfId="2677" applyFont="1" applyAlignment="1">
      <alignment horizontal="center"/>
    </xf>
    <xf numFmtId="0" fontId="118" fillId="0" borderId="138" xfId="2677" applyFont="1" applyBorder="1" applyAlignment="1">
      <alignment horizontal="center"/>
    </xf>
    <xf numFmtId="0" fontId="95" fillId="0" borderId="40" xfId="2677" applyFont="1" applyBorder="1" applyAlignment="1">
      <alignment horizontal="center" vertical="center"/>
    </xf>
    <xf numFmtId="0" fontId="95" fillId="0" borderId="47" xfId="2677" applyFont="1" applyBorder="1" applyAlignment="1">
      <alignment horizontal="center" vertical="center"/>
    </xf>
    <xf numFmtId="0" fontId="118" fillId="0" borderId="3" xfId="2677" applyFont="1" applyBorder="1" applyAlignment="1">
      <alignment horizontal="center" vertical="center"/>
    </xf>
    <xf numFmtId="0" fontId="118" fillId="0" borderId="39" xfId="2677" applyFont="1" applyBorder="1" applyAlignment="1">
      <alignment horizontal="center" vertical="center"/>
    </xf>
    <xf numFmtId="0" fontId="121" fillId="0" borderId="0" xfId="2677" applyFont="1" applyAlignment="1">
      <alignment horizontal="center"/>
    </xf>
    <xf numFmtId="0" fontId="95" fillId="0" borderId="144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18" fillId="0" borderId="3" xfId="2677" applyFont="1" applyBorder="1" applyAlignment="1">
      <alignment vertical="top" wrapText="1"/>
    </xf>
    <xf numFmtId="0" fontId="118" fillId="0" borderId="39" xfId="2677" applyFont="1" applyBorder="1" applyAlignment="1">
      <alignment vertical="top" wrapText="1"/>
    </xf>
    <xf numFmtId="0" fontId="122" fillId="0" borderId="66" xfId="2677" applyFont="1" applyBorder="1" applyAlignment="1">
      <alignment horizontal="center" vertical="center"/>
    </xf>
    <xf numFmtId="0" fontId="122" fillId="0" borderId="67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123" fillId="0" borderId="68" xfId="2677" applyFont="1" applyBorder="1" applyAlignment="1">
      <alignment horizontal="center" vertical="top" wrapText="1"/>
    </xf>
    <xf numFmtId="0" fontId="123" fillId="0" borderId="69" xfId="2677" applyFont="1" applyBorder="1" applyAlignment="1">
      <alignment horizontal="center" vertical="top" wrapText="1"/>
    </xf>
    <xf numFmtId="0" fontId="118" fillId="0" borderId="0" xfId="2677" applyFont="1" applyAlignment="1">
      <alignment vertical="top" wrapText="1"/>
    </xf>
    <xf numFmtId="0" fontId="118" fillId="0" borderId="37" xfId="2677" applyFont="1" applyBorder="1" applyAlignment="1">
      <alignment vertical="top" wrapText="1"/>
    </xf>
    <xf numFmtId="0" fontId="118" fillId="0" borderId="42" xfId="2677" applyFont="1" applyBorder="1" applyAlignment="1">
      <alignment horizontal="center"/>
    </xf>
    <xf numFmtId="0" fontId="118" fillId="0" borderId="43" xfId="2677" applyFont="1" applyBorder="1" applyAlignment="1">
      <alignment vertical="top" wrapText="1"/>
    </xf>
    <xf numFmtId="0" fontId="118" fillId="0" borderId="44" xfId="2677" applyFont="1" applyBorder="1" applyAlignment="1">
      <alignment vertical="top" wrapText="1"/>
    </xf>
    <xf numFmtId="0" fontId="118" fillId="0" borderId="45" xfId="2677" applyFont="1" applyBorder="1" applyAlignment="1">
      <alignment vertical="top" wrapText="1"/>
    </xf>
    <xf numFmtId="0" fontId="123" fillId="0" borderId="28" xfId="2677" applyFont="1" applyBorder="1" applyAlignment="1">
      <alignment horizontal="center"/>
    </xf>
    <xf numFmtId="0" fontId="123" fillId="0" borderId="0" xfId="2677" applyFont="1" applyAlignment="1">
      <alignment horizontal="center"/>
    </xf>
    <xf numFmtId="20" fontId="118" fillId="0" borderId="39" xfId="2677" applyNumberFormat="1" applyFont="1" applyBorder="1" applyAlignment="1">
      <alignment horizontal="center"/>
    </xf>
    <xf numFmtId="0" fontId="118" fillId="0" borderId="42" xfId="2677" applyFont="1" applyBorder="1" applyAlignment="1">
      <alignment horizontal="center" vertical="center" wrapText="1"/>
    </xf>
    <xf numFmtId="0" fontId="123" fillId="0" borderId="34" xfId="2677" applyFont="1" applyBorder="1" applyAlignment="1">
      <alignment horizontal="center"/>
    </xf>
    <xf numFmtId="0" fontId="123" fillId="0" borderId="19" xfId="2677" applyFont="1" applyBorder="1" applyAlignment="1">
      <alignment horizontal="center"/>
    </xf>
    <xf numFmtId="0" fontId="118" fillId="0" borderId="19" xfId="2677" applyFont="1" applyBorder="1" applyAlignment="1">
      <alignment horizontal="center"/>
    </xf>
    <xf numFmtId="0" fontId="118" fillId="0" borderId="46" xfId="2677" applyFont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4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5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5" fillId="0" borderId="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66" fillId="42" borderId="85" xfId="2673" applyFont="1" applyFill="1" applyBorder="1" applyAlignment="1">
      <alignment horizontal="center" vertical="center" wrapText="1"/>
    </xf>
    <xf numFmtId="0" fontId="166" fillId="42" borderId="86" xfId="2673" applyFont="1" applyFill="1" applyBorder="1" applyAlignment="1">
      <alignment horizontal="center" vertical="center" wrapText="1"/>
    </xf>
    <xf numFmtId="0" fontId="166" fillId="42" borderId="87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6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6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6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8" fillId="43" borderId="60" xfId="2673" applyNumberFormat="1" applyFont="1" applyFill="1" applyBorder="1" applyAlignment="1">
      <alignment horizontal="center" vertical="center" wrapText="1"/>
    </xf>
    <xf numFmtId="2" fontId="138" fillId="43" borderId="8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6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9" fontId="138" fillId="35" borderId="62" xfId="2675" applyFont="1" applyFill="1" applyBorder="1" applyAlignment="1">
      <alignment horizontal="center" vertical="center" wrapText="1"/>
    </xf>
    <xf numFmtId="9" fontId="138" fillId="35" borderId="63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1" fillId="0" borderId="90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1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6" xfId="2673" applyFont="1" applyFill="1" applyBorder="1" applyAlignment="1">
      <alignment horizontal="center" vertical="center" wrapText="1"/>
    </xf>
    <xf numFmtId="2" fontId="138" fillId="35" borderId="60" xfId="2673" applyNumberFormat="1" applyFont="1" applyFill="1" applyBorder="1" applyAlignment="1">
      <alignment horizontal="center" vertical="center" wrapText="1"/>
    </xf>
    <xf numFmtId="2" fontId="138" fillId="35" borderId="89" xfId="2673" applyNumberFormat="1" applyFont="1" applyFill="1" applyBorder="1" applyAlignment="1">
      <alignment horizontal="center" vertical="center" wrapText="1"/>
    </xf>
    <xf numFmtId="0" fontId="166" fillId="41" borderId="85" xfId="2673" applyFont="1" applyFill="1" applyBorder="1" applyAlignment="1">
      <alignment horizontal="center" vertical="center" wrapText="1"/>
    </xf>
    <xf numFmtId="0" fontId="166" fillId="41" borderId="86" xfId="2673" applyFont="1" applyFill="1" applyBorder="1" applyAlignment="1">
      <alignment horizontal="center" vertical="center" wrapText="1"/>
    </xf>
    <xf numFmtId="0" fontId="166" fillId="41" borderId="87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6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6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8" fillId="0" borderId="62" xfId="2675" applyFont="1" applyFill="1" applyBorder="1" applyAlignment="1">
      <alignment horizontal="center" vertical="center" wrapText="1"/>
    </xf>
    <xf numFmtId="9" fontId="138" fillId="0" borderId="63" xfId="2675" applyFont="1" applyFill="1" applyBorder="1" applyAlignment="1">
      <alignment horizontal="center" vertical="center" wrapText="1"/>
    </xf>
    <xf numFmtId="0" fontId="12" fillId="34" borderId="74" xfId="2670" applyFill="1" applyBorder="1" applyAlignment="1">
      <alignment horizontal="center" vertical="center"/>
    </xf>
    <xf numFmtId="0" fontId="141" fillId="0" borderId="75" xfId="2670" applyFont="1" applyBorder="1" applyAlignment="1">
      <alignment horizontal="left" vertical="center"/>
    </xf>
    <xf numFmtId="0" fontId="115" fillId="38" borderId="3" xfId="1538" applyFill="1" applyBorder="1" applyAlignment="1">
      <alignment horizontal="center" vertical="center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 wrapText="1"/>
    </xf>
    <xf numFmtId="0" fontId="55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8" fillId="0" borderId="3" xfId="2677" applyFont="1" applyBorder="1" applyAlignment="1">
      <alignment horizontal="center"/>
    </xf>
    <xf numFmtId="0" fontId="118" fillId="0" borderId="39" xfId="2677" applyFont="1" applyBorder="1" applyAlignment="1">
      <alignment horizontal="center"/>
    </xf>
    <xf numFmtId="0" fontId="134" fillId="0" borderId="55" xfId="2677" applyFont="1" applyBorder="1" applyAlignment="1">
      <alignment horizontal="center" vertical="center"/>
    </xf>
    <xf numFmtId="0" fontId="134" fillId="0" borderId="36" xfId="2677" applyFont="1" applyBorder="1" applyAlignment="1">
      <alignment horizontal="center" vertical="center"/>
    </xf>
    <xf numFmtId="0" fontId="134" fillId="0" borderId="48" xfId="2677" applyFont="1" applyBorder="1" applyAlignment="1">
      <alignment horizontal="center" vertical="center"/>
    </xf>
    <xf numFmtId="0" fontId="134" fillId="0" borderId="43" xfId="2677" applyFont="1" applyBorder="1" applyAlignment="1">
      <alignment horizontal="center" vertical="center"/>
    </xf>
    <xf numFmtId="0" fontId="134" fillId="0" borderId="44" xfId="2677" applyFont="1" applyBorder="1" applyAlignment="1">
      <alignment horizontal="center" vertical="center"/>
    </xf>
    <xf numFmtId="0" fontId="134" fillId="0" borderId="45" xfId="2677" applyFont="1" applyBorder="1" applyAlignment="1">
      <alignment horizontal="center" vertical="center"/>
    </xf>
    <xf numFmtId="0" fontId="118" fillId="0" borderId="139" xfId="2677" applyFont="1" applyBorder="1" applyAlignment="1">
      <alignment horizontal="center"/>
    </xf>
    <xf numFmtId="0" fontId="118" fillId="0" borderId="140" xfId="2677" applyFont="1" applyBorder="1" applyAlignment="1">
      <alignment horizontal="center"/>
    </xf>
    <xf numFmtId="0" fontId="119" fillId="0" borderId="18" xfId="2677" applyFont="1" applyBorder="1" applyAlignment="1">
      <alignment horizontal="left"/>
    </xf>
    <xf numFmtId="0" fontId="119" fillId="0" borderId="0" xfId="2677" applyFont="1" applyAlignment="1">
      <alignment horizontal="left"/>
    </xf>
    <xf numFmtId="0" fontId="119" fillId="0" borderId="37" xfId="2677" applyFont="1" applyBorder="1" applyAlignment="1">
      <alignment horizontal="left"/>
    </xf>
    <xf numFmtId="0" fontId="135" fillId="0" borderId="50" xfId="2677" applyFont="1" applyBorder="1" applyAlignment="1">
      <alignment horizontal="center" vertical="center"/>
    </xf>
    <xf numFmtId="0" fontId="135" fillId="0" borderId="7" xfId="2677" applyFont="1" applyBorder="1" applyAlignment="1">
      <alignment horizontal="center" vertical="center"/>
    </xf>
    <xf numFmtId="0" fontId="135" fillId="0" borderId="41" xfId="2677" applyFont="1" applyBorder="1" applyAlignment="1">
      <alignment horizontal="center" vertical="center"/>
    </xf>
    <xf numFmtId="0" fontId="119" fillId="0" borderId="50" xfId="2677" applyFont="1" applyBorder="1" applyAlignment="1">
      <alignment horizontal="center" vertical="center"/>
    </xf>
    <xf numFmtId="0" fontId="119" fillId="0" borderId="7" xfId="2677" applyFont="1" applyBorder="1" applyAlignment="1">
      <alignment horizontal="center" vertical="center"/>
    </xf>
    <xf numFmtId="0" fontId="119" fillId="0" borderId="56" xfId="2677" applyFont="1" applyBorder="1" applyAlignment="1">
      <alignment horizontal="center" vertical="center"/>
    </xf>
    <xf numFmtId="0" fontId="95" fillId="0" borderId="57" xfId="2677" applyFont="1" applyBorder="1" applyAlignment="1">
      <alignment horizontal="center" vertical="center"/>
    </xf>
    <xf numFmtId="0" fontId="95" fillId="0" borderId="40" xfId="2677" applyFont="1" applyBorder="1" applyAlignment="1">
      <alignment horizontal="center" vertical="center"/>
    </xf>
    <xf numFmtId="49" fontId="118" fillId="0" borderId="50" xfId="2677" applyNumberFormat="1" applyFont="1" applyBorder="1" applyAlignment="1">
      <alignment horizontal="center" vertical="center"/>
    </xf>
    <xf numFmtId="49" fontId="118" fillId="0" borderId="41" xfId="2677" applyNumberFormat="1" applyFont="1" applyBorder="1" applyAlignment="1">
      <alignment horizontal="center" vertical="center"/>
    </xf>
    <xf numFmtId="49" fontId="178" fillId="0" borderId="57" xfId="2677" applyNumberFormat="1" applyFont="1" applyBorder="1" applyAlignment="1">
      <alignment horizontal="left" vertical="center"/>
    </xf>
    <xf numFmtId="49" fontId="178" fillId="0" borderId="40" xfId="2677" applyNumberFormat="1" applyFont="1" applyBorder="1" applyAlignment="1">
      <alignment horizontal="left" vertical="center"/>
    </xf>
    <xf numFmtId="49" fontId="136" fillId="0" borderId="57" xfId="2677" applyNumberFormat="1" applyFont="1" applyBorder="1" applyAlignment="1">
      <alignment horizontal="center" vertical="center"/>
    </xf>
    <xf numFmtId="49" fontId="136" fillId="0" borderId="40" xfId="2677" applyNumberFormat="1" applyFont="1" applyBorder="1" applyAlignment="1">
      <alignment horizontal="center" vertical="center"/>
    </xf>
    <xf numFmtId="0" fontId="95" fillId="0" borderId="57" xfId="2677" applyFont="1" applyBorder="1" applyAlignment="1">
      <alignment horizontal="left" vertical="center"/>
    </xf>
    <xf numFmtId="0" fontId="95" fillId="0" borderId="40" xfId="2677" applyFont="1" applyBorder="1" applyAlignment="1">
      <alignment horizontal="left" vertical="center"/>
    </xf>
    <xf numFmtId="0" fontId="95" fillId="0" borderId="58" xfId="2677" applyFont="1" applyBorder="1" applyAlignment="1">
      <alignment horizontal="left" vertical="center"/>
    </xf>
    <xf numFmtId="0" fontId="95" fillId="0" borderId="141" xfId="2677" applyFont="1" applyBorder="1" applyAlignment="1">
      <alignment horizontal="left" vertical="center"/>
    </xf>
    <xf numFmtId="0" fontId="136" fillId="0" borderId="58" xfId="2677" applyFont="1" applyBorder="1" applyAlignment="1">
      <alignment horizontal="center" vertical="center"/>
    </xf>
    <xf numFmtId="0" fontId="136" fillId="0" borderId="59" xfId="2677" applyFont="1" applyBorder="1" applyAlignment="1">
      <alignment horizontal="center" vertical="center"/>
    </xf>
    <xf numFmtId="0" fontId="95" fillId="0" borderId="58" xfId="2677" applyFont="1" applyBorder="1" applyAlignment="1">
      <alignment horizontal="center" vertical="center"/>
    </xf>
    <xf numFmtId="0" fontId="95" fillId="0" borderId="141" xfId="2677" applyFont="1" applyBorder="1" applyAlignment="1">
      <alignment horizontal="center" vertical="center"/>
    </xf>
    <xf numFmtId="49" fontId="95" fillId="0" borderId="57" xfId="2677" applyNumberFormat="1" applyFont="1" applyBorder="1" applyAlignment="1">
      <alignment horizontal="center" vertical="center"/>
    </xf>
    <xf numFmtId="49" fontId="95" fillId="0" borderId="40" xfId="2677" applyNumberFormat="1" applyFont="1" applyBorder="1" applyAlignment="1">
      <alignment horizontal="center" vertical="center"/>
    </xf>
    <xf numFmtId="0" fontId="123" fillId="0" borderId="70" xfId="2677" applyFont="1" applyBorder="1" applyAlignment="1">
      <alignment horizontal="center" vertical="center"/>
    </xf>
    <xf numFmtId="0" fontId="123" fillId="0" borderId="145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top" wrapText="1"/>
    </xf>
    <xf numFmtId="49" fontId="118" fillId="0" borderId="41" xfId="2677" applyNumberFormat="1" applyFont="1" applyBorder="1" applyAlignment="1">
      <alignment horizontal="center" vertical="top" wrapText="1"/>
    </xf>
    <xf numFmtId="0" fontId="122" fillId="0" borderId="70" xfId="2677" applyFont="1" applyBorder="1" applyAlignment="1">
      <alignment horizontal="center" vertical="center"/>
    </xf>
    <xf numFmtId="0" fontId="122" fillId="0" borderId="71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top" wrapText="1"/>
    </xf>
    <xf numFmtId="0" fontId="118" fillId="0" borderId="41" xfId="2677" applyFont="1" applyBorder="1" applyAlignment="1">
      <alignment horizontal="center" vertical="top" wrapText="1"/>
    </xf>
    <xf numFmtId="0" fontId="95" fillId="0" borderId="142" xfId="2677" applyFont="1" applyBorder="1" applyAlignment="1">
      <alignment horizontal="center" vertical="center"/>
    </xf>
    <xf numFmtId="0" fontId="95" fillId="0" borderId="143" xfId="2677" applyFont="1" applyBorder="1" applyAlignment="1">
      <alignment horizontal="center" vertical="center"/>
    </xf>
    <xf numFmtId="49" fontId="118" fillId="0" borderId="7" xfId="2677" applyNumberFormat="1" applyFont="1" applyBorder="1" applyAlignment="1">
      <alignment horizontal="center" vertical="center"/>
    </xf>
    <xf numFmtId="0" fontId="118" fillId="0" borderId="7" xfId="2677" applyFont="1" applyBorder="1" applyAlignment="1">
      <alignment horizontal="center"/>
    </xf>
    <xf numFmtId="0" fontId="118" fillId="0" borderId="41" xfId="2677" applyFont="1" applyBorder="1" applyAlignment="1">
      <alignment horizontal="center"/>
    </xf>
    <xf numFmtId="15" fontId="118" fillId="0" borderId="3" xfId="2677" applyNumberFormat="1" applyFont="1" applyBorder="1" applyAlignment="1">
      <alignment horizontal="center"/>
    </xf>
    <xf numFmtId="0" fontId="118" fillId="0" borderId="139" xfId="2677" applyFont="1" applyBorder="1" applyAlignment="1">
      <alignment horizontal="center" vertical="center"/>
    </xf>
    <xf numFmtId="0" fontId="118" fillId="0" borderId="140" xfId="2677" applyFont="1" applyBorder="1" applyAlignment="1">
      <alignment horizontal="center" vertical="center"/>
    </xf>
    <xf numFmtId="0" fontId="118" fillId="0" borderId="0" xfId="2677" applyFont="1" applyAlignment="1">
      <alignment horizontal="center" vertical="center" wrapText="1"/>
    </xf>
    <xf numFmtId="0" fontId="118" fillId="0" borderId="37" xfId="2677" applyFont="1" applyBorder="1" applyAlignment="1">
      <alignment horizontal="center" vertical="center" wrapText="1"/>
    </xf>
    <xf numFmtId="0" fontId="118" fillId="0" borderId="44" xfId="2677" applyFont="1" applyBorder="1" applyAlignment="1">
      <alignment horizontal="center" vertical="center" wrapText="1"/>
    </xf>
    <xf numFmtId="0" fontId="118" fillId="0" borderId="45" xfId="2677" applyFont="1" applyBorder="1" applyAlignment="1">
      <alignment horizontal="center" vertical="center" wrapText="1"/>
    </xf>
    <xf numFmtId="0" fontId="123" fillId="0" borderId="72" xfId="2677" applyFont="1" applyBorder="1" applyAlignment="1">
      <alignment horizontal="center" vertical="center" wrapText="1"/>
    </xf>
    <xf numFmtId="0" fontId="123" fillId="0" borderId="73" xfId="2677" applyFont="1" applyBorder="1" applyAlignment="1">
      <alignment horizontal="center" vertical="center" wrapText="1"/>
    </xf>
    <xf numFmtId="0" fontId="119" fillId="0" borderId="18" xfId="2677" applyFont="1" applyBorder="1" applyAlignment="1">
      <alignment horizontal="left" vertical="top" wrapText="1"/>
    </xf>
    <xf numFmtId="0" fontId="119" fillId="0" borderId="0" xfId="2677" applyFont="1" applyAlignment="1">
      <alignment horizontal="left" vertical="top" wrapText="1"/>
    </xf>
    <xf numFmtId="0" fontId="118" fillId="0" borderId="60" xfId="2677" applyFont="1" applyBorder="1" applyAlignment="1">
      <alignment horizontal="center"/>
    </xf>
    <xf numFmtId="0" fontId="118" fillId="0" borderId="61" xfId="2677" applyFont="1" applyBorder="1" applyAlignment="1">
      <alignment horizontal="center"/>
    </xf>
    <xf numFmtId="0" fontId="118" fillId="0" borderId="62" xfId="2677" applyFont="1" applyBorder="1" applyAlignment="1">
      <alignment horizontal="center"/>
    </xf>
    <xf numFmtId="0" fontId="118" fillId="0" borderId="63" xfId="2677" applyFont="1" applyBorder="1" applyAlignment="1">
      <alignment horizontal="center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theme" Target="theme/theme1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42</xdr:row>
      <xdr:rowOff>81642</xdr:rowOff>
    </xdr:from>
    <xdr:to>
      <xdr:col>10</xdr:col>
      <xdr:colOff>1391926</xdr:colOff>
      <xdr:row>45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44720</xdr:colOff>
      <xdr:row>19</xdr:row>
      <xdr:rowOff>120767</xdr:rowOff>
    </xdr:from>
    <xdr:to>
      <xdr:col>11</xdr:col>
      <xdr:colOff>51288</xdr:colOff>
      <xdr:row>39</xdr:row>
      <xdr:rowOff>152096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V="1">
          <a:off x="3949970" y="3073517"/>
          <a:ext cx="6568" cy="3123291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322158</xdr:colOff>
      <xdr:row>29</xdr:row>
      <xdr:rowOff>79216</xdr:rowOff>
    </xdr:from>
    <xdr:to>
      <xdr:col>12</xdr:col>
      <xdr:colOff>92713</xdr:colOff>
      <xdr:row>30</xdr:row>
      <xdr:rowOff>62572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227408" y="4570620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327363</xdr:colOff>
      <xdr:row>22</xdr:row>
      <xdr:rowOff>130227</xdr:rowOff>
    </xdr:from>
    <xdr:to>
      <xdr:col>12</xdr:col>
      <xdr:colOff>97918</xdr:colOff>
      <xdr:row>23</xdr:row>
      <xdr:rowOff>113582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232613" y="3544573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316896</xdr:colOff>
      <xdr:row>36</xdr:row>
      <xdr:rowOff>123137</xdr:rowOff>
    </xdr:from>
    <xdr:to>
      <xdr:col>12</xdr:col>
      <xdr:colOff>87451</xdr:colOff>
      <xdr:row>37</xdr:row>
      <xdr:rowOff>93354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4222146" y="5691599"/>
          <a:ext cx="151555" cy="1314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0</xdr:colOff>
      <xdr:row>20</xdr:row>
      <xdr:rowOff>95251</xdr:rowOff>
    </xdr:from>
    <xdr:to>
      <xdr:col>12</xdr:col>
      <xdr:colOff>14654</xdr:colOff>
      <xdr:row>39</xdr:row>
      <xdr:rowOff>21981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336C282E-43E5-4E62-A809-A1878236CF4F}"/>
            </a:ext>
          </a:extLst>
        </xdr:cNvPr>
        <xdr:cNvCxnSpPr/>
      </xdr:nvCxnSpPr>
      <xdr:spPr>
        <a:xfrm flipH="1">
          <a:off x="4286250" y="3201866"/>
          <a:ext cx="14654" cy="28648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5</xdr:row>
      <xdr:rowOff>36635</xdr:rowOff>
    </xdr:from>
    <xdr:to>
      <xdr:col>28</xdr:col>
      <xdr:colOff>344373</xdr:colOff>
      <xdr:row>16</xdr:row>
      <xdr:rowOff>126763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18676824-2028-4F06-A721-9724541EE77F}"/>
            </a:ext>
          </a:extLst>
        </xdr:cNvPr>
        <xdr:cNvGrpSpPr/>
      </xdr:nvGrpSpPr>
      <xdr:grpSpPr>
        <a:xfrm>
          <a:off x="9275885" y="827943"/>
          <a:ext cx="1487373" cy="1789974"/>
          <a:chOff x="9713886" y="808452"/>
          <a:chExt cx="1342558" cy="1766630"/>
        </a:xfrm>
      </xdr:grpSpPr>
      <xdr:grpSp>
        <xdr:nvGrpSpPr>
          <xdr:cNvPr id="49" name="Group 13">
            <a:extLst>
              <a:ext uri="{FF2B5EF4-FFF2-40B4-BE49-F238E27FC236}">
                <a16:creationId xmlns:a16="http://schemas.microsoft.com/office/drawing/2014/main" id="{0DD96057-E3F2-76A6-2DC4-AB49FB34D793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08" name="Oval 1">
              <a:extLst>
                <a:ext uri="{FF2B5EF4-FFF2-40B4-BE49-F238E27FC236}">
                  <a16:creationId xmlns:a16="http://schemas.microsoft.com/office/drawing/2014/main" id="{2291B6B9-6161-C877-D4AD-6E0D572F0829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9" name="Straight Connector 3">
              <a:extLst>
                <a:ext uri="{FF2B5EF4-FFF2-40B4-BE49-F238E27FC236}">
                  <a16:creationId xmlns:a16="http://schemas.microsoft.com/office/drawing/2014/main" id="{CFBF4320-9FA1-D4C7-D764-E9B77FEF9FC7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0" name="Straight Connector 7">
              <a:extLst>
                <a:ext uri="{FF2B5EF4-FFF2-40B4-BE49-F238E27FC236}">
                  <a16:creationId xmlns:a16="http://schemas.microsoft.com/office/drawing/2014/main" id="{8DB705E1-CE32-7ECD-CCC1-6806D5A19D3B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" name="Oval 49">
            <a:extLst>
              <a:ext uri="{FF2B5EF4-FFF2-40B4-BE49-F238E27FC236}">
                <a16:creationId xmlns:a16="http://schemas.microsoft.com/office/drawing/2014/main" id="{787FFBF9-1947-BABE-B8CA-24EC6152026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17DC3B29-E72D-5C7E-69EF-6C0F3B56E8B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05" name="Oval 104">
              <a:extLst>
                <a:ext uri="{FF2B5EF4-FFF2-40B4-BE49-F238E27FC236}">
                  <a16:creationId xmlns:a16="http://schemas.microsoft.com/office/drawing/2014/main" id="{96FA88B6-84D9-32C4-4EBA-FDFDBD1985B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06" name="Straight Connector 105">
              <a:extLst>
                <a:ext uri="{FF2B5EF4-FFF2-40B4-BE49-F238E27FC236}">
                  <a16:creationId xmlns:a16="http://schemas.microsoft.com/office/drawing/2014/main" id="{766D7C62-9080-786B-72D1-C8EB08CDF218}"/>
                </a:ext>
              </a:extLst>
            </xdr:cNvPr>
            <xdr:cNvCxnSpPr>
              <a:stCxn id="105" idx="1"/>
              <a:endCxn id="10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7" name="Straight Connector 106">
              <a:extLst>
                <a:ext uri="{FF2B5EF4-FFF2-40B4-BE49-F238E27FC236}">
                  <a16:creationId xmlns:a16="http://schemas.microsoft.com/office/drawing/2014/main" id="{554B56B5-99B7-3A0F-2784-A9F3205361E5}"/>
                </a:ext>
              </a:extLst>
            </xdr:cNvPr>
            <xdr:cNvCxnSpPr>
              <a:stCxn id="105" idx="3"/>
              <a:endCxn id="10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EECD387A-138B-A6E9-E6D6-FA7F0EE195D3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3EDD4B3-9FDB-9674-E9A6-F45025C785F3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2B9513E-419D-25A9-CA40-76C77E9CC05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D3575D6-50E0-8ACE-5E5A-3474320AF33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D238D959-8CA4-A5AA-7ABC-D5178F9111E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53EB230-B55F-6191-C7EE-553346AA5891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3946015E-7AB3-AD4B-F7B1-08140F8D31D6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A603AB33-3563-AE3A-BDDC-D44A00643C3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92FB8817-39FE-6056-161F-E6A07EBDE8F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ABC41868-69EE-5C33-1640-63F25F43A49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8DA8E4B6-68D0-56F2-FDEC-47BE76B900A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789289D2-F69B-ADEB-AAB3-45995090B973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9CF150DE-CBB2-1CD5-33E6-28BDDE01C35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50">
            <a:extLst>
              <a:ext uri="{FF2B5EF4-FFF2-40B4-BE49-F238E27FC236}">
                <a16:creationId xmlns:a16="http://schemas.microsoft.com/office/drawing/2014/main" id="{73050A76-CC6A-04D2-F552-18B891A41FB2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352F64C9-E68B-69A7-BFBE-BC5C7AB6AFF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52">
            <a:extLst>
              <a:ext uri="{FF2B5EF4-FFF2-40B4-BE49-F238E27FC236}">
                <a16:creationId xmlns:a16="http://schemas.microsoft.com/office/drawing/2014/main" id="{8F086238-D807-8F54-4328-6E5BE664AC4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AB047F25-3BCA-CB0C-0D10-D326B59529C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09088A26-D876-7F4B-3200-B6334E9F1F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FB8EA511-0044-0CD9-65B4-995D429CFAB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6180AF13-3B09-B24E-CE05-34B31CBF57A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745867E9-4930-11FC-1705-B31EF5D497D3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DBB5EDB9-4D59-5C9B-3AE1-12717F89375E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82F48C7-FDEA-779F-43B8-D5BE056D4E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Isosceles Triangle 74">
            <a:extLst>
              <a:ext uri="{FF2B5EF4-FFF2-40B4-BE49-F238E27FC236}">
                <a16:creationId xmlns:a16="http://schemas.microsoft.com/office/drawing/2014/main" id="{78B1D864-A634-45E4-91EB-F42588D4A6D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" name="Isosceles Triangle 75">
            <a:extLst>
              <a:ext uri="{FF2B5EF4-FFF2-40B4-BE49-F238E27FC236}">
                <a16:creationId xmlns:a16="http://schemas.microsoft.com/office/drawing/2014/main" id="{9860F64A-EFE5-49F6-5E49-D66EBF75F6F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7" name="Group 73">
            <a:extLst>
              <a:ext uri="{FF2B5EF4-FFF2-40B4-BE49-F238E27FC236}">
                <a16:creationId xmlns:a16="http://schemas.microsoft.com/office/drawing/2014/main" id="{579DA2B0-1313-EF4C-5CD5-E6C6B5D40857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03" name="TextBox 102">
              <a:extLst>
                <a:ext uri="{FF2B5EF4-FFF2-40B4-BE49-F238E27FC236}">
                  <a16:creationId xmlns:a16="http://schemas.microsoft.com/office/drawing/2014/main" id="{7F9BF294-7145-9682-221A-020B061B2DB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04" name="Straight Connector 103">
              <a:extLst>
                <a:ext uri="{FF2B5EF4-FFF2-40B4-BE49-F238E27FC236}">
                  <a16:creationId xmlns:a16="http://schemas.microsoft.com/office/drawing/2014/main" id="{FE2BBCF0-F46F-BDE1-0455-4BD8F9FE87F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8" name="Group 74">
            <a:extLst>
              <a:ext uri="{FF2B5EF4-FFF2-40B4-BE49-F238E27FC236}">
                <a16:creationId xmlns:a16="http://schemas.microsoft.com/office/drawing/2014/main" id="{EEE2D371-7FA0-1637-BDC7-A46126227B1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01" name="TextBox 100">
              <a:extLst>
                <a:ext uri="{FF2B5EF4-FFF2-40B4-BE49-F238E27FC236}">
                  <a16:creationId xmlns:a16="http://schemas.microsoft.com/office/drawing/2014/main" id="{A0C7DA67-2C05-1F16-EBC2-1569410D344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02" name="Straight Connector 101">
              <a:extLst>
                <a:ext uri="{FF2B5EF4-FFF2-40B4-BE49-F238E27FC236}">
                  <a16:creationId xmlns:a16="http://schemas.microsoft.com/office/drawing/2014/main" id="{31DE4410-866B-430C-65D3-11B9595CD92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9" name="Group 89">
            <a:extLst>
              <a:ext uri="{FF2B5EF4-FFF2-40B4-BE49-F238E27FC236}">
                <a16:creationId xmlns:a16="http://schemas.microsoft.com/office/drawing/2014/main" id="{ED0A960A-07C9-5186-A057-AE1A2627812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412C1E39-EF30-E50F-E60A-45308F0C120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79">
              <a:extLst>
                <a:ext uri="{FF2B5EF4-FFF2-40B4-BE49-F238E27FC236}">
                  <a16:creationId xmlns:a16="http://schemas.microsoft.com/office/drawing/2014/main" id="{C548A81A-519B-1F82-BE4C-0F1548BA2029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80">
              <a:extLst>
                <a:ext uri="{FF2B5EF4-FFF2-40B4-BE49-F238E27FC236}">
                  <a16:creationId xmlns:a16="http://schemas.microsoft.com/office/drawing/2014/main" id="{846821EC-CF88-7E2B-8427-561DDEBFB3D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Connector 88">
              <a:extLst>
                <a:ext uri="{FF2B5EF4-FFF2-40B4-BE49-F238E27FC236}">
                  <a16:creationId xmlns:a16="http://schemas.microsoft.com/office/drawing/2014/main" id="{11EB2398-8D3F-2A31-DADC-33FB76E40AF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0" name="Group 90">
            <a:extLst>
              <a:ext uri="{FF2B5EF4-FFF2-40B4-BE49-F238E27FC236}">
                <a16:creationId xmlns:a16="http://schemas.microsoft.com/office/drawing/2014/main" id="{4CE09CA2-25F6-ACA5-BAAF-360EB975F7F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FFF28F33-6256-81A9-C3E0-96C247057EF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F334180F-21B3-4451-3092-EE6C947A598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EA619D2E-E141-4DEC-ED79-6C8EE2906C7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68310C22-42AF-B84D-CA70-C54E3465FE2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8933131B-FFDD-DF6C-69D2-71AD91A0B22D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34A40EB3-BCD6-B840-3366-406F005C552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Arrow Connector 82">
            <a:extLst>
              <a:ext uri="{FF2B5EF4-FFF2-40B4-BE49-F238E27FC236}">
                <a16:creationId xmlns:a16="http://schemas.microsoft.com/office/drawing/2014/main" id="{3C252867-8562-C4AC-85C1-B00BCBE0B26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Arrow Connector 83">
            <a:extLst>
              <a:ext uri="{FF2B5EF4-FFF2-40B4-BE49-F238E27FC236}">
                <a16:creationId xmlns:a16="http://schemas.microsoft.com/office/drawing/2014/main" id="{90A9C837-C6CF-21F4-2AA7-F3E805CA4FE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155">
            <a:extLst>
              <a:ext uri="{FF2B5EF4-FFF2-40B4-BE49-F238E27FC236}">
                <a16:creationId xmlns:a16="http://schemas.microsoft.com/office/drawing/2014/main" id="{2107F80C-8130-42B2-6FE1-6FD0200B0C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90" name="Isosceles Triangle 89">
              <a:extLst>
                <a:ext uri="{FF2B5EF4-FFF2-40B4-BE49-F238E27FC236}">
                  <a16:creationId xmlns:a16="http://schemas.microsoft.com/office/drawing/2014/main" id="{8894FB57-B3A6-4E56-57B9-D68D6352C59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1" name="Isosceles Triangle 90">
              <a:extLst>
                <a:ext uri="{FF2B5EF4-FFF2-40B4-BE49-F238E27FC236}">
                  <a16:creationId xmlns:a16="http://schemas.microsoft.com/office/drawing/2014/main" id="{BD3C46F3-D6EB-9EF1-C11E-104539E5FF8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92" name="Isosceles Triangle 91">
              <a:extLst>
                <a:ext uri="{FF2B5EF4-FFF2-40B4-BE49-F238E27FC236}">
                  <a16:creationId xmlns:a16="http://schemas.microsoft.com/office/drawing/2014/main" id="{8B9833A5-D6B8-B8B5-29B7-5CE2937BCBD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86" name="Group 134">
            <a:extLst>
              <a:ext uri="{FF2B5EF4-FFF2-40B4-BE49-F238E27FC236}">
                <a16:creationId xmlns:a16="http://schemas.microsoft.com/office/drawing/2014/main" id="{F3C21006-F0F7-66F3-C1DF-3DDEA4BC5D9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87" name="Isosceles Triangle 86">
              <a:extLst>
                <a:ext uri="{FF2B5EF4-FFF2-40B4-BE49-F238E27FC236}">
                  <a16:creationId xmlns:a16="http://schemas.microsoft.com/office/drawing/2014/main" id="{F08439A2-DE86-7AF4-D5E6-062EA606E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8" name="Isosceles Triangle 87">
              <a:extLst>
                <a:ext uri="{FF2B5EF4-FFF2-40B4-BE49-F238E27FC236}">
                  <a16:creationId xmlns:a16="http://schemas.microsoft.com/office/drawing/2014/main" id="{F2F114B1-E608-5C5C-EC2E-0484B21C6124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89" name="Isosceles Triangle 88">
              <a:extLst>
                <a:ext uri="{FF2B5EF4-FFF2-40B4-BE49-F238E27FC236}">
                  <a16:creationId xmlns:a16="http://schemas.microsoft.com/office/drawing/2014/main" id="{9FFC30D8-B5BD-9160-BACB-5FF6FC6A13B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249115</xdr:colOff>
      <xdr:row>29</xdr:row>
      <xdr:rowOff>80596</xdr:rowOff>
    </xdr:from>
    <xdr:to>
      <xdr:col>10</xdr:col>
      <xdr:colOff>21980</xdr:colOff>
      <xdr:row>32</xdr:row>
      <xdr:rowOff>80595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FE16CD14-0455-4B4D-B59D-6B25214E0EA7}"/>
            </a:ext>
          </a:extLst>
        </xdr:cNvPr>
        <xdr:cNvSpPr/>
      </xdr:nvSpPr>
      <xdr:spPr>
        <a:xfrm>
          <a:off x="3011365" y="4572000"/>
          <a:ext cx="534865" cy="461595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rgbClr val="FF0000"/>
              </a:solidFill>
            </a:rPr>
            <a:t>MASJID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392206</xdr:colOff>
      <xdr:row>11</xdr:row>
      <xdr:rowOff>0</xdr:rowOff>
    </xdr:from>
    <xdr:to>
      <xdr:col>19</xdr:col>
      <xdr:colOff>291353</xdr:colOff>
      <xdr:row>45</xdr:row>
      <xdr:rowOff>76825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514AF3-A84B-9027-15BC-3EE61B0A0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9765" y="1871382"/>
          <a:ext cx="8370794" cy="5410825"/>
        </a:xfrm>
        <a:prstGeom prst="rect">
          <a:avLst/>
        </a:prstGeom>
      </xdr:spPr>
    </xdr:pic>
    <xdr:clientData/>
  </xdr:twoCellAnchor>
  <xdr:twoCellAnchor>
    <xdr:from>
      <xdr:col>12</xdr:col>
      <xdr:colOff>539921</xdr:colOff>
      <xdr:row>26</xdr:row>
      <xdr:rowOff>20375</xdr:rowOff>
    </xdr:from>
    <xdr:to>
      <xdr:col>15</xdr:col>
      <xdr:colOff>142623</xdr:colOff>
      <xdr:row>28</xdr:row>
      <xdr:rowOff>20375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6983303" y="4244993"/>
          <a:ext cx="1418055" cy="313764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rot.prasetyo\Downloads\084.%20KKO%20KKF%20FT%20PT.%20DIMENSI%20PUTRA%20KARYA%205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DATA"/>
      <sheetName val="KKF"/>
      <sheetName val="KKO-"/>
      <sheetName val="RAB"/>
      <sheetName val="GAMBAR"/>
      <sheetName val="SLD"/>
      <sheetName val="PETA"/>
      <sheetName val="REKAP MATERIAL"/>
      <sheetName val="REKAP MDU"/>
      <sheetName val="REKAP TIANG"/>
      <sheetName val="HARGA SATUAN (2)"/>
    </sheetNames>
    <sheetDataSet>
      <sheetData sheetId="0"/>
      <sheetData sheetId="1">
        <row r="8">
          <cell r="C8" t="str">
            <v>PT. DIMENSI PUTRA KARYA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97" t="s">
        <v>1133</v>
      </c>
      <c r="C4" s="497"/>
      <c r="D4" s="497"/>
      <c r="E4" s="497"/>
      <c r="F4" s="497"/>
      <c r="G4" s="497"/>
      <c r="H4" s="49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98" t="s">
        <v>0</v>
      </c>
      <c r="C7" s="498" t="s">
        <v>1</v>
      </c>
      <c r="D7" s="499" t="s">
        <v>42</v>
      </c>
      <c r="E7" s="499" t="s">
        <v>43</v>
      </c>
      <c r="F7" s="499" t="s">
        <v>1134</v>
      </c>
      <c r="G7" s="500" t="s">
        <v>41</v>
      </c>
      <c r="H7" s="496" t="s">
        <v>1041</v>
      </c>
      <c r="I7" s="496" t="s">
        <v>1136</v>
      </c>
      <c r="J7" s="496" t="s">
        <v>1025</v>
      </c>
      <c r="K7" s="490" t="s">
        <v>1023</v>
      </c>
      <c r="L7" s="491"/>
    </row>
    <row r="8" spans="1:12" ht="15" customHeight="1">
      <c r="B8" s="498"/>
      <c r="C8" s="498"/>
      <c r="D8" s="499"/>
      <c r="E8" s="499"/>
      <c r="F8" s="499"/>
      <c r="G8" s="500"/>
      <c r="H8" s="496"/>
      <c r="I8" s="496"/>
      <c r="J8" s="496"/>
      <c r="K8" s="492"/>
      <c r="L8" s="493"/>
    </row>
    <row r="9" spans="1:12" ht="15" customHeight="1">
      <c r="B9" s="498"/>
      <c r="C9" s="498"/>
      <c r="D9" s="499"/>
      <c r="E9" s="499"/>
      <c r="F9" s="499"/>
      <c r="G9" s="500"/>
      <c r="H9" s="496"/>
      <c r="I9" s="496"/>
      <c r="J9" s="496"/>
      <c r="K9" s="494"/>
      <c r="L9" s="49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MCB 3 Fasa 35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172800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 t="str">
        <f t="shared" ref="B13:B76" ca="1" si="0">IF(C13="","",A13)</f>
        <v/>
      </c>
      <c r="C13" s="109" t="str">
        <f t="shared" ref="C13:C76" ca="1" si="1">IF(ISERROR(OFFSET($C$713,MATCH(A13,$F$714:$F$1320,0),0)),"",OFFSET($C$713,MATCH(A13,$F$714:$F$1320,0),0))</f>
        <v/>
      </c>
      <c r="D13" s="101" t="str">
        <f ca="1">IF(ISERROR(OFFSET('HARGA SATUAN'!$D$6,MATCH(C13,'HARGA SATUAN'!$C$7:$C$1492,0),0)),"",OFFSET('HARGA SATUAN'!$D$6,MATCH(C13,'HARGA SATUAN'!$C$7:$C$1492,0),0))</f>
        <v/>
      </c>
      <c r="E13" s="101">
        <f ca="1">IF(B13="+","Unit",IF(ISERROR(OFFSET('HARGA SATUAN'!$E$6,MATCH(C13,'HARGA SATUAN'!$C$7:$C$1492,0),0)),"",OFFSET('HARGA SATUAN'!$E$6,MATCH(C13,'HARGA SATUAN'!$C$7:$C$1492,0),0)))</f>
        <v>0</v>
      </c>
      <c r="F13" s="138" t="str">
        <f t="shared" ref="F13:F76" ca="1" si="2">IF(ISERROR(OFFSET($D$713,MATCH(A13,$F$714:$F$1320,0),0)),"",OFFSET($D$713,MATCH(A13,$F$714:$F$1320,0),0))</f>
        <v/>
      </c>
      <c r="G13" s="41">
        <f ca="1">IF(ISERROR(OFFSET('HARGA SATUAN'!$I$6,MATCH(C13,'HARGA SATUAN'!$C$7:$C$1492,0),0)),"",OFFSET('HARGA SATUAN'!$I$6,MATCH(C13,'HARGA SATUAN'!$C$7:$C$1492,0),0))</f>
        <v>0</v>
      </c>
      <c r="H13" s="136" t="str">
        <f ca="1">IF(B13="","",#REF!)</f>
        <v/>
      </c>
      <c r="I13" s="136" t="str">
        <f ca="1">IF(B13="","",#REF!)</f>
        <v/>
      </c>
      <c r="J13" s="136" t="str">
        <f ca="1">IF(B13="","",#REF!)</f>
        <v/>
      </c>
      <c r="K13" s="136" t="str">
        <f ca="1">IF(B13="","",#REF!)</f>
        <v/>
      </c>
      <c r="L13" s="136" t="str">
        <f ca="1">IF(C13="","",#REF!)</f>
        <v/>
      </c>
    </row>
    <row r="14" spans="1:12" s="137" customFormat="1">
      <c r="A14" s="112">
        <v>3</v>
      </c>
      <c r="B14" s="134" t="str">
        <f t="shared" ca="1" si="0"/>
        <v/>
      </c>
      <c r="C14" s="109" t="str">
        <f t="shared" ca="1" si="1"/>
        <v/>
      </c>
      <c r="D14" s="101" t="str">
        <f ca="1">IF(ISERROR(OFFSET('HARGA SATUAN'!$D$6,MATCH(C14,'HARGA SATUAN'!$C$7:$C$1492,0),0)),"",OFFSET('HARGA SATUAN'!$D$6,MATCH(C14,'HARGA SATUAN'!$C$7:$C$1492,0),0))</f>
        <v/>
      </c>
      <c r="E14" s="101">
        <f ca="1">IF(B14="+","Unit",IF(ISERROR(OFFSET('HARGA SATUAN'!$E$6,MATCH(C14,'HARGA SATUAN'!$C$7:$C$1492,0),0)),"",OFFSET('HARGA SATUAN'!$E$6,MATCH(C14,'HARGA SATUAN'!$C$7:$C$1492,0),0)))</f>
        <v>0</v>
      </c>
      <c r="F14" s="138" t="str">
        <f t="shared" ca="1" si="2"/>
        <v/>
      </c>
      <c r="G14" s="41">
        <f ca="1">IF(ISERROR(OFFSET('HARGA SATUAN'!$I$6,MATCH(C14,'HARGA SATUAN'!$C$7:$C$1492,0),0)),"",OFFSET('HARGA SATUAN'!$I$6,MATCH(C14,'HARGA SATUAN'!$C$7:$C$1492,0),0))</f>
        <v>0</v>
      </c>
      <c r="H14" s="136" t="str">
        <f ca="1">IF(B14="","",#REF!)</f>
        <v/>
      </c>
      <c r="I14" s="136" t="str">
        <f ca="1">IF(B14="","",#REF!)</f>
        <v/>
      </c>
      <c r="J14" s="136" t="str">
        <f ca="1">IF(B14="","",#REF!)</f>
        <v/>
      </c>
      <c r="K14" s="136" t="str">
        <f ca="1">IF(B14="","",#REF!)</f>
        <v/>
      </c>
      <c r="L14" s="136" t="str">
        <f ca="1">IF(C14="","",#REF!)</f>
        <v/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SUMIFS(RAB!$F$15:$F$26,RAB!$C$15:$C$26,C714)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SUMIFS(RAB!$F$15:$F$26,RAB!$C$15:$C$26,C715)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SUMIFS(RAB!$F$15:$F$26,RAB!$C$15:$C$26,C716)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SUMIFS(RAB!$F$15:$F$26,RAB!$C$15:$C$26,C717)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SUMIFS(RAB!$F$15:$F$26,RAB!$C$15:$C$26,C718)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SUMIFS(RAB!$F$15:$F$26,RAB!$C$15:$C$26,C719)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SUMIFS(RAB!$F$15:$F$26,RAB!$C$15:$C$26,C720)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SUMIFS(RAB!$F$15:$F$26,RAB!$C$15:$C$26,C721)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SUMIFS(RAB!$F$15:$F$26,RAB!$C$15:$C$26,C722)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SUMIFS(RAB!$F$15:$F$26,RAB!$C$15:$C$26,C723)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SUMIFS(RAB!$F$15:$F$26,RAB!$C$15:$C$26,C724)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SUMIFS(RAB!$F$15:$F$26,RAB!$C$15:$C$26,C725)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SUMIFS(RAB!$F$15:$F$26,RAB!$C$15:$C$26,C726)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SUMIFS(RAB!$F$15:$F$26,RAB!$C$15:$C$26,C727)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SUMIFS(RAB!$F$15:$F$26,RAB!$C$15:$C$26,C728)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SUMIFS(RAB!$F$15:$F$26,RAB!$C$15:$C$26,C729)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SUMIFS(RAB!$F$15:$F$26,RAB!$C$15:$C$26,C730)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SUMIFS(RAB!$F$15:$F$26,RAB!$C$15:$C$26,C731)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SUMIFS(RAB!$F$15:$F$26,RAB!$C$15:$C$26,C732)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SUMIFS(RAB!$F$15:$F$26,RAB!$C$15:$C$26,C733)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SUMIFS(RAB!$F$15:$F$26,RAB!$C$15:$C$26,C734)</f>
        <v>1</v>
      </c>
      <c r="E734" s="26">
        <f t="shared" ca="1" si="33"/>
        <v>1</v>
      </c>
      <c r="F734" s="26">
        <f ca="1">IF(D734=0,0,SUM($E$713:E734))</f>
        <v>1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SUMIFS(RAB!$F$15:$F$26,RAB!$C$15:$C$26,C735)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SUMIFS(RAB!$F$15:$F$26,RAB!$C$15:$C$26,C736)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SUMIFS(RAB!$F$15:$F$26,RAB!$C$15:$C$26,C737)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SUMIFS(RAB!$F$15:$F$26,RAB!$C$15:$C$26,C738)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SUMIFS(RAB!$F$15:$F$26,RAB!$C$15:$C$26,C739)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SUMIFS(RAB!$F$15:$F$26,RAB!$C$15:$C$26,C740)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SUMIFS(RAB!$F$15:$F$26,RAB!$C$15:$C$26,C741)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SUMIFS(RAB!$F$15:$F$26,RAB!$C$15:$C$26,C742)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SUMIFS(RAB!$F$15:$F$26,RAB!$C$15:$C$26,C743)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SUMIFS(RAB!$F$15:$F$26,RAB!$C$15:$C$26,C744)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SUMIFS(RAB!$F$15:$F$26,RAB!$C$15:$C$26,C745)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SUMIFS(RAB!$F$15:$F$26,RAB!$C$15:$C$26,C746)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SUMIFS(RAB!$F$15:$F$26,RAB!$C$15:$C$26,C747)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SUMIFS(RAB!$F$15:$F$26,RAB!$C$15:$C$26,C748)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SUMIFS(RAB!$F$15:$F$26,RAB!$C$15:$C$26,C749)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SUMIFS(RAB!$F$15:$F$26,RAB!$C$15:$C$26,C750)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SUMIFS(RAB!$F$15:$F$26,RAB!$C$15:$C$26,C751)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SUMIFS(RAB!$F$15:$F$26,RAB!$C$15:$C$26,C752)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SUMIFS(RAB!$F$15:$F$26,RAB!$C$15:$C$26,C753)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SUMIFS(RAB!$F$15:$F$26,RAB!$C$15:$C$26,C754)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SUMIFS(RAB!$F$15:$F$26,RAB!$C$15:$C$26,C755)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SUMIFS(RAB!$F$15:$F$26,RAB!$C$15:$C$26,C756)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SUMIFS(RAB!$F$15:$F$26,RAB!$C$15:$C$26,C757)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SUMIFS(RAB!$F$15:$F$26,RAB!$C$15:$C$26,C758)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SUMIFS(RAB!$F$15:$F$26,RAB!$C$15:$C$26,C759)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SUMIFS(RAB!$F$15:$F$26,RAB!$C$15:$C$26,C760)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SUMIFS(RAB!$F$15:$F$26,RAB!$C$15:$C$26,C761)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SUMIFS(RAB!$F$15:$F$26,RAB!$C$15:$C$26,C762)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SUMIFS(RAB!$F$15:$F$26,RAB!$C$15:$C$26,C763)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SUMIFS(RAB!$F$15:$F$26,RAB!$C$15:$C$26,C764)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SUMIFS(RAB!$F$15:$F$26,RAB!$C$15:$C$26,C765)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SUMIFS(RAB!$F$15:$F$26,RAB!$C$15:$C$26,C766)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SUMIFS(RAB!$F$15:$F$26,RAB!$C$15:$C$26,C767)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SUMIFS(RAB!$F$15:$F$26,RAB!$C$15:$C$26,C768)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SUMIFS(RAB!$F$15:$F$26,RAB!$C$15:$C$26,C769)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SUMIFS(RAB!$F$15:$F$26,RAB!$C$15:$C$26,C770)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SUMIFS(RAB!$F$15:$F$26,RAB!$C$15:$C$26,C771)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SUMIFS(RAB!$F$15:$F$26,RAB!$C$15:$C$26,C772)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SUMIFS(RAB!$F$15:$F$26,RAB!$C$15:$C$26,C773)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SUMIFS(RAB!$F$15:$F$26,RAB!$C$15:$C$26,C774)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SUMIFS(RAB!$F$15:$F$26,RAB!$C$15:$C$26,C775)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SUMIFS(RAB!$F$15:$F$26,RAB!$C$15:$C$26,C776)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SUMIFS(RAB!$F$15:$F$26,RAB!$C$15:$C$26,C777)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SUMIFS(RAB!$F$15:$F$26,RAB!$C$15:$C$26,C778)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SUMIFS(RAB!$F$15:$F$26,RAB!$C$15:$C$26,C779)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SUMIFS(RAB!$F$15:$F$26,RAB!$C$15:$C$26,C780)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SUMIFS(RAB!$F$15:$F$26,RAB!$C$15:$C$26,C781)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SUMIFS(RAB!$F$15:$F$26,RAB!$C$15:$C$26,C782)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SUMIFS(RAB!$F$15:$F$26,RAB!$C$15:$C$26,C783)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SUMIFS(RAB!$F$15:$F$26,RAB!$C$15:$C$26,C784)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SUMIFS(RAB!$F$15:$F$26,RAB!$C$15:$C$26,C785)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SUMIFS(RAB!$F$15:$F$26,RAB!$C$15:$C$26,C786)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SUMIFS(RAB!$F$15:$F$26,RAB!$C$15:$C$26,C787)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SUMIFS(RAB!$F$15:$F$26,RAB!$C$15:$C$26,C788)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SUMIFS(RAB!$F$15:$F$26,RAB!$C$15:$C$26,C789)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SUMIFS(RAB!$F$15:$F$26,RAB!$C$15:$C$26,C790)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SUMIFS(RAB!$F$15:$F$26,RAB!$C$15:$C$26,C791)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SUMIFS(RAB!$F$15:$F$26,RAB!$C$15:$C$26,C792)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SUMIFS(RAB!$F$15:$F$26,RAB!$C$15:$C$26,C793)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SUMIFS(RAB!$F$15:$F$26,RAB!$C$15:$C$26,C794)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SUMIFS(RAB!$F$15:$F$26,RAB!$C$15:$C$26,C795)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SUMIFS(RAB!$F$15:$F$26,RAB!$C$15:$C$26,C796)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SUMIFS(RAB!$F$15:$F$26,RAB!$C$15:$C$26,C797)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SUMIFS(RAB!$F$15:$F$26,RAB!$C$15:$C$26,C798)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SUMIFS(RAB!$F$15:$F$26,RAB!$C$15:$C$26,C799)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SUMIFS(RAB!$F$15:$F$26,RAB!$C$15:$C$26,C800)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SUMIFS(RAB!$F$15:$F$26,RAB!$C$15:$C$26,C801)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SUMIFS(RAB!$F$15:$F$26,RAB!$C$15:$C$26,C802)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SUMIFS(RAB!$F$15:$F$26,RAB!$C$15:$C$26,C803)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SUMIFS(RAB!$F$15:$F$26,RAB!$C$15:$C$26,C804)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SUMIFS(RAB!$F$15:$F$26,RAB!$C$15:$C$26,C805)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SUMIFS(RAB!$F$15:$F$26,RAB!$C$15:$C$26,C806)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SUMIFS(RAB!$F$15:$F$26,RAB!$C$15:$C$26,C807)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SUMIFS(RAB!$F$15:$F$26,RAB!$C$15:$C$26,C808)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SUMIFS(RAB!$F$15:$F$26,RAB!$C$15:$C$26,C809)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SUMIFS(RAB!$F$15:$F$26,RAB!$C$15:$C$26,C810)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SUMIFS(RAB!$F$15:$F$26,RAB!$C$15:$C$26,C811)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SUMIFS(RAB!$F$15:$F$26,RAB!$C$15:$C$26,C812)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SUMIFS(RAB!$F$15:$F$26,RAB!$C$15:$C$26,C813)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SUMIFS(RAB!$F$15:$F$26,RAB!$C$15:$C$26,C814)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SUMIFS(RAB!$F$15:$F$26,RAB!$C$15:$C$26,C815)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SUMIFS(RAB!$F$15:$F$26,RAB!$C$15:$C$26,C816)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SUMIFS(RAB!$F$15:$F$26,RAB!$C$15:$C$26,C817)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SUMIFS(RAB!$F$15:$F$26,RAB!$C$15:$C$26,C818)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SUMIFS(RAB!$F$15:$F$26,RAB!$C$15:$C$26,C819)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SUMIFS(RAB!$F$15:$F$26,RAB!$C$15:$C$26,C820)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SUMIFS(RAB!$F$15:$F$26,RAB!$C$15:$C$26,C821)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SUMIFS(RAB!$F$15:$F$26,RAB!$C$15:$C$26,C822)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SUMIFS(RAB!$F$15:$F$26,RAB!$C$15:$C$26,C823)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SUMIFS(RAB!$F$15:$F$26,RAB!$C$15:$C$26,C824)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SUMIFS(RAB!$F$15:$F$26,RAB!$C$15:$C$26,C825)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SUMIFS(RAB!$F$15:$F$26,RAB!$C$15:$C$26,C826)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SUMIFS(RAB!$F$15:$F$26,RAB!$C$15:$C$26,C827)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SUMIFS(RAB!$F$15:$F$26,RAB!$C$15:$C$26,C828)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SUMIFS(RAB!$F$15:$F$26,RAB!$C$15:$C$26,C829)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SUMIFS(RAB!$F$15:$F$26,RAB!$C$15:$C$26,C830)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SUMIFS(RAB!$F$15:$F$26,RAB!$C$15:$C$26,C831)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SUMIFS(RAB!$F$15:$F$26,RAB!$C$15:$C$26,C832)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SUMIFS(RAB!$F$15:$F$26,RAB!$C$15:$C$26,C833)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SUMIFS(RAB!$F$15:$F$26,RAB!$C$15:$C$26,C834)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SUMIFS(RAB!$F$15:$F$26,RAB!$C$15:$C$26,C835)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SUMIFS(RAB!$F$15:$F$26,RAB!$C$15:$C$26,C836)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SUMIFS(RAB!$F$15:$F$26,RAB!$C$15:$C$26,C837)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SUMIFS(RAB!$F$15:$F$26,RAB!$C$15:$C$26,C838)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SUMIFS(RAB!$F$15:$F$26,RAB!$C$15:$C$26,C839)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SUMIFS(RAB!$F$15:$F$26,RAB!$C$15:$C$26,C840)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SUMIFS(RAB!$F$15:$F$26,RAB!$C$15:$C$26,C841)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SUMIFS(RAB!$F$15:$F$26,RAB!$C$15:$C$26,C842)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SUMIFS(RAB!$F$15:$F$26,RAB!$C$15:$C$26,C843)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SUMIFS(RAB!$F$15:$F$26,RAB!$C$15:$C$26,C844)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SUMIFS(RAB!$F$15:$F$26,RAB!$C$15:$C$26,C845)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SUMIFS(RAB!$F$15:$F$26,RAB!$C$15:$C$26,C846)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SUMIFS(RAB!$F$15:$F$26,RAB!$C$15:$C$26,C847)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SUMIFS(RAB!$F$15:$F$26,RAB!$C$15:$C$26,C848)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SUMIFS(RAB!$F$15:$F$26,RAB!$C$15:$C$26,C849)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SUMIFS(RAB!$F$15:$F$26,RAB!$C$15:$C$26,C850)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SUMIFS(RAB!$F$15:$F$26,RAB!$C$15:$C$26,C851)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SUMIFS(RAB!$F$15:$F$26,RAB!$C$15:$C$26,C852)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SUMIFS(RAB!$F$15:$F$26,RAB!$C$15:$C$26,C853)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SUMIFS(RAB!$F$15:$F$26,RAB!$C$15:$C$26,C854)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SUMIFS(RAB!$F$15:$F$26,RAB!$C$15:$C$26,C855)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SUMIFS(RAB!$F$15:$F$26,RAB!$C$15:$C$26,C856)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SUMIFS(RAB!$F$15:$F$26,RAB!$C$15:$C$26,C857)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SUMIFS(RAB!$F$15:$F$26,RAB!$C$15:$C$26,C858)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SUMIFS(RAB!$F$15:$F$26,RAB!$C$15:$C$26,C859)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SUMIFS(RAB!$F$15:$F$26,RAB!$C$15:$C$26,C860)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SUMIFS(RAB!$F$15:$F$26,RAB!$C$15:$C$26,C861)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SUMIFS(RAB!$F$15:$F$26,RAB!$C$15:$C$26,C862)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SUMIFS(RAB!$F$15:$F$26,RAB!$C$15:$C$26,C863)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SUMIFS(RAB!$F$15:$F$26,RAB!$C$15:$C$26,C864)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SUMIFS(RAB!$F$15:$F$26,RAB!$C$15:$C$26,C865)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SUMIFS(RAB!$F$15:$F$26,RAB!$C$15:$C$26,C866)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SUMIFS(RAB!$F$15:$F$26,RAB!$C$15:$C$26,C867)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SUMIFS(RAB!$F$15:$F$26,RAB!$C$15:$C$26,C868)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SUMIFS(RAB!$F$15:$F$26,RAB!$C$15:$C$26,C869)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SUMIFS(RAB!$F$15:$F$26,RAB!$C$15:$C$26,C870)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SUMIFS(RAB!$F$15:$F$26,RAB!$C$15:$C$26,C871)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SUMIFS(RAB!$F$15:$F$26,RAB!$C$15:$C$26,C872)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SUMIFS(RAB!$F$15:$F$26,RAB!$C$15:$C$26,C873)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SUMIFS(RAB!$F$15:$F$26,RAB!$C$15:$C$26,C874)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SUMIFS(RAB!$F$15:$F$26,RAB!$C$15:$C$26,C875)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SUMIFS(RAB!$F$15:$F$26,RAB!$C$15:$C$26,C876)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SUMIFS(RAB!$F$15:$F$26,RAB!$C$15:$C$26,C877)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SUMIFS(RAB!$F$15:$F$26,RAB!$C$15:$C$26,C878)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SUMIFS(RAB!$F$15:$F$26,RAB!$C$15:$C$26,C879)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SUMIFS(RAB!$F$15:$F$26,RAB!$C$15:$C$26,C880)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SUMIFS(RAB!$F$15:$F$26,RAB!$C$15:$C$26,C881)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SUMIFS(RAB!$F$15:$F$26,RAB!$C$15:$C$26,C882)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SUMIFS(RAB!$F$15:$F$26,RAB!$C$15:$C$26,C883)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SUMIFS(RAB!$F$15:$F$26,RAB!$C$15:$C$26,C884)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SUMIFS(RAB!$F$15:$F$26,RAB!$C$15:$C$26,C885)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SUMIFS(RAB!$F$15:$F$26,RAB!$C$15:$C$26,C886)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SUMIFS(RAB!$F$15:$F$26,RAB!$C$15:$C$26,C887)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SUMIFS(RAB!$F$15:$F$26,RAB!$C$15:$C$26,C888)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SUMIFS(RAB!$F$15:$F$26,RAB!$C$15:$C$26,C889)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SUMIFS(RAB!$F$15:$F$26,RAB!$C$15:$C$26,C890)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SUMIFS(RAB!$F$15:$F$26,RAB!$C$15:$C$26,C891)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SUMIFS(RAB!$F$15:$F$26,RAB!$C$15:$C$26,C892)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SUMIFS(RAB!$F$15:$F$26,RAB!$C$15:$C$26,C893)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SUMIFS(RAB!$F$15:$F$26,RAB!$C$15:$C$26,C894)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SUMIFS(RAB!$F$15:$F$26,RAB!$C$15:$C$26,C895)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SUMIFS(RAB!$F$15:$F$26,RAB!$C$15:$C$26,C896)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SUMIFS(RAB!$F$15:$F$26,RAB!$C$15:$C$26,C897)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SUMIFS(RAB!$F$15:$F$26,RAB!$C$15:$C$26,C898)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SUMIFS(RAB!$F$15:$F$26,RAB!$C$15:$C$26,C899)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SUMIFS(RAB!$F$15:$F$26,RAB!$C$15:$C$26,C900)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SUMIFS(RAB!$F$15:$F$26,RAB!$C$15:$C$26,C901)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SUMIFS(RAB!$F$15:$F$26,RAB!$C$15:$C$26,C902)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SUMIFS(RAB!$F$15:$F$26,RAB!$C$15:$C$26,C903)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SUMIFS(RAB!$F$15:$F$26,RAB!$C$15:$C$26,C904)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SUMIFS(RAB!$F$15:$F$26,RAB!$C$15:$C$26,C905)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SUMIFS(RAB!$F$15:$F$26,RAB!$C$15:$C$26,C906)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SUMIFS(RAB!$F$15:$F$26,RAB!$C$15:$C$26,C907)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SUMIFS(RAB!$F$15:$F$26,RAB!$C$15:$C$26,C908)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SUMIFS(RAB!$F$15:$F$26,RAB!$C$15:$C$26,C909)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SUMIFS(RAB!$F$15:$F$26,RAB!$C$15:$C$26,C910)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SUMIFS(RAB!$F$15:$F$26,RAB!$C$15:$C$26,C911)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SUMIFS(RAB!$F$15:$F$26,RAB!$C$15:$C$26,C912)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SUMIFS(RAB!$F$15:$F$26,RAB!$C$15:$C$26,C913)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SUMIFS(RAB!$F$15:$F$26,RAB!$C$15:$C$26,C914)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SUMIFS(RAB!$F$15:$F$26,RAB!$C$15:$C$26,C915)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SUMIFS(RAB!$F$15:$F$26,RAB!$C$15:$C$26,C916)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SUMIFS(RAB!$F$15:$F$26,RAB!$C$15:$C$26,C917)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SUMIFS(RAB!$F$15:$F$26,RAB!$C$15:$C$26,C918)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SUMIFS(RAB!$F$15:$F$26,RAB!$C$15:$C$26,C919)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SUMIFS(RAB!$F$15:$F$26,RAB!$C$15:$C$26,C920)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SUMIFS(RAB!$F$15:$F$26,RAB!$C$15:$C$26,C921)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SUMIFS(RAB!$F$15:$F$26,RAB!$C$15:$C$26,C922)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SUMIFS(RAB!$F$15:$F$26,RAB!$C$15:$C$26,C923)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SUMIFS(RAB!$F$15:$F$26,RAB!$C$15:$C$26,C924)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SUMIFS(RAB!$F$15:$F$26,RAB!$C$15:$C$26,C925)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SUMIFS(RAB!$F$15:$F$26,RAB!$C$15:$C$26,C926)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SUMIFS(RAB!$F$15:$F$26,RAB!$C$15:$C$26,C927)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SUMIFS(RAB!$F$15:$F$26,RAB!$C$15:$C$26,C928)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SUMIFS(RAB!$F$15:$F$26,RAB!$C$15:$C$26,C929)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SUMIFS(RAB!$F$15:$F$26,RAB!$C$15:$C$26,C930)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SUMIFS(RAB!$F$15:$F$26,RAB!$C$15:$C$26,C931)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SUMIFS(RAB!$F$15:$F$26,RAB!$C$15:$C$26,C932)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SUMIFS(RAB!$F$15:$F$26,RAB!$C$15:$C$26,C933)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SUMIFS(RAB!$F$15:$F$26,RAB!$C$15:$C$26,C934)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SUMIFS(RAB!$F$15:$F$26,RAB!$C$15:$C$26,C935)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SUMIFS(RAB!$F$15:$F$26,RAB!$C$15:$C$26,C936)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SUMIFS(RAB!$F$15:$F$26,RAB!$C$15:$C$26,C937)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SUMIFS(RAB!$F$15:$F$26,RAB!$C$15:$C$26,C938)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SUMIFS(RAB!$F$15:$F$26,RAB!$C$15:$C$26,C939)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SUMIFS(RAB!$F$15:$F$26,RAB!$C$15:$C$26,C940)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SUMIFS(RAB!$F$15:$F$26,RAB!$C$15:$C$26,C941)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SUMIFS(RAB!$F$15:$F$26,RAB!$C$15:$C$26,C942)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SUMIFS(RAB!$F$15:$F$26,RAB!$C$15:$C$26,C943)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SUMIFS(RAB!$F$15:$F$26,RAB!$C$15:$C$26,C944)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SUMIFS(RAB!$F$15:$F$26,RAB!$C$15:$C$26,C945)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SUMIFS(RAB!$F$15:$F$26,RAB!$C$15:$C$26,C946)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SUMIFS(RAB!$F$15:$F$26,RAB!$C$15:$C$26,C947)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SUMIFS(RAB!$F$15:$F$26,RAB!$C$15:$C$26,C948)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SUMIFS(RAB!$F$15:$F$26,RAB!$C$15:$C$26,C949)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SUMIFS(RAB!$F$15:$F$26,RAB!$C$15:$C$26,C950)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SUMIFS(RAB!$F$15:$F$26,RAB!$C$15:$C$26,C951)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SUMIFS(RAB!$F$15:$F$26,RAB!$C$15:$C$26,C952)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SUMIFS(RAB!$F$15:$F$26,RAB!$C$15:$C$26,C953)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SUMIFS(RAB!$F$15:$F$26,RAB!$C$15:$C$26,C954)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SUMIFS(RAB!$F$15:$F$26,RAB!$C$15:$C$26,C955)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SUMIFS(RAB!$F$15:$F$26,RAB!$C$15:$C$26,C956)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SUMIFS(RAB!$F$15:$F$26,RAB!$C$15:$C$26,C957)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SUMIFS(RAB!$F$15:$F$26,RAB!$C$15:$C$26,C958)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SUMIFS(RAB!$F$15:$F$26,RAB!$C$15:$C$26,C959)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SUMIFS(RAB!$F$15:$F$26,RAB!$C$15:$C$26,C960)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SUMIFS(RAB!$F$15:$F$26,RAB!$C$15:$C$26,C961)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SUMIFS(RAB!$F$15:$F$26,RAB!$C$15:$C$26,C962)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SUMIFS(RAB!$F$15:$F$26,RAB!$C$15:$C$26,C963)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SUMIFS(RAB!$F$15:$F$26,RAB!$C$15:$C$26,C964)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SUMIFS(RAB!$F$15:$F$26,RAB!$C$15:$C$26,C965)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SUMIFS(RAB!$F$15:$F$26,RAB!$C$15:$C$26,C966)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SUMIFS(RAB!$F$15:$F$26,RAB!$C$15:$C$26,C967)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SUMIFS(RAB!$F$15:$F$26,RAB!$C$15:$C$26,C968)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SUMIFS(RAB!$F$15:$F$26,RAB!$C$15:$C$26,C969)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SUMIFS(RAB!$F$15:$F$26,RAB!$C$15:$C$26,C970)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SUMIFS(RAB!$F$15:$F$26,RAB!$C$15:$C$26,C971)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SUMIFS(RAB!$F$15:$F$26,RAB!$C$15:$C$26,C972)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SUMIFS(RAB!$F$15:$F$26,RAB!$C$15:$C$26,C973)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SUMIFS(RAB!$F$15:$F$26,RAB!$C$15:$C$26,C974)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SUMIFS(RAB!$F$15:$F$26,RAB!$C$15:$C$26,C975)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SUMIFS(RAB!$F$15:$F$26,RAB!$C$15:$C$26,C976)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SUMIFS(RAB!$F$15:$F$26,RAB!$C$15:$C$26,C977)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SUMIFS(RAB!$F$15:$F$26,RAB!$C$15:$C$26,C978)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SUMIFS(RAB!$F$15:$F$26,RAB!$C$15:$C$26,C979)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SUMIFS(RAB!$F$15:$F$26,RAB!$C$15:$C$26,C980)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SUMIFS(RAB!$F$15:$F$26,RAB!$C$15:$C$26,C981)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SUMIFS(RAB!$F$15:$F$26,RAB!$C$15:$C$26,C982)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SUMIFS(RAB!$F$15:$F$26,RAB!$C$15:$C$26,C983)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SUMIFS(RAB!$F$15:$F$26,RAB!$C$15:$C$26,C984)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SUMIFS(RAB!$F$15:$F$26,RAB!$C$15:$C$26,C985)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SUMIFS(RAB!$F$15:$F$26,RAB!$C$15:$C$26,C986)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SUMIFS(RAB!$F$15:$F$26,RAB!$C$15:$C$26,C987)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SUMIFS(RAB!$F$15:$F$26,RAB!$C$15:$C$26,C988)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SUMIFS(RAB!$F$15:$F$26,RAB!$C$15:$C$26,C989)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SUMIFS(RAB!$F$15:$F$26,RAB!$C$15:$C$26,C990)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SUMIFS(RAB!$F$15:$F$26,RAB!$C$15:$C$26,C991)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SUMIFS(RAB!$F$15:$F$26,RAB!$C$15:$C$26,C992)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SUMIFS(RAB!$F$15:$F$26,RAB!$C$15:$C$26,C993)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SUMIFS(RAB!$F$15:$F$26,RAB!$C$15:$C$26,C994)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SUMIFS(RAB!$F$15:$F$26,RAB!$C$15:$C$26,C995)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SUMIFS(RAB!$F$15:$F$26,RAB!$C$15:$C$26,C996)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SUMIFS(RAB!$F$15:$F$26,RAB!$C$15:$C$26,C997)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SUMIFS(RAB!$F$15:$F$26,RAB!$C$15:$C$26,C998)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SUMIFS(RAB!$F$15:$F$26,RAB!$C$15:$C$26,C999)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SUMIFS(RAB!$F$15:$F$26,RAB!$C$15:$C$26,C1000)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SUMIFS(RAB!$F$15:$F$26,RAB!$C$15:$C$26,C1001)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SUMIFS(RAB!$F$15:$F$26,RAB!$C$15:$C$26,C1002)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SUMIFS(RAB!$F$15:$F$26,RAB!$C$15:$C$26,C1003)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SUMIFS(RAB!$F$15:$F$26,RAB!$C$15:$C$26,C1004)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SUMIFS(RAB!$F$15:$F$26,RAB!$C$15:$C$26,C1005)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SUMIFS(RAB!$F$15:$F$26,RAB!$C$15:$C$26,C1006)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SUMIFS(RAB!$F$15:$F$26,RAB!$C$15:$C$26,C1007)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SUMIFS(RAB!$F$15:$F$26,RAB!$C$15:$C$26,C1008)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SUMIFS(RAB!$F$15:$F$26,RAB!$C$15:$C$26,C1009)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SUMIFS(RAB!$F$15:$F$26,RAB!$C$15:$C$26,C1010)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SUMIFS(RAB!$F$15:$F$26,RAB!$C$15:$C$26,C1011)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SUMIFS(RAB!$F$15:$F$26,RAB!$C$15:$C$26,C1012)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SUMIFS(RAB!$F$15:$F$26,RAB!$C$15:$C$26,C1013)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SUMIFS(RAB!$F$15:$F$26,RAB!$C$15:$C$26,C1014)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SUMIFS(RAB!$F$15:$F$26,RAB!$C$15:$C$26,C1015)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SUMIFS(RAB!$F$15:$F$26,RAB!$C$15:$C$26,C1016)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SUMIFS(RAB!$F$15:$F$26,RAB!$C$15:$C$26,C1017)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SUMIFS(RAB!$F$15:$F$26,RAB!$C$15:$C$26,C1018)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SUMIFS(RAB!$F$15:$F$26,RAB!$C$15:$C$26,C1019)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SUMIFS(RAB!$F$15:$F$26,RAB!$C$15:$C$26,C1020)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SUMIFS(RAB!$F$15:$F$26,RAB!$C$15:$C$26,C1021)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SUMIFS(RAB!$F$15:$F$26,RAB!$C$15:$C$26,C1022)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SUMIFS(RAB!$F$15:$F$26,RAB!$C$15:$C$26,C1023)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SUMIFS(RAB!$F$15:$F$26,RAB!$C$15:$C$26,C1024)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SUMIFS(RAB!$F$15:$F$26,RAB!$C$15:$C$26,C1025)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SUMIFS(RAB!$F$15:$F$26,RAB!$C$15:$C$26,C1026)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SUMIFS(RAB!$F$15:$F$26,RAB!$C$15:$C$26,C1027)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SUMIFS(RAB!$F$15:$F$26,RAB!$C$15:$C$26,C1028)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SUMIFS(RAB!$F$15:$F$26,RAB!$C$15:$C$26,C1029)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SUMIFS(RAB!$F$15:$F$26,RAB!$C$15:$C$26,C1030)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SUMIFS(RAB!$F$15:$F$26,RAB!$C$15:$C$26,C1031)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SUMIFS(RAB!$F$15:$F$26,RAB!$C$15:$C$26,C1032)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SUMIFS(RAB!$F$15:$F$26,RAB!$C$15:$C$26,C1033)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SUMIFS(RAB!$F$15:$F$26,RAB!$C$15:$C$26,C1034)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SUMIFS(RAB!$F$15:$F$26,RAB!$C$15:$C$26,C1035)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SUMIFS(RAB!$F$15:$F$26,RAB!$C$15:$C$26,C1036)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SUMIFS(RAB!$F$15:$F$26,RAB!$C$15:$C$26,C1037)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SUMIFS(RAB!$F$15:$F$26,RAB!$C$15:$C$26,C1038)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SUMIFS(RAB!$F$15:$F$26,RAB!$C$15:$C$26,C1039)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SUMIFS(RAB!$F$15:$F$26,RAB!$C$15:$C$26,C1040)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SUMIFS(RAB!$F$15:$F$26,RAB!$C$15:$C$26,C1041)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SUMIFS(RAB!$F$15:$F$26,RAB!$C$15:$C$26,C1042)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SUMIFS(RAB!$F$15:$F$26,RAB!$C$15:$C$26,C1043)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SUMIFS(RAB!$F$15:$F$26,RAB!$C$15:$C$26,C1044)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SUMIFS(RAB!$F$15:$F$26,RAB!$C$15:$C$26,C1045)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SUMIFS(RAB!$F$15:$F$26,RAB!$C$15:$C$26,C1046)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SUMIFS(RAB!$F$15:$F$26,RAB!$C$15:$C$26,C1047)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SUMIFS(RAB!$F$15:$F$26,RAB!$C$15:$C$26,C1048)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SUMIFS(RAB!$F$15:$F$26,RAB!$C$15:$C$26,C1049)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SUMIFS(RAB!$F$15:$F$26,RAB!$C$15:$C$26,C1050)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SUMIFS(RAB!$F$15:$F$26,RAB!$C$15:$C$26,C1051)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SUMIFS(RAB!$F$15:$F$26,RAB!$C$15:$C$26,C1052)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SUMIFS(RAB!$F$15:$F$26,RAB!$C$15:$C$26,C1053)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SUMIFS(RAB!$F$15:$F$26,RAB!$C$15:$C$26,C1054)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SUMIFS(RAB!$F$15:$F$26,RAB!$C$15:$C$26,C1055)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SUMIFS(RAB!$F$15:$F$26,RAB!$C$15:$C$26,C1056)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SUMIFS(RAB!$F$15:$F$26,RAB!$C$15:$C$26,C1057)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SUMIFS(RAB!$F$15:$F$26,RAB!$C$15:$C$26,C1058)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SUMIFS(RAB!$F$15:$F$26,RAB!$C$15:$C$26,C1059)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SUMIFS(RAB!$F$15:$F$26,RAB!$C$15:$C$26,C1060)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SUMIFS(RAB!$F$15:$F$26,RAB!$C$15:$C$26,C1061)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SUMIFS(RAB!$F$15:$F$26,RAB!$C$15:$C$26,C1062)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SUMIFS(RAB!$F$15:$F$26,RAB!$C$15:$C$26,C1063)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SUMIFS(RAB!$F$15:$F$26,RAB!$C$15:$C$26,C1064)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SUMIFS(RAB!$F$15:$F$26,RAB!$C$15:$C$26,C1065)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SUMIFS(RAB!$F$15:$F$26,RAB!$C$15:$C$26,C1066)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SUMIFS(RAB!$F$15:$F$26,RAB!$C$15:$C$26,C1067)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SUMIFS(RAB!$F$15:$F$26,RAB!$C$15:$C$26,C1068)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SUMIFS(RAB!$F$15:$F$26,RAB!$C$15:$C$26,C1069)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SUMIFS(RAB!$F$15:$F$26,RAB!$C$15:$C$26,C1070)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SUMIFS(RAB!$F$15:$F$26,RAB!$C$15:$C$26,C1071)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SUMIFS(RAB!$F$15:$F$26,RAB!$C$15:$C$26,C1072)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SUMIFS(RAB!$F$15:$F$26,RAB!$C$15:$C$26,C1073)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SUMIFS(RAB!$F$15:$F$26,RAB!$C$15:$C$26,C1074)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SUMIFS(RAB!$F$15:$F$26,RAB!$C$15:$C$26,C1075)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SUMIFS(RAB!$F$15:$F$26,RAB!$C$15:$C$26,C1076)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SUMIFS(RAB!$F$15:$F$26,RAB!$C$15:$C$26,C1077)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SUMIFS(RAB!$F$15:$F$26,RAB!$C$15:$C$26,C1078)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SUMIFS(RAB!$F$15:$F$26,RAB!$C$15:$C$26,C1079)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SUMIFS(RAB!$F$15:$F$26,RAB!$C$15:$C$26,C1080)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SUMIFS(RAB!$F$15:$F$26,RAB!$C$15:$C$26,C1081)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SUMIFS(RAB!$F$15:$F$26,RAB!$C$15:$C$26,C1082)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SUMIFS(RAB!$F$15:$F$26,RAB!$C$15:$C$26,C1083)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SUMIFS(RAB!$F$15:$F$26,RAB!$C$15:$C$26,C1084)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SUMIFS(RAB!$F$15:$F$26,RAB!$C$15:$C$26,C1085)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SUMIFS(RAB!$F$15:$F$26,RAB!$C$15:$C$26,C1086)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SUMIFS(RAB!$F$15:$F$26,RAB!$C$15:$C$26,C1087)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SUMIFS(RAB!$F$15:$F$26,RAB!$C$15:$C$26,C1088)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SUMIFS(RAB!$F$15:$F$26,RAB!$C$15:$C$26,C1089)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SUMIFS(RAB!$F$15:$F$26,RAB!$C$15:$C$26,C1090)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SUMIFS(RAB!$F$15:$F$26,RAB!$C$15:$C$26,C1091)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SUMIFS(RAB!$F$15:$F$26,RAB!$C$15:$C$26,C1092)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SUMIFS(RAB!$F$15:$F$26,RAB!$C$15:$C$26,C1093)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SUMIFS(RAB!$F$15:$F$26,RAB!$C$15:$C$26,C1094)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SUMIFS(RAB!$F$15:$F$26,RAB!$C$15:$C$26,C1095)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SUMIFS(RAB!$F$15:$F$26,RAB!$C$15:$C$26,C1096)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SUMIFS(RAB!$F$15:$F$26,RAB!$C$15:$C$26,C1097)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SUMIFS(RAB!$F$15:$F$26,RAB!$C$15:$C$26,C1098)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SUMIFS(RAB!$F$15:$F$26,RAB!$C$15:$C$26,C1099)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SUMIFS(RAB!$F$15:$F$26,RAB!$C$15:$C$26,C1100)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SUMIFS(RAB!$F$15:$F$26,RAB!$C$15:$C$26,C1101)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SUMIFS(RAB!$F$15:$F$26,RAB!$C$15:$C$26,C1102)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SUMIFS(RAB!$F$15:$F$26,RAB!$C$15:$C$26,C1103)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SUMIFS(RAB!$F$15:$F$26,RAB!$C$15:$C$26,C1104)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SUMIFS(RAB!$F$15:$F$26,RAB!$C$15:$C$26,C1105)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SUMIFS(RAB!$F$15:$F$26,RAB!$C$15:$C$26,C1106)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SUMIFS(RAB!$F$15:$F$26,RAB!$C$15:$C$26,C1107)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SUMIFS(RAB!$F$15:$F$26,RAB!$C$15:$C$26,C1108)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SUMIFS(RAB!$F$15:$F$26,RAB!$C$15:$C$26,C1109)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SUMIFS(RAB!$F$15:$F$26,RAB!$C$15:$C$26,C1110)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SUMIFS(RAB!$F$15:$F$26,RAB!$C$15:$C$26,C1111)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SUMIFS(RAB!$F$15:$F$26,RAB!$C$15:$C$26,C1112)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SUMIFS(RAB!$F$15:$F$26,RAB!$C$15:$C$26,C1113)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SUMIFS(RAB!$F$15:$F$26,RAB!$C$15:$C$26,C1114)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SUMIFS(RAB!$F$15:$F$26,RAB!$C$15:$C$26,C1115)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SUMIFS(RAB!$F$15:$F$26,RAB!$C$15:$C$26,C1116)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SUMIFS(RAB!$F$15:$F$26,RAB!$C$15:$C$26,C1117)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SUMIFS(RAB!$F$15:$F$26,RAB!$C$15:$C$26,C1118)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SUMIFS(RAB!$F$15:$F$26,RAB!$C$15:$C$26,C1119)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SUMIFS(RAB!$F$15:$F$26,RAB!$C$15:$C$26,C1120)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SUMIFS(RAB!$F$15:$F$26,RAB!$C$15:$C$26,C1121)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SUMIFS(RAB!$F$15:$F$26,RAB!$C$15:$C$26,C1122)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SUMIFS(RAB!$F$15:$F$26,RAB!$C$15:$C$26,C1123)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SUMIFS(RAB!$F$15:$F$26,RAB!$C$15:$C$26,C1124)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SUMIFS(RAB!$F$15:$F$26,RAB!$C$15:$C$26,C1125)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SUMIFS(RAB!$F$15:$F$26,RAB!$C$15:$C$26,C1126)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SUMIFS(RAB!$F$15:$F$26,RAB!$C$15:$C$26,C1127)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SUMIFS(RAB!$F$15:$F$26,RAB!$C$15:$C$26,C1128)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SUMIFS(RAB!$F$15:$F$26,RAB!$C$15:$C$26,C1129)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SUMIFS(RAB!$F$15:$F$26,RAB!$C$15:$C$26,C1130)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SUMIFS(RAB!$F$15:$F$26,RAB!$C$15:$C$26,C1131)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SUMIFS(RAB!$F$15:$F$26,RAB!$C$15:$C$26,C1132)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SUMIFS(RAB!$F$15:$F$26,RAB!$C$15:$C$26,C1133)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SUMIFS(RAB!$F$15:$F$26,RAB!$C$15:$C$26,C1134)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SUMIFS(RAB!$F$15:$F$26,RAB!$C$15:$C$26,C1135)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SUMIFS(RAB!$F$15:$F$26,RAB!$C$15:$C$26,C1136)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SUMIFS(RAB!$F$15:$F$26,RAB!$C$15:$C$26,C1137)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SUMIFS(RAB!$F$15:$F$26,RAB!$C$15:$C$26,C1138)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SUMIFS(RAB!$F$15:$F$26,RAB!$C$15:$C$26,C1139)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SUMIFS(RAB!$F$15:$F$26,RAB!$C$15:$C$26,C1140)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SUMIFS(RAB!$F$15:$F$26,RAB!$C$15:$C$26,C1141)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SUMIFS(RAB!$F$15:$F$26,RAB!$C$15:$C$26,C1142)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SUMIFS(RAB!$F$15:$F$26,RAB!$C$15:$C$26,C1143)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SUMIFS(RAB!$F$15:$F$26,RAB!$C$15:$C$26,C1144)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SUMIFS(RAB!$F$15:$F$26,RAB!$C$15:$C$26,C1145)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SUMIFS(RAB!$F$15:$F$26,RAB!$C$15:$C$26,C1146)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SUMIFS(RAB!$F$15:$F$26,RAB!$C$15:$C$26,C1147)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SUMIFS(RAB!$F$15:$F$26,RAB!$C$15:$C$26,C1148)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SUMIFS(RAB!$F$15:$F$26,RAB!$C$15:$C$26,C1149)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SUMIFS(RAB!$F$15:$F$26,RAB!$C$15:$C$26,C1150)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SUMIFS(RAB!$F$15:$F$26,RAB!$C$15:$C$26,C1151)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SUMIFS(RAB!$F$15:$F$26,RAB!$C$15:$C$26,C1152)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SUMIFS(RAB!$F$15:$F$26,RAB!$C$15:$C$26,C1153)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SUMIFS(RAB!$F$15:$F$26,RAB!$C$15:$C$26,C1154)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SUMIFS(RAB!$F$15:$F$26,RAB!$C$15:$C$26,C1155)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SUMIFS(RAB!$F$15:$F$26,RAB!$C$15:$C$26,C1156)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SUMIFS(RAB!$F$15:$F$26,RAB!$C$15:$C$26,C1157)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SUMIFS(RAB!$F$15:$F$26,RAB!$C$15:$C$26,C1158)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SUMIFS(RAB!$F$15:$F$26,RAB!$C$15:$C$26,C1159)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SUMIFS(RAB!$F$15:$F$26,RAB!$C$15:$C$26,C1160)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SUMIFS(RAB!$F$15:$F$26,RAB!$C$15:$C$26,C1161)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SUMIFS(RAB!$F$15:$F$26,RAB!$C$15:$C$26,C1162)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SUMIFS(RAB!$F$15:$F$26,RAB!$C$15:$C$26,C1163)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SUMIFS(RAB!$F$15:$F$26,RAB!$C$15:$C$26,C1164)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SUMIFS(RAB!$F$15:$F$26,RAB!$C$15:$C$26,C1165)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SUMIFS(RAB!$F$15:$F$26,RAB!$C$15:$C$26,C1166)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SUMIFS(RAB!$F$15:$F$26,RAB!$C$15:$C$26,C1167)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SUMIFS(RAB!$F$15:$F$26,RAB!$C$15:$C$26,C1168)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SUMIFS(RAB!$F$15:$F$26,RAB!$C$15:$C$26,C1169)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SUMIFS(RAB!$F$15:$F$26,RAB!$C$15:$C$26,C1170)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SUMIFS(RAB!$F$15:$F$26,RAB!$C$15:$C$26,C1171)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SUMIFS(RAB!$F$15:$F$26,RAB!$C$15:$C$26,C1172)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SUMIFS(RAB!$F$15:$F$26,RAB!$C$15:$C$26,C1173)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SUMIFS(RAB!$F$15:$F$26,RAB!$C$15:$C$26,C1174)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SUMIFS(RAB!$F$15:$F$26,RAB!$C$15:$C$26,C1175)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SUMIFS(RAB!$F$15:$F$26,RAB!$C$15:$C$26,C1176)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SUMIFS(RAB!$F$15:$F$26,RAB!$C$15:$C$26,C1177)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SUMIFS(RAB!$F$15:$F$26,RAB!$C$15:$C$26,C1178)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SUMIFS(RAB!$F$15:$F$26,RAB!$C$15:$C$26,C1179)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SUMIFS(RAB!$F$15:$F$26,RAB!$C$15:$C$26,C1180)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SUMIFS(RAB!$F$15:$F$26,RAB!$C$15:$C$26,C1181)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SUMIFS(RAB!$F$15:$F$26,RAB!$C$15:$C$26,C1182)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SUMIFS(RAB!$F$15:$F$26,RAB!$C$15:$C$26,C1183)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SUMIFS(RAB!$F$15:$F$26,RAB!$C$15:$C$26,C1184)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SUMIFS(RAB!$F$15:$F$26,RAB!$C$15:$C$26,C1185)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SUMIFS(RAB!$F$15:$F$26,RAB!$C$15:$C$26,C1186)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SUMIFS(RAB!$F$15:$F$26,RAB!$C$15:$C$26,C1187)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SUMIFS(RAB!$F$15:$F$26,RAB!$C$15:$C$26,C1188)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SUMIFS(RAB!$F$15:$F$26,RAB!$C$15:$C$26,C1189)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SUMIFS(RAB!$F$15:$F$26,RAB!$C$15:$C$26,C1190)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SUMIFS(RAB!$F$15:$F$26,RAB!$C$15:$C$26,C1191)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SUMIFS(RAB!$F$15:$F$26,RAB!$C$15:$C$26,C1192)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SUMIFS(RAB!$F$15:$F$26,RAB!$C$15:$C$26,C1193)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SUMIFS(RAB!$F$15:$F$26,RAB!$C$15:$C$26,C1194)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SUMIFS(RAB!$F$15:$F$26,RAB!$C$15:$C$26,C1195)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SUMIFS(RAB!$F$15:$F$26,RAB!$C$15:$C$26,C1196)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SUMIFS(RAB!$F$15:$F$26,RAB!$C$15:$C$26,C1197)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SUMIFS(RAB!$F$15:$F$26,RAB!$C$15:$C$26,C1198)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SUMIFS(RAB!$F$15:$F$26,RAB!$C$15:$C$26,C1199)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SUMIFS(RAB!$F$15:$F$26,RAB!$C$15:$C$26,C1200)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SUMIFS(RAB!$F$15:$F$26,RAB!$C$15:$C$26,C1201)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SUMIFS(RAB!$F$15:$F$26,RAB!$C$15:$C$26,C1202)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SUMIFS(RAB!$F$15:$F$26,RAB!$C$15:$C$26,C1203)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SUMIFS(RAB!$F$15:$F$26,RAB!$C$15:$C$26,C1204)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SUMIFS(RAB!$F$15:$F$26,RAB!$C$15:$C$26,C1205)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SUMIFS(RAB!$F$15:$F$26,RAB!$C$15:$C$26,C1206)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SUMIFS(RAB!$F$15:$F$26,RAB!$C$15:$C$26,C1207)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SUMIFS(RAB!$F$15:$F$26,RAB!$C$15:$C$26,C1208)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SUMIFS(RAB!$F$15:$F$26,RAB!$C$15:$C$26,C1209)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SUMIFS(RAB!$F$15:$F$26,RAB!$C$15:$C$26,C1210)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SUMIFS(RAB!$F$15:$F$26,RAB!$C$15:$C$26,C1211)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SUMIFS(RAB!$F$15:$F$26,RAB!$C$15:$C$26,C1212)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SUMIFS(RAB!$F$15:$F$26,RAB!$C$15:$C$26,C1213)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SUMIFS(RAB!$F$15:$F$26,RAB!$C$15:$C$26,C1214)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SUMIFS(RAB!$F$15:$F$26,RAB!$C$15:$C$26,C1215)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SUMIFS(RAB!$F$15:$F$26,RAB!$C$15:$C$26,C1216)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SUMIFS(RAB!$F$15:$F$26,RAB!$C$15:$C$26,C1217)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SUMIFS(RAB!$F$15:$F$26,RAB!$C$15:$C$26,C1218)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SUMIFS(RAB!$F$15:$F$26,RAB!$C$15:$C$26,C1219)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SUMIFS(RAB!$F$15:$F$26,RAB!$C$15:$C$26,C1220)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SUMIFS(RAB!$F$15:$F$26,RAB!$C$15:$C$26,C1221)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SUMIFS(RAB!$F$15:$F$26,RAB!$C$15:$C$26,C1222)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SUMIFS(RAB!$F$15:$F$26,RAB!$C$15:$C$26,C1223)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SUMIFS(RAB!$F$15:$F$26,RAB!$C$15:$C$26,C1224)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SUMIFS(RAB!$F$15:$F$26,RAB!$C$15:$C$26,C1225)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SUMIFS(RAB!$F$15:$F$26,RAB!$C$15:$C$26,C1226)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SUMIFS(RAB!$F$15:$F$26,RAB!$C$15:$C$26,C1227)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SUMIFS(RAB!$F$15:$F$26,RAB!$C$15:$C$26,C1228)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SUMIFS(RAB!$F$15:$F$26,RAB!$C$15:$C$26,C1229)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SUMIFS(RAB!$F$15:$F$26,RAB!$C$15:$C$26,C1230)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SUMIFS(RAB!$F$15:$F$26,RAB!$C$15:$C$26,C1231)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SUMIFS(RAB!$F$15:$F$26,RAB!$C$15:$C$26,C1232)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SUMIFS(RAB!$F$15:$F$26,RAB!$C$15:$C$26,C1233)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SUMIFS(RAB!$F$15:$F$26,RAB!$C$15:$C$26,C1234)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SUMIFS(RAB!$F$15:$F$26,RAB!$C$15:$C$26,C1235)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SUMIFS(RAB!$F$15:$F$26,RAB!$C$15:$C$26,C1236)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SUMIFS(RAB!$F$15:$F$26,RAB!$C$15:$C$26,C1237)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SUMIFS(RAB!$F$15:$F$26,RAB!$C$15:$C$26,C1238)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SUMIFS(RAB!$F$15:$F$26,RAB!$C$15:$C$26,C1239)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SUMIFS(RAB!$F$15:$F$26,RAB!$C$15:$C$26,C1240)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SUMIFS(RAB!$F$15:$F$26,RAB!$C$15:$C$26,C1241)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SUMIFS(RAB!$F$15:$F$26,RAB!$C$15:$C$26,C1242)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SUMIFS(RAB!$F$15:$F$26,RAB!$C$15:$C$26,C1243)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SUMIFS(RAB!$F$15:$F$26,RAB!$C$15:$C$26,C1244)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SUMIFS(RAB!$F$15:$F$26,RAB!$C$15:$C$26,C1245)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SUMIFS(RAB!$F$15:$F$26,RAB!$C$15:$C$26,C1246)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SUMIFS(RAB!$F$15:$F$26,RAB!$C$15:$C$26,C1247)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SUMIFS(RAB!$F$15:$F$26,RAB!$C$15:$C$26,C1248)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SUMIFS(RAB!$F$15:$F$26,RAB!$C$15:$C$26,C1249)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SUMIFS(RAB!$F$15:$F$26,RAB!$C$15:$C$26,C1250)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SUMIFS(RAB!$F$15:$F$26,RAB!$C$15:$C$26,C1251)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SUMIFS(RAB!$F$15:$F$26,RAB!$C$15:$C$26,C1252)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SUMIFS(RAB!$F$15:$F$26,RAB!$C$15:$C$26,C1253)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SUMIFS(RAB!$F$15:$F$26,RAB!$C$15:$C$26,C1254)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SUMIFS(RAB!$F$15:$F$26,RAB!$C$15:$C$26,C1255)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SUMIFS(RAB!$F$15:$F$26,RAB!$C$15:$C$26,C1256)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SUMIFS(RAB!$F$15:$F$26,RAB!$C$15:$C$26,C1257)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SUMIFS(RAB!$F$15:$F$26,RAB!$C$15:$C$26,C1258)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SUMIFS(RAB!$F$15:$F$26,RAB!$C$15:$C$26,C1259)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SUMIFS(RAB!$F$15:$F$26,RAB!$C$15:$C$26,C1260)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SUMIFS(RAB!$F$15:$F$26,RAB!$C$15:$C$26,C1261)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SUMIFS(RAB!$F$15:$F$26,RAB!$C$15:$C$26,C1262)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SUMIFS(RAB!$F$15:$F$26,RAB!$C$15:$C$26,C1263)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SUMIFS(RAB!$F$15:$F$26,RAB!$C$15:$C$26,C1264)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SUMIFS(RAB!$F$15:$F$26,RAB!$C$15:$C$26,C1265)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SUMIFS(RAB!$F$15:$F$26,RAB!$C$15:$C$26,C1266)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SUMIFS(RAB!$F$15:$F$26,RAB!$C$15:$C$26,C1267)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SUMIFS(RAB!$F$15:$F$26,RAB!$C$15:$C$26,C1268)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SUMIFS(RAB!$F$15:$F$26,RAB!$C$15:$C$26,C1269)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SUMIFS(RAB!$F$15:$F$26,RAB!$C$15:$C$26,C1270)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SUMIFS(RAB!$F$15:$F$26,RAB!$C$15:$C$26,C1271)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SUMIFS(RAB!$F$15:$F$26,RAB!$C$15:$C$26,C1272)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SUMIFS(RAB!$F$15:$F$26,RAB!$C$15:$C$26,C1273)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SUMIFS(RAB!$F$15:$F$26,RAB!$C$15:$C$26,C1274)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SUMIFS(RAB!$F$15:$F$26,RAB!$C$15:$C$26,C1275)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SUMIFS(RAB!$F$15:$F$26,RAB!$C$15:$C$26,C1276)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SUMIFS(RAB!$F$15:$F$26,RAB!$C$15:$C$26,C1277)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SUMIFS(RAB!$F$15:$F$26,RAB!$C$15:$C$26,C1278)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SUMIFS(RAB!$F$15:$F$26,RAB!$C$15:$C$26,C1279)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SUMIFS(RAB!$F$15:$F$26,RAB!$C$15:$C$26,C1280)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SUMIFS(RAB!$F$15:$F$26,RAB!$C$15:$C$26,C1281)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SUMIFS(RAB!$F$15:$F$26,RAB!$C$15:$C$26,C1282)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SUMIFS(RAB!$F$15:$F$26,RAB!$C$15:$C$26,C1283)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SUMIFS(RAB!$F$15:$F$26,RAB!$C$15:$C$26,C1284)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SUMIFS(RAB!$F$15:$F$26,RAB!$C$15:$C$26,C1285)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SUMIFS(RAB!$F$15:$F$26,RAB!$C$15:$C$26,C1286)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SUMIFS(RAB!$F$15:$F$26,RAB!$C$15:$C$26,C1287)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SUMIFS(RAB!$F$15:$F$26,RAB!$C$15:$C$26,C1288)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SUMIFS(RAB!$F$15:$F$26,RAB!$C$15:$C$26,C1289)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SUMIFS(RAB!$F$15:$F$26,RAB!$C$15:$C$26,C1290)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SUMIFS(RAB!$F$15:$F$26,RAB!$C$15:$C$26,C1291)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SUMIFS(RAB!$F$15:$F$26,RAB!$C$15:$C$26,C1292)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SUMIFS(RAB!$F$15:$F$26,RAB!$C$15:$C$26,C1293)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SUMIFS(RAB!$F$15:$F$26,RAB!$C$15:$C$26,C1294)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SUMIFS(RAB!$F$15:$F$26,RAB!$C$15:$C$26,C1295)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SUMIFS(RAB!$F$15:$F$26,RAB!$C$15:$C$26,C1296)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SUMIFS(RAB!$F$15:$F$26,RAB!$C$15:$C$26,C1297)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SUMIFS(RAB!$F$15:$F$26,RAB!$C$15:$C$26,C1298)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SUMIFS(RAB!$F$15:$F$26,RAB!$C$15:$C$26,C1299)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SUMIFS(RAB!$F$15:$F$26,RAB!$C$15:$C$26,C1300)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SUMIFS(RAB!$F$15:$F$26,RAB!$C$15:$C$26,C1301)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SUMIFS(RAB!$F$15:$F$26,RAB!$C$15:$C$26,C1302)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SUMIFS(RAB!$F$15:$F$26,RAB!$C$15:$C$26,C1303)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SUMIFS(RAB!$F$15:$F$26,RAB!$C$15:$C$26,C1304)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SUMIFS(RAB!$F$15:$F$26,RAB!$C$15:$C$26,C1305)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SUMIFS(RAB!$F$15:$F$26,RAB!$C$15:$C$26,C1306)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SUMIFS(RAB!$F$15:$F$26,RAB!$C$15:$C$26,C1307)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SUMIFS(RAB!$F$15:$F$26,RAB!$C$15:$C$26,C1308)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SUMIFS(RAB!$F$15:$F$26,RAB!$C$15:$C$26,C1309)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SUMIFS(RAB!$F$15:$F$26,RAB!$C$15:$C$26,C1310)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SUMIFS(RAB!$F$15:$F$26,RAB!$C$15:$C$26,C1311)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SUMIFS(RAB!$F$15:$F$26,RAB!$C$15:$C$26,C1312)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SUMIFS(RAB!$F$15:$F$26,RAB!$C$15:$C$26,C1313)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SUMIFS(RAB!$F$15:$F$26,RAB!$C$15:$C$26,C1314)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SUMIFS(RAB!$F$15:$F$26,RAB!$C$15:$C$26,C1315)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SUMIFS(RAB!$F$15:$F$26,RAB!$C$15:$C$26,C1316)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SUMIFS(RAB!$F$15:$F$26,RAB!$C$15:$C$26,C1317)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SUMIFS(RAB!$F$15:$F$26,RAB!$C$15:$C$26,C1318)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SUMIFS(RAB!$F$15:$F$26,RAB!$C$15:$C$26,C1319)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SUMIFS(RAB!$F$15:$F$26,RAB!$C$15:$C$26,C1320)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4" priority="5" operator="equal">
      <formula>0</formula>
    </cfRule>
  </conditionalFormatting>
  <conditionalFormatting sqref="A10:L65536">
    <cfRule type="cellIs" dxfId="43" priority="1" operator="equal">
      <formula>0</formula>
    </cfRule>
  </conditionalFormatting>
  <conditionalFormatting sqref="C12:C711">
    <cfRule type="cellIs" dxfId="42" priority="66" stopIfTrue="1" operator="equal">
      <formula>0</formula>
    </cfRule>
  </conditionalFormatting>
  <conditionalFormatting sqref="E712:E65536">
    <cfRule type="cellIs" dxfId="41" priority="16" stopIfTrue="1" operator="equal">
      <formula>0</formula>
    </cfRule>
  </conditionalFormatting>
  <conditionalFormatting sqref="G1:G11 E6:E11 E1:E3 H7 H10:H11 F10:F711 G712:G65536">
    <cfRule type="cellIs" dxfId="40" priority="69" stopIfTrue="1" operator="equal">
      <formula>0</formula>
    </cfRule>
  </conditionalFormatting>
  <conditionalFormatting sqref="G12:H711">
    <cfRule type="cellIs" dxfId="39" priority="12" stopIfTrue="1" operator="equal">
      <formula>0</formula>
    </cfRule>
  </conditionalFormatting>
  <conditionalFormatting sqref="I7:K7">
    <cfRule type="cellIs" dxfId="38" priority="4" stopIfTrue="1" operator="equal">
      <formula>0</formula>
    </cfRule>
  </conditionalFormatting>
  <conditionalFormatting sqref="I10:L711">
    <cfRule type="cellIs" dxfId="37" priority="2" stopIfTrue="1" operator="equal">
      <formula>0</formula>
    </cfRule>
  </conditionalFormatting>
  <conditionalFormatting sqref="L1:L6">
    <cfRule type="cellIs" dxfId="36" priority="10" operator="equal">
      <formula>0</formula>
    </cfRule>
  </conditionalFormatting>
  <conditionalFormatting sqref="M1:IV1048576 A8:G9">
    <cfRule type="cellIs" dxfId="3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1" t="s">
        <v>1126</v>
      </c>
      <c r="C4" s="501"/>
      <c r="D4" s="501"/>
      <c r="E4" s="501"/>
      <c r="F4" s="501"/>
      <c r="G4" s="501"/>
      <c r="H4" s="501"/>
      <c r="I4" s="501"/>
      <c r="J4" s="501"/>
      <c r="K4" s="50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5" t="str">
        <f>RAB!G6</f>
        <v>MASJID SRIWULAN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Sriwulan,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2" t="s">
        <v>0</v>
      </c>
      <c r="C11" s="504" t="s">
        <v>1</v>
      </c>
      <c r="D11" s="507" t="s">
        <v>42</v>
      </c>
      <c r="E11" s="507" t="s">
        <v>43</v>
      </c>
      <c r="F11" s="507" t="s">
        <v>2</v>
      </c>
      <c r="G11" s="509" t="s">
        <v>41</v>
      </c>
      <c r="H11" s="507" t="s">
        <v>3</v>
      </c>
      <c r="I11" s="507"/>
      <c r="J11" s="507"/>
      <c r="K11" s="512"/>
      <c r="M11" s="33"/>
      <c r="N11" s="33"/>
      <c r="O11" s="33"/>
      <c r="P11" s="33"/>
      <c r="R11" s="34"/>
      <c r="S11" s="74"/>
      <c r="T11" s="74"/>
    </row>
    <row r="12" spans="1:21" ht="15" customHeight="1">
      <c r="B12" s="503"/>
      <c r="C12" s="505"/>
      <c r="D12" s="508"/>
      <c r="E12" s="508"/>
      <c r="F12" s="508"/>
      <c r="G12" s="510"/>
      <c r="H12" s="516" t="s">
        <v>46</v>
      </c>
      <c r="I12" s="516" t="s">
        <v>5</v>
      </c>
      <c r="J12" s="508" t="s">
        <v>47</v>
      </c>
      <c r="K12" s="51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3"/>
      <c r="C13" s="506"/>
      <c r="D13" s="508"/>
      <c r="E13" s="508"/>
      <c r="F13" s="508"/>
      <c r="G13" s="511"/>
      <c r="H13" s="517"/>
      <c r="I13" s="517"/>
      <c r="J13" s="508"/>
      <c r="K13" s="51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6" t="s">
        <v>1007</v>
      </c>
      <c r="D38" s="526"/>
      <c r="E38" s="526"/>
      <c r="F38" s="52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7" t="s">
        <v>462</v>
      </c>
      <c r="D39" s="527"/>
      <c r="E39" s="527"/>
      <c r="F39" s="52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8" t="s">
        <v>463</v>
      </c>
      <c r="D40" s="518"/>
      <c r="E40" s="518"/>
      <c r="F40" s="51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9" t="e">
        <f ca="1">"Terbilang : ( "&amp;L42&amp;" Rupiah )"</f>
        <v>#NAME?</v>
      </c>
      <c r="C41" s="520"/>
      <c r="D41" s="520"/>
      <c r="E41" s="520"/>
      <c r="F41" s="520"/>
      <c r="G41" s="520"/>
      <c r="H41" s="520"/>
      <c r="I41" s="520"/>
      <c r="J41" s="520"/>
      <c r="K41" s="521"/>
      <c r="L41" s="44"/>
      <c r="R41" s="58"/>
      <c r="S41" s="58"/>
      <c r="T41" s="58"/>
    </row>
    <row r="42" spans="1:20" s="36" customFormat="1">
      <c r="A42" s="30"/>
      <c r="B42" s="522"/>
      <c r="C42" s="523"/>
      <c r="D42" s="523"/>
      <c r="E42" s="523"/>
      <c r="F42" s="523"/>
      <c r="G42" s="523"/>
      <c r="H42" s="523"/>
      <c r="I42" s="523"/>
      <c r="J42" s="523"/>
      <c r="K42" s="524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3"/>
      <c r="I45" s="513"/>
      <c r="J45" s="514"/>
      <c r="K45" s="51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3"/>
      <c r="I46" s="513"/>
      <c r="J46" s="514"/>
      <c r="K46" s="51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3"/>
      <c r="I47" s="513"/>
      <c r="J47" s="514"/>
      <c r="K47" s="51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3"/>
      <c r="I52" s="513"/>
      <c r="J52" s="514"/>
      <c r="K52" s="51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SUMIFS(RAB!$F$15:$F$26,RAB!$C$15:$C$26,'REKAP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SUMIFS(RAB!$F$15:$F$26,RAB!$C$15:$C$26,'REKAP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SUMIFS(RAB!$F$15:$F$26,RAB!$C$15:$C$26,'REKAP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SUMIFS(RAB!$F$15:$F$26,RAB!$C$15:$C$26,'REKAP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SUMIFS(RAB!$F$15:$F$26,RAB!$C$15:$C$26,'REKAP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SUMIFS(RAB!$F$15:$F$26,RAB!$C$15:$C$26,'REKAP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SUMIFS(RAB!$F$15:$F$26,RAB!$C$15:$C$26,'REKAP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SUMIFS(RAB!$F$15:$F$26,RAB!$C$15:$C$26,'REKAP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SUMIFS(RAB!$F$15:$F$26,RAB!$C$15:$C$26,'REKAP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SUMIFS(RAB!$F$15:$F$26,RAB!$C$15:$C$26,'REKAP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SUMIFS(RAB!$F$15:$F$26,RAB!$C$15:$C$26,'REKAP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SUMIFS(RAB!$F$15:$F$26,RAB!$C$15:$C$26,'REKAP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SUMIFS(RAB!$F$15:$F$26,RAB!$C$15:$C$26,'REKAP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SUMIFS(RAB!$F$15:$F$26,RAB!$C$15:$C$26,'REKAP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SUMIFS(RAB!$F$15:$F$26,RAB!$C$15:$C$26,'REKAP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SUMIFS(RAB!$F$15:$F$26,RAB!$C$15:$C$26,'REKAP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SUMIFS(RAB!$F$15:$F$26,RAB!$C$15:$C$26,'REKAP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SUMIFS(RAB!$F$15:$F$26,RAB!$C$15:$C$26,'REKAP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SUMIFS(RAB!$F$15:$F$26,RAB!$C$15:$C$26,'REKAP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SUMIFS(RAB!$F$15:$F$26,RAB!$C$15:$C$26,'REKAP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1" t="s">
        <v>1033</v>
      </c>
      <c r="C4" s="501"/>
      <c r="D4" s="501"/>
      <c r="E4" s="501"/>
      <c r="F4" s="501"/>
      <c r="G4" s="501"/>
      <c r="H4" s="501"/>
      <c r="I4" s="501"/>
      <c r="J4" s="501"/>
      <c r="K4" s="50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5" t="str">
        <f>RAB!G6</f>
        <v>MASJID SRIWULAN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Sriwulan,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2" t="s">
        <v>0</v>
      </c>
      <c r="C11" s="504" t="s">
        <v>1</v>
      </c>
      <c r="D11" s="507" t="s">
        <v>42</v>
      </c>
      <c r="E11" s="507" t="s">
        <v>43</v>
      </c>
      <c r="F11" s="507" t="s">
        <v>2</v>
      </c>
      <c r="G11" s="509" t="s">
        <v>41</v>
      </c>
      <c r="H11" s="507" t="s">
        <v>3</v>
      </c>
      <c r="I11" s="507"/>
      <c r="J11" s="507"/>
      <c r="K11" s="512"/>
      <c r="M11" s="33"/>
      <c r="N11" s="33"/>
      <c r="O11" s="33"/>
      <c r="P11" s="33"/>
      <c r="R11" s="34"/>
      <c r="S11" s="74"/>
      <c r="T11" s="74"/>
    </row>
    <row r="12" spans="1:21" ht="15" customHeight="1">
      <c r="B12" s="503"/>
      <c r="C12" s="505"/>
      <c r="D12" s="508"/>
      <c r="E12" s="508"/>
      <c r="F12" s="508"/>
      <c r="G12" s="510"/>
      <c r="H12" s="516" t="s">
        <v>46</v>
      </c>
      <c r="I12" s="516" t="s">
        <v>5</v>
      </c>
      <c r="J12" s="508" t="s">
        <v>47</v>
      </c>
      <c r="K12" s="51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3"/>
      <c r="C13" s="506"/>
      <c r="D13" s="508"/>
      <c r="E13" s="508"/>
      <c r="F13" s="508"/>
      <c r="G13" s="511"/>
      <c r="H13" s="517"/>
      <c r="I13" s="517"/>
      <c r="J13" s="508"/>
      <c r="K13" s="51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MCB 3 Fasa 35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172800</v>
      </c>
      <c r="H16" s="42">
        <f t="shared" ca="1" si="1"/>
        <v>172800</v>
      </c>
      <c r="I16" s="42">
        <f t="shared" ca="1" si="2"/>
        <v>0</v>
      </c>
      <c r="J16" s="42">
        <f t="shared" ca="1" si="3"/>
        <v>0</v>
      </c>
      <c r="K16" s="43">
        <f t="shared" ca="1" si="0"/>
        <v>172800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80" ca="1" si="4">IF(C17="","",A17)</f>
        <v/>
      </c>
      <c r="C17" s="109" t="str">
        <f t="shared" ref="C17:C80" ca="1" si="5">IF(ISERROR(OFFSET($C$223,MATCH(A17,$F$224:$F$373,0),0)),"",OFFSET($C$223,MATCH(A17,$F$224:$F$373,0),0))</f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ref="F17:F80" ca="1" si="6">IF(ISERROR(OFFSET($D$223,MATCH(A17,$F$224:$F$373,0),0)),"",OFFSET($D$223,MATCH(A17,$F$224:$F$373,0),0))</f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6" t="s">
        <v>1007</v>
      </c>
      <c r="D168" s="526"/>
      <c r="E168" s="526"/>
      <c r="F168" s="526"/>
      <c r="G168" s="77" t="s">
        <v>9</v>
      </c>
      <c r="H168" s="55">
        <f ca="1">SUM(H14:H167)</f>
        <v>172800</v>
      </c>
      <c r="I168" s="55">
        <f ca="1">SUM(I14:I167)</f>
        <v>0</v>
      </c>
      <c r="J168" s="55">
        <f ca="1">SUM(J14:J167)</f>
        <v>0</v>
      </c>
      <c r="K168" s="55">
        <f ca="1">SUM(K14:K167)</f>
        <v>172800</v>
      </c>
      <c r="L168" s="44"/>
      <c r="R168" s="99"/>
      <c r="S168" s="99"/>
      <c r="T168" s="99"/>
    </row>
    <row r="169" spans="1:20" s="36" customFormat="1">
      <c r="A169" s="30"/>
      <c r="B169" s="56"/>
      <c r="C169" s="527" t="s">
        <v>462</v>
      </c>
      <c r="D169" s="527"/>
      <c r="E169" s="527"/>
      <c r="F169" s="527"/>
      <c r="G169" s="59" t="s">
        <v>9</v>
      </c>
      <c r="H169" s="60">
        <f ca="1">H168*0.1</f>
        <v>17280</v>
      </c>
      <c r="I169" s="60">
        <f ca="1">I168*0.1</f>
        <v>0</v>
      </c>
      <c r="J169" s="60">
        <f ca="1">J168*0.1</f>
        <v>0</v>
      </c>
      <c r="K169" s="60">
        <f ca="1">K168*0.1</f>
        <v>17280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8" t="s">
        <v>463</v>
      </c>
      <c r="D170" s="518"/>
      <c r="E170" s="518"/>
      <c r="F170" s="518"/>
      <c r="G170" s="61" t="s">
        <v>9</v>
      </c>
      <c r="H170" s="78">
        <f ca="1">SUM(H168:H169)</f>
        <v>190080</v>
      </c>
      <c r="I170" s="78">
        <f ca="1">SUM(I168:I169)</f>
        <v>0</v>
      </c>
      <c r="J170" s="61">
        <f ca="1">SUM(J168:J169)</f>
        <v>0</v>
      </c>
      <c r="K170" s="61">
        <f ca="1">SUM(K168:K169)</f>
        <v>190080</v>
      </c>
      <c r="L170" s="44"/>
      <c r="R170" s="99"/>
      <c r="S170" s="99"/>
      <c r="T170" s="99"/>
    </row>
    <row r="171" spans="1:20" s="36" customFormat="1">
      <c r="A171" s="30"/>
      <c r="B171" s="519" t="e">
        <f ca="1">"Terbilang : ( "&amp;L172&amp;" Rupiah )"</f>
        <v>#NAME?</v>
      </c>
      <c r="C171" s="520"/>
      <c r="D171" s="520"/>
      <c r="E171" s="520"/>
      <c r="F171" s="520"/>
      <c r="G171" s="520"/>
      <c r="H171" s="520"/>
      <c r="I171" s="520"/>
      <c r="J171" s="520"/>
      <c r="K171" s="521"/>
      <c r="L171" s="44"/>
      <c r="R171" s="58"/>
      <c r="S171" s="58"/>
      <c r="T171" s="58"/>
    </row>
    <row r="172" spans="1:20" s="36" customFormat="1">
      <c r="A172" s="30"/>
      <c r="B172" s="522"/>
      <c r="C172" s="523"/>
      <c r="D172" s="523"/>
      <c r="E172" s="523"/>
      <c r="F172" s="523"/>
      <c r="G172" s="523"/>
      <c r="H172" s="523"/>
      <c r="I172" s="523"/>
      <c r="J172" s="523"/>
      <c r="K172" s="524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3"/>
      <c r="I175" s="513"/>
      <c r="J175" s="514"/>
      <c r="K175" s="51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3"/>
      <c r="I176" s="513"/>
      <c r="J176" s="514"/>
      <c r="K176" s="51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3"/>
      <c r="I177" s="513"/>
      <c r="J177" s="514"/>
      <c r="K177" s="51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3"/>
      <c r="I182" s="513"/>
      <c r="J182" s="514"/>
      <c r="K182" s="51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SUMIFS(RAB!$F$15:$F$26,RAB!$C$15:$C$26,C224)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SUMIFS(RAB!$F$15:$F$26,RAB!$C$15:$C$26,C225)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SUMIFS(RAB!$F$15:$F$26,RAB!$C$15:$C$26,C226)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SUMIFS(RAB!$F$15:$F$26,RAB!$C$15:$C$26,C227)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SUMIFS(RAB!$F$15:$F$26,RAB!$C$15:$C$26,C228)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SUMIFS(RAB!$F$15:$F$26,RAB!$C$15:$C$26,C229)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SUMIFS(RAB!$F$15:$F$26,RAB!$C$15:$C$26,C230)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SUMIFS(RAB!$F$15:$F$26,RAB!$C$15:$C$26,C231)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SUMIFS(RAB!$F$15:$F$26,RAB!$C$15:$C$26,C232)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SUMIFS(RAB!$F$15:$F$26,RAB!$C$15:$C$26,C233)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SUMIFS(RAB!$F$15:$F$26,RAB!$C$15:$C$26,C234)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SUMIFS(RAB!$F$15:$F$26,RAB!$C$15:$C$26,C235)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SUMIFS(RAB!$F$15:$F$26,RAB!$C$15:$C$26,C236)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SUMIFS(RAB!$F$15:$F$26,RAB!$C$15:$C$26,C237)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SUMIFS(RAB!$F$15:$F$26,RAB!$C$15:$C$26,C238)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SUMIFS(RAB!$F$15:$F$26,RAB!$C$15:$C$26,C239)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SUMIFS(RAB!$F$15:$F$26,RAB!$C$15:$C$26,C240)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SUMIFS(RAB!$F$15:$F$26,RAB!$C$15:$C$26,C241)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SUMIFS(RAB!$F$15:$F$26,RAB!$C$15:$C$26,C242)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SUMIFS(RAB!$F$15:$F$26,RAB!$C$15:$C$26,C243)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SUMIFS(RAB!$F$15:$F$26,RAB!$C$15:$C$26,C244)</f>
        <v>1</v>
      </c>
      <c r="E244" s="24">
        <f t="shared" ca="1" si="21"/>
        <v>1</v>
      </c>
      <c r="F244" s="24">
        <f ca="1">IF(D244=0,0,SUM($E$223:E244))</f>
        <v>1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SUMIFS(RAB!$F$15:$F$26,RAB!$C$15:$C$26,C245)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SUMIFS(RAB!$F$15:$F$26,RAB!$C$15:$C$26,C246)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SUMIFS(RAB!$F$15:$F$26,RAB!$C$15:$C$26,C247)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SUMIFS(RAB!$F$15:$F$26,RAB!$C$15:$C$26,C248)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SUMIFS(RAB!$F$15:$F$26,RAB!$C$15:$C$26,C249)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SUMIFS(RAB!$F$15:$F$26,RAB!$C$15:$C$26,C250)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SUMIFS(RAB!$F$15:$F$26,RAB!$C$15:$C$26,C251)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SUMIFS(RAB!$F$15:$F$26,RAB!$C$15:$C$26,C252)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SUMIFS(RAB!$F$15:$F$26,RAB!$C$15:$C$26,C253)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SUMIFS(RAB!$F$15:$F$26,RAB!$C$15:$C$26,C254)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SUMIFS(RAB!$F$15:$F$26,RAB!$C$15:$C$26,C255)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SUMIFS(RAB!$F$15:$F$26,RAB!$C$15:$C$26,C256)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SUMIFS(RAB!$F$15:$F$26,RAB!$C$15:$C$26,C257)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SUMIFS(RAB!$F$15:$F$26,RAB!$C$15:$C$26,C258)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SUMIFS(RAB!$F$15:$F$26,RAB!$C$15:$C$26,C259)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SUMIFS(RAB!$F$15:$F$26,RAB!$C$15:$C$26,C260)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SUMIFS(RAB!$F$15:$F$26,RAB!$C$15:$C$26,C261)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SUMIFS(RAB!$F$15:$F$26,RAB!$C$15:$C$26,C262)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SUMIFS(RAB!$F$15:$F$26,RAB!$C$15:$C$26,C263)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SUMIFS(RAB!$F$15:$F$26,RAB!$C$15:$C$26,C264)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SUMIFS(RAB!$F$15:$F$26,RAB!$C$15:$C$26,C265)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SUMIFS(RAB!$F$15:$F$26,RAB!$C$15:$C$26,C266)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SUMIFS(RAB!$F$15:$F$26,RAB!$C$15:$C$26,C267)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SUMIFS(RAB!$F$15:$F$26,RAB!$C$15:$C$26,C268)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SUMIFS(RAB!$F$15:$F$26,RAB!$C$15:$C$26,C269)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SUMIFS(RAB!$F$15:$F$26,RAB!$C$15:$C$26,C270)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SUMIFS(RAB!$F$15:$F$26,RAB!$C$15:$C$26,C271)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SUMIFS(RAB!$F$15:$F$26,RAB!$C$15:$C$26,C272)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SUMIFS(RAB!$F$15:$F$26,RAB!$C$15:$C$26,C273)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SUMIFS(RAB!$F$15:$F$26,RAB!$C$15:$C$26,C274)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SUMIFS(RAB!$F$15:$F$26,RAB!$C$15:$C$26,C275)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SUMIFS(RAB!$F$15:$F$26,RAB!$C$15:$C$26,C276)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SUMIFS(RAB!$F$15:$F$26,RAB!$C$15:$C$26,C277)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SUMIFS(RAB!$F$15:$F$26,RAB!$C$15:$C$26,C278)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SUMIFS(RAB!$F$15:$F$26,RAB!$C$15:$C$26,C279)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SUMIFS(RAB!$F$15:$F$26,RAB!$C$15:$C$26,C280)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SUMIFS(RAB!$F$15:$F$26,RAB!$C$15:$C$26,C281)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SUMIFS(RAB!$F$15:$F$26,RAB!$C$15:$C$26,C282)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SUMIFS(RAB!$F$15:$F$26,RAB!$C$15:$C$26,C283)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SUMIFS(RAB!$F$15:$F$26,RAB!$C$15:$C$26,C284)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SUMIFS(RAB!$F$15:$F$26,RAB!$C$15:$C$26,C285)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SUMIFS(RAB!$F$15:$F$26,RAB!$C$15:$C$26,C286)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SUMIFS(RAB!$F$15:$F$26,RAB!$C$15:$C$26,C287)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SUMIFS(RAB!$F$15:$F$26,RAB!$C$15:$C$26,C288)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SUMIFS(RAB!$F$15:$F$26,RAB!$C$15:$C$26,C289)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SUMIFS(RAB!$F$15:$F$26,RAB!$C$15:$C$26,C290)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SUMIFS(RAB!$F$15:$F$26,RAB!$C$15:$C$26,C291)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SUMIFS(RAB!$F$15:$F$26,RAB!$C$15:$C$26,C292)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SUMIFS(RAB!$F$15:$F$26,RAB!$C$15:$C$26,C293)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SUMIFS(RAB!$F$15:$F$26,RAB!$C$15:$C$26,C294)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SUMIFS(RAB!$F$15:$F$26,RAB!$C$15:$C$26,C295)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SUMIFS(RAB!$F$15:$F$26,RAB!$C$15:$C$26,C296)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SUMIFS(RAB!$F$15:$F$26,RAB!$C$15:$C$26,C297)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SUMIFS(RAB!$F$15:$F$26,RAB!$C$15:$C$26,C298)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SUMIFS(RAB!$F$15:$F$26,RAB!$C$15:$C$26,C299)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SUMIFS(RAB!$F$15:$F$26,RAB!$C$15:$C$26,C300)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SUMIFS(RAB!$F$15:$F$26,RAB!$C$15:$C$26,C301)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SUMIFS(RAB!$F$15:$F$26,RAB!$C$15:$C$26,C302)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SUMIFS(RAB!$F$15:$F$26,RAB!$C$15:$C$26,C303)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SUMIFS(RAB!$F$15:$F$26,RAB!$C$15:$C$26,C304)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SUMIFS(RAB!$F$15:$F$26,RAB!$C$15:$C$26,C305)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SUMIFS(RAB!$F$15:$F$26,RAB!$C$15:$C$26,C306)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SUMIFS(RAB!$F$15:$F$26,RAB!$C$15:$C$26,C307)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SUMIFS(RAB!$F$15:$F$26,RAB!$C$15:$C$26,C308)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SUMIFS(RAB!$F$15:$F$26,RAB!$C$15:$C$26,C309)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SUMIFS(RAB!$F$15:$F$26,RAB!$C$15:$C$26,C310)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SUMIFS(RAB!$F$15:$F$26,RAB!$C$15:$C$26,C311)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SUMIFS(RAB!$F$15:$F$26,RAB!$C$15:$C$26,C312)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SUMIFS(RAB!$F$15:$F$26,RAB!$C$15:$C$26,C313)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SUMIFS(RAB!$F$15:$F$26,RAB!$C$15:$C$26,C314)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SUMIFS(RAB!$F$15:$F$26,RAB!$C$15:$C$26,C315)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SUMIFS(RAB!$F$15:$F$26,RAB!$C$15:$C$26,C316)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SUMIFS(RAB!$F$15:$F$26,RAB!$C$15:$C$26,C317)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SUMIFS(RAB!$F$15:$F$26,RAB!$C$15:$C$26,C318)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SUMIFS(RAB!$F$15:$F$26,RAB!$C$15:$C$26,C319)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SUMIFS(RAB!$F$15:$F$26,RAB!$C$15:$C$26,C320)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SUMIFS(RAB!$F$15:$F$26,RAB!$C$15:$C$26,C321)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SUMIFS(RAB!$F$15:$F$26,RAB!$C$15:$C$26,C322)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SUMIFS(RAB!$F$15:$F$26,RAB!$C$15:$C$26,C323)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SUMIFS(RAB!$F$15:$F$26,RAB!$C$15:$C$26,C324)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SUMIFS(RAB!$F$15:$F$26,RAB!$C$15:$C$26,C325)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SUMIFS(RAB!$F$15:$F$26,RAB!$C$15:$C$26,C326)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SUMIFS(RAB!$F$15:$F$26,RAB!$C$15:$C$26,C327)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SUMIFS(RAB!$F$15:$F$26,RAB!$C$15:$C$26,C328)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SUMIFS(RAB!$F$15:$F$26,RAB!$C$15:$C$26,C329)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SUMIFS(RAB!$F$15:$F$26,RAB!$C$15:$C$26,C330)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SUMIFS(RAB!$F$15:$F$26,RAB!$C$15:$C$26,C331)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SUMIFS(RAB!$F$15:$F$26,RAB!$C$15:$C$26,C332)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SUMIFS(RAB!$F$15:$F$26,RAB!$C$15:$C$26,C333)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SUMIFS(RAB!$F$15:$F$26,RAB!$C$15:$C$26,C334)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SUMIFS(RAB!$F$15:$F$26,RAB!$C$15:$C$26,C335)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SUMIFS(RAB!$F$15:$F$26,RAB!$C$15:$C$26,C336)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SUMIFS(RAB!$F$15:$F$26,RAB!$C$15:$C$26,C337)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SUMIFS(RAB!$F$15:$F$26,RAB!$C$15:$C$26,C338)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SUMIFS(RAB!$F$15:$F$26,RAB!$C$15:$C$26,C339)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SUMIFS(RAB!$F$15:$F$26,RAB!$C$15:$C$26,C340)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SUMIFS(RAB!$F$15:$F$26,RAB!$C$15:$C$26,C341)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SUMIFS(RAB!$F$15:$F$26,RAB!$C$15:$C$26,C342)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SUMIFS(RAB!$F$15:$F$26,RAB!$C$15:$C$26,C343)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SUMIFS(RAB!$F$15:$F$26,RAB!$C$15:$C$26,C344)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SUMIFS(RAB!$F$15:$F$26,RAB!$C$15:$C$26,C345)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SUMIFS(RAB!$F$15:$F$26,RAB!$C$15:$C$26,C346)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SUMIFS(RAB!$F$15:$F$26,RAB!$C$15:$C$26,C347)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SUMIFS(RAB!$F$15:$F$26,RAB!$C$15:$C$26,C348)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SUMIFS(RAB!$F$15:$F$26,RAB!$C$15:$C$26,C349)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SUMIFS(RAB!$F$15:$F$26,RAB!$C$15:$C$26,C350)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SUMIFS(RAB!$F$15:$F$26,RAB!$C$15:$C$26,C351)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SUMIFS(RAB!$F$15:$F$26,RAB!$C$15:$C$26,C352)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SUMIFS(RAB!$F$15:$F$26,RAB!$C$15:$C$26,C353)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SUMIFS(RAB!$F$15:$F$26,RAB!$C$15:$C$26,C354)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SUMIFS(RAB!$F$15:$F$26,RAB!$C$15:$C$26,C355)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SUMIFS(RAB!$F$15:$F$26,RAB!$C$15:$C$26,C356)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SUMIFS(RAB!$F$15:$F$26,RAB!$C$15:$C$26,C357)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SUMIFS(RAB!$F$15:$F$26,RAB!$C$15:$C$26,C358)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SUMIFS(RAB!$F$15:$F$26,RAB!$C$15:$C$26,C359)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SUMIFS(RAB!$F$15:$F$26,RAB!$C$15:$C$26,C360)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SUMIFS(RAB!$F$15:$F$26,RAB!$C$15:$C$26,C361)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SUMIFS(RAB!$F$15:$F$26,RAB!$C$15:$C$26,C362)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SUMIFS(RAB!$F$15:$F$26,RAB!$C$15:$C$26,C363)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SUMIFS(RAB!$F$15:$F$26,RAB!$C$15:$C$26,C364)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SUMIFS(RAB!$F$15:$F$26,RAB!$C$15:$C$26,C365)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SUMIFS(RAB!$F$15:$F$26,RAB!$C$15:$C$26,C366)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SUMIFS(RAB!$F$15:$F$26,RAB!$C$15:$C$26,C367)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SUMIFS(RAB!$F$15:$F$26,RAB!$C$15:$C$26,C368)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SUMIFS(RAB!$F$15:$F$26,RAB!$C$15:$C$26,C369)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SUMIFS(RAB!$F$15:$F$26,RAB!$C$15:$C$26,C370)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SUMIFS(RAB!$F$15:$F$26,RAB!$C$15:$C$26,C371)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SUMIFS(RAB!$F$15:$F$26,RAB!$C$15:$C$26,C372)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SUMIFS(RAB!$F$15:$F$26,RAB!$C$15:$C$26,C373)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2" priority="5" operator="equal">
      <formula>0</formula>
    </cfRule>
  </conditionalFormatting>
  <conditionalFormatting sqref="C16:C165">
    <cfRule type="cellIs" dxfId="31" priority="4" stopIfTrue="1" operator="equal">
      <formula>0</formula>
    </cfRule>
  </conditionalFormatting>
  <conditionalFormatting sqref="C16:E165">
    <cfRule type="cellIs" dxfId="30" priority="1" operator="equal">
      <formula>0</formula>
    </cfRule>
  </conditionalFormatting>
  <conditionalFormatting sqref="D224:F373">
    <cfRule type="cellIs" dxfId="29" priority="8" operator="equal">
      <formula>0</formula>
    </cfRule>
  </conditionalFormatting>
  <conditionalFormatting sqref="E1:E3 G1:G115 E6:E15 H12:I12 N13 F14:F15 H14:K115 E166:K166 G166:G223 E167:F167 H167:K167">
    <cfRule type="cellIs" dxfId="28" priority="43" stopIfTrue="1" operator="equal">
      <formula>0</formula>
    </cfRule>
  </conditionalFormatting>
  <conditionalFormatting sqref="E171:E65536">
    <cfRule type="cellIs" dxfId="27" priority="9" stopIfTrue="1" operator="equal">
      <formula>0</formula>
    </cfRule>
  </conditionalFormatting>
  <conditionalFormatting sqref="G224">
    <cfRule type="cellIs" dxfId="26" priority="10" operator="equal">
      <formula>0</formula>
    </cfRule>
  </conditionalFormatting>
  <conditionalFormatting sqref="G225:G65536">
    <cfRule type="cellIs" dxfId="25" priority="14" stopIfTrue="1" operator="equal">
      <formula>0</formula>
    </cfRule>
  </conditionalFormatting>
  <conditionalFormatting sqref="R14:T166 G116:K165">
    <cfRule type="cellIs" dxfId="2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" activePane="bottomRight" state="frozen"/>
      <selection activeCell="C28" sqref="C28"/>
      <selection pane="topRight" activeCell="C28" sqref="C28"/>
      <selection pane="bottomLeft" activeCell="C28" sqref="C28"/>
      <selection pane="bottomRight" activeCell="C31" sqref="C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9" t="s">
        <v>41</v>
      </c>
      <c r="C2" s="52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0" t="s">
        <v>23</v>
      </c>
      <c r="C4" s="531" t="s">
        <v>1011</v>
      </c>
      <c r="D4" s="531" t="s">
        <v>42</v>
      </c>
      <c r="E4" s="530" t="s">
        <v>43</v>
      </c>
      <c r="F4" s="108" t="s">
        <v>1604</v>
      </c>
      <c r="G4" s="108" t="s">
        <v>1603</v>
      </c>
      <c r="H4" s="528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0"/>
      <c r="C5" s="531"/>
      <c r="D5" s="531"/>
      <c r="E5" s="530"/>
      <c r="F5" s="93"/>
      <c r="G5" s="93"/>
      <c r="H5" s="528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3" priority="138" operator="equal">
      <formula>0</formula>
    </cfRule>
  </conditionalFormatting>
  <conditionalFormatting sqref="B8:C135">
    <cfRule type="cellIs" dxfId="22" priority="51" operator="equal">
      <formula>0</formula>
    </cfRule>
  </conditionalFormatting>
  <conditionalFormatting sqref="B150:G1493">
    <cfRule type="cellIs" dxfId="21" priority="1" operator="equal">
      <formula>0</formula>
    </cfRule>
  </conditionalFormatting>
  <conditionalFormatting sqref="C143:G149">
    <cfRule type="cellIs" dxfId="20" priority="5" operator="equal">
      <formula>0</formula>
    </cfRule>
  </conditionalFormatting>
  <conditionalFormatting sqref="D9:G142">
    <cfRule type="cellIs" dxfId="19" priority="11" operator="equal">
      <formula>0</formula>
    </cfRule>
  </conditionalFormatting>
  <conditionalFormatting sqref="D1:IV5 A1:C7 D6:K6 H1455:IV1457 H1458:XFD1485 H1486:H1493 I1486:XFD1494 A1494:H1494 A1495:XFD65536">
    <cfRule type="cellIs" dxfId="18" priority="163" operator="equal">
      <formula>0</formula>
    </cfRule>
  </conditionalFormatting>
  <conditionalFormatting sqref="D7:IV8 C136:C142 B136:B149">
    <cfRule type="cellIs" dxfId="17" priority="62" operator="equal">
      <formula>0</formula>
    </cfRule>
  </conditionalFormatting>
  <conditionalFormatting sqref="H9:H1418">
    <cfRule type="cellIs" dxfId="16" priority="129" operator="equal">
      <formula>0</formula>
    </cfRule>
  </conditionalFormatting>
  <conditionalFormatting sqref="H1419:I1454">
    <cfRule type="cellIs" dxfId="15" priority="128" operator="equal">
      <formula>0</formula>
    </cfRule>
  </conditionalFormatting>
  <conditionalFormatting sqref="I108:I1418">
    <cfRule type="cellIs" dxfId="14" priority="125" operator="equal">
      <formula>0</formula>
    </cfRule>
  </conditionalFormatting>
  <conditionalFormatting sqref="J108:IV1454">
    <cfRule type="cellIs" dxfId="13" priority="139" operator="equal">
      <formula>0</formula>
    </cfRule>
  </conditionalFormatting>
  <conditionalFormatting sqref="M6:IV6">
    <cfRule type="cellIs" dxfId="1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P24" sqref="P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1452</v>
      </c>
      <c r="C2" s="563"/>
      <c r="D2" s="563"/>
      <c r="E2" s="563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68" t="s">
        <v>1530</v>
      </c>
      <c r="C4" s="569"/>
      <c r="D4" s="569"/>
      <c r="E4" s="570"/>
      <c r="F4" s="388"/>
      <c r="G4" s="388"/>
      <c r="H4" s="389"/>
      <c r="I4" s="532" t="s">
        <v>1531</v>
      </c>
      <c r="J4" s="533"/>
      <c r="K4" s="533"/>
      <c r="L4" s="534"/>
    </row>
    <row r="5" spans="1:12" ht="34.5" customHeight="1">
      <c r="A5" s="204"/>
      <c r="B5" s="391" t="s">
        <v>1378</v>
      </c>
      <c r="C5" s="235" t="s">
        <v>9</v>
      </c>
      <c r="D5" s="564" t="str">
        <f>DATA!D14</f>
        <v>MASJID SRIWULAN</v>
      </c>
      <c r="E5" s="565"/>
      <c r="F5" s="208"/>
      <c r="G5" s="208"/>
      <c r="I5" s="392" t="s">
        <v>1378</v>
      </c>
      <c r="J5" s="235" t="s">
        <v>9</v>
      </c>
      <c r="K5" s="535" t="str">
        <f>D5</f>
        <v>MASJID SRIWULAN</v>
      </c>
      <c r="L5" s="536"/>
    </row>
    <row r="6" spans="1:12" ht="31.5" customHeight="1">
      <c r="A6" s="204"/>
      <c r="B6" s="391" t="s">
        <v>1527</v>
      </c>
      <c r="C6" s="235" t="s">
        <v>9</v>
      </c>
      <c r="D6" s="573">
        <f>DATA!D17*1000</f>
        <v>16500</v>
      </c>
      <c r="E6" s="574"/>
      <c r="F6" s="208"/>
      <c r="G6" s="208"/>
      <c r="I6" s="392" t="s">
        <v>1528</v>
      </c>
      <c r="J6" s="235" t="s">
        <v>9</v>
      </c>
      <c r="K6" s="537">
        <f>DATA!D20*1000</f>
        <v>23000</v>
      </c>
      <c r="L6" s="538"/>
    </row>
    <row r="7" spans="1:12" ht="30.75" customHeight="1">
      <c r="A7" s="204"/>
      <c r="B7" s="391" t="s">
        <v>1439</v>
      </c>
      <c r="C7" s="235" t="s">
        <v>9</v>
      </c>
      <c r="D7" s="571">
        <f>DATA!D18</f>
        <v>3</v>
      </c>
      <c r="E7" s="572"/>
      <c r="F7" s="390" t="s">
        <v>1451</v>
      </c>
      <c r="I7" s="392" t="s">
        <v>1439</v>
      </c>
      <c r="J7" s="235" t="s">
        <v>9</v>
      </c>
      <c r="K7" s="539">
        <f>DATA!D21</f>
        <v>3</v>
      </c>
      <c r="L7" s="540"/>
    </row>
    <row r="8" spans="1:12" ht="51" customHeight="1">
      <c r="A8" s="204"/>
      <c r="B8" s="391" t="s">
        <v>1440</v>
      </c>
      <c r="C8" s="235" t="s">
        <v>9</v>
      </c>
      <c r="D8" s="571">
        <f>DATA!D19</f>
        <v>380</v>
      </c>
      <c r="E8" s="572"/>
      <c r="F8" s="390" t="s">
        <v>1451</v>
      </c>
      <c r="G8" s="385">
        <v>220</v>
      </c>
      <c r="I8" s="392" t="s">
        <v>1440</v>
      </c>
      <c r="J8" s="235" t="s">
        <v>9</v>
      </c>
      <c r="K8" s="539">
        <f>DATA!D22</f>
        <v>380</v>
      </c>
      <c r="L8" s="540"/>
    </row>
    <row r="9" spans="1:12" ht="30" customHeight="1" thickBot="1">
      <c r="A9" s="204"/>
      <c r="B9" s="397" t="s">
        <v>1539</v>
      </c>
      <c r="C9" s="387" t="s">
        <v>9</v>
      </c>
      <c r="D9" s="566">
        <f>IF(D7=1,D6/(380/3^0.5),(D6/(380*3^0.5)))</f>
        <v>25.069156425339017</v>
      </c>
      <c r="E9" s="567"/>
      <c r="F9" s="207"/>
      <c r="G9" s="386">
        <v>380</v>
      </c>
      <c r="I9" s="398" t="s">
        <v>1539</v>
      </c>
      <c r="J9" s="387" t="s">
        <v>9</v>
      </c>
      <c r="K9" s="543">
        <f>IF(K7=1,K6/(380/3^0.5),(K6/(380*3^0.5)))</f>
        <v>34.94488471410893</v>
      </c>
      <c r="L9" s="544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75"/>
      <c r="E12" s="576"/>
      <c r="F12" s="208"/>
      <c r="G12" s="208"/>
      <c r="I12" s="414" t="s">
        <v>1532</v>
      </c>
      <c r="J12" s="415" t="s">
        <v>9</v>
      </c>
      <c r="K12" s="575"/>
      <c r="L12" s="576"/>
    </row>
    <row r="13" spans="1:12" ht="31.5" customHeight="1">
      <c r="A13" s="204"/>
      <c r="B13" s="422" t="s">
        <v>1379</v>
      </c>
      <c r="C13" s="402" t="s">
        <v>9</v>
      </c>
      <c r="D13" s="541"/>
      <c r="E13" s="542"/>
      <c r="F13" s="208"/>
      <c r="G13" s="208"/>
      <c r="I13" s="416" t="s">
        <v>1379</v>
      </c>
      <c r="J13" s="402" t="s">
        <v>9</v>
      </c>
      <c r="K13" s="541"/>
      <c r="L13" s="542"/>
    </row>
    <row r="14" spans="1:12" ht="30.75" customHeight="1">
      <c r="A14" s="204"/>
      <c r="B14" s="422" t="s">
        <v>1533</v>
      </c>
      <c r="C14" s="402" t="s">
        <v>9</v>
      </c>
      <c r="D14" s="545"/>
      <c r="E14" s="546"/>
      <c r="F14" s="390" t="s">
        <v>1451</v>
      </c>
      <c r="G14" s="394">
        <v>50</v>
      </c>
      <c r="I14" s="416" t="s">
        <v>1533</v>
      </c>
      <c r="J14" s="402" t="s">
        <v>9</v>
      </c>
      <c r="K14" s="547">
        <v>100</v>
      </c>
      <c r="L14" s="548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49">
        <v>35</v>
      </c>
      <c r="E16" s="550"/>
      <c r="F16" s="390"/>
      <c r="G16" s="394">
        <v>160</v>
      </c>
      <c r="I16" s="416" t="s">
        <v>1535</v>
      </c>
      <c r="J16" s="402" t="s">
        <v>9</v>
      </c>
      <c r="K16" s="553">
        <f>K9</f>
        <v>34.94488471410893</v>
      </c>
      <c r="L16" s="554"/>
    </row>
    <row r="17" spans="1:12" ht="34.5" customHeight="1">
      <c r="A17" s="204"/>
      <c r="B17" s="422" t="s">
        <v>1536</v>
      </c>
      <c r="C17" s="402" t="s">
        <v>9</v>
      </c>
      <c r="D17" s="551">
        <f>IF(D15=1,D14/(20/3^0.5),(D14/(20*3^0.5)))</f>
        <v>0</v>
      </c>
      <c r="E17" s="552"/>
      <c r="F17" s="390" t="s">
        <v>1451</v>
      </c>
      <c r="G17" s="395">
        <v>200</v>
      </c>
      <c r="I17" s="416" t="s">
        <v>1536</v>
      </c>
      <c r="J17" s="402" t="s">
        <v>9</v>
      </c>
      <c r="K17" s="557">
        <f>IF(K15=1,K14/(20/3^0.5),(K14/(20*3^0.5)))</f>
        <v>2.8867513459481291</v>
      </c>
      <c r="L17" s="558"/>
    </row>
    <row r="18" spans="1:12" ht="34.5" customHeight="1">
      <c r="A18" s="204"/>
      <c r="B18" s="422" t="s">
        <v>1537</v>
      </c>
      <c r="C18" s="402" t="s">
        <v>9</v>
      </c>
      <c r="D18" s="551">
        <f>IF(D15=1,D14/(380/3^0.5),(D14/(380*3^0.5)))*1000</f>
        <v>0</v>
      </c>
      <c r="E18" s="552"/>
      <c r="F18" s="390" t="s">
        <v>1451</v>
      </c>
      <c r="G18" s="395">
        <v>250</v>
      </c>
      <c r="I18" s="416" t="s">
        <v>1537</v>
      </c>
      <c r="J18" s="402" t="s">
        <v>9</v>
      </c>
      <c r="K18" s="557">
        <f>IF(K15=1,K14/(380/3^0.5),(K14/(380*3^0.5)))*1000</f>
        <v>151.93428136569102</v>
      </c>
      <c r="L18" s="558"/>
    </row>
    <row r="19" spans="1:12" ht="30" customHeight="1">
      <c r="A19" s="204"/>
      <c r="B19" s="423" t="s">
        <v>1529</v>
      </c>
      <c r="C19" s="401" t="s">
        <v>9</v>
      </c>
      <c r="D19" s="551">
        <f>IF(D15=1,D14/(380/3^0.5),(D14/(380*3^0.5)))</f>
        <v>0</v>
      </c>
      <c r="E19" s="552"/>
      <c r="F19" s="207"/>
      <c r="G19" s="386"/>
      <c r="I19" s="418" t="s">
        <v>1529</v>
      </c>
      <c r="J19" s="401" t="s">
        <v>9</v>
      </c>
      <c r="K19" s="557">
        <f>IF(K15=1,K14/(380/3^0.5),(K14/(380*3^0.5)))</f>
        <v>0.15193428136569101</v>
      </c>
      <c r="L19" s="558"/>
    </row>
    <row r="20" spans="1:12" ht="30" customHeight="1" thickBot="1">
      <c r="A20" s="204"/>
      <c r="B20" s="424" t="s">
        <v>1538</v>
      </c>
      <c r="C20" s="420" t="s">
        <v>9</v>
      </c>
      <c r="D20" s="577" t="e">
        <f>D16/D18</f>
        <v>#DIV/0!</v>
      </c>
      <c r="E20" s="578"/>
      <c r="F20" s="207"/>
      <c r="G20" s="386"/>
      <c r="I20" s="419" t="s">
        <v>1529</v>
      </c>
      <c r="J20" s="420" t="s">
        <v>9</v>
      </c>
      <c r="K20" s="555">
        <f>K16/K18</f>
        <v>0.22999999999999998</v>
      </c>
      <c r="L20" s="556"/>
    </row>
    <row r="21" spans="1:12" ht="9.75" customHeight="1">
      <c r="A21" s="204"/>
      <c r="B21" s="409" t="s">
        <v>1538</v>
      </c>
      <c r="C21" s="410" t="s">
        <v>9</v>
      </c>
      <c r="D21" s="562">
        <v>1</v>
      </c>
      <c r="E21" s="562"/>
      <c r="F21" s="411"/>
      <c r="G21" s="412"/>
      <c r="H21" s="413"/>
      <c r="I21" s="409" t="s">
        <v>1529</v>
      </c>
      <c r="J21" s="410" t="s">
        <v>9</v>
      </c>
      <c r="K21" s="562">
        <v>1</v>
      </c>
      <c r="L21" s="562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04"/>
    </row>
    <row r="27" spans="1:12">
      <c r="D27" s="40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1" priority="5" stopIfTrue="1" operator="greaterThan">
      <formula>0.89</formula>
    </cfRule>
    <cfRule type="cellIs" dxfId="1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M17" sqref="M17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79"/>
      <c r="C1" s="579"/>
      <c r="D1" s="579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6.5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5037500</v>
      </c>
    </row>
    <row r="10" spans="2:11" ht="20.100000000000001" customHeight="1">
      <c r="B10" s="249" t="s">
        <v>1444</v>
      </c>
      <c r="C10" s="250" t="s">
        <v>9</v>
      </c>
      <c r="D10" s="256">
        <f ca="1">RAB!K32</f>
        <v>390293.76000000001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7805.8752000000004</v>
      </c>
    </row>
    <row r="12" spans="2:11" ht="9" customHeight="1">
      <c r="B12" s="580"/>
      <c r="C12" s="580"/>
      <c r="D12" s="580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1621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1617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16.5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3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380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23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1458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972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775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87" t="s">
        <v>1356</v>
      </c>
      <c r="C3" s="587"/>
      <c r="D3" s="587"/>
      <c r="E3" s="587"/>
      <c r="F3" s="263" t="str">
        <f>DATA!D14</f>
        <v>MASJID SRIWULAN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81" t="s">
        <v>1348</v>
      </c>
      <c r="C5" s="581" t="s">
        <v>1357</v>
      </c>
      <c r="D5" s="586" t="s">
        <v>1358</v>
      </c>
      <c r="E5" s="586" t="s">
        <v>1359</v>
      </c>
      <c r="F5" s="581" t="s">
        <v>1360</v>
      </c>
      <c r="G5" s="581"/>
      <c r="H5" s="581"/>
      <c r="I5" s="581"/>
      <c r="J5" s="581"/>
      <c r="K5" s="581" t="s">
        <v>1361</v>
      </c>
      <c r="L5" s="581"/>
      <c r="M5" s="265"/>
      <c r="N5" s="584" t="s">
        <v>1362</v>
      </c>
      <c r="O5" s="586" t="s">
        <v>1363</v>
      </c>
      <c r="P5" s="586" t="s">
        <v>1364</v>
      </c>
      <c r="Q5" s="586" t="s">
        <v>1365</v>
      </c>
      <c r="R5" s="266"/>
      <c r="S5" s="267"/>
      <c r="T5" s="582" t="s">
        <v>1366</v>
      </c>
      <c r="U5" s="268"/>
    </row>
    <row r="6" spans="1:21" ht="20.100000000000001" customHeight="1">
      <c r="B6" s="581"/>
      <c r="C6" s="581"/>
      <c r="D6" s="581"/>
      <c r="E6" s="581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85"/>
      <c r="O6" s="581"/>
      <c r="P6" s="581"/>
      <c r="Q6" s="581"/>
      <c r="R6" s="266"/>
      <c r="S6" s="267"/>
      <c r="T6" s="581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2080</v>
      </c>
      <c r="D7" s="274">
        <f>C7*4/24</f>
        <v>346.66666666666669</v>
      </c>
      <c r="E7" s="274">
        <f>C7-D7</f>
        <v>1733.3333333333333</v>
      </c>
      <c r="F7" s="275">
        <f ca="1">DATA!D10/1000000</f>
        <v>0.39029375999999999</v>
      </c>
      <c r="G7" s="276">
        <f ca="1">DATA!$D$11/1000000</f>
        <v>7.8058752000000004E-3</v>
      </c>
      <c r="H7" s="276">
        <f>C7*DATA!$D$5/1000000</f>
        <v>2.2549800954440951</v>
      </c>
      <c r="I7" s="276">
        <f>(C7*DATA!$D$5*DATA!$D$7)/1000000</f>
        <v>5.0737052147492134E-2</v>
      </c>
      <c r="J7" s="274">
        <f ca="1">SUM(F7:I7)</f>
        <v>2.7038167827915869</v>
      </c>
      <c r="K7" s="277">
        <f>DATA!D9/1000000</f>
        <v>5.0374999999999996</v>
      </c>
      <c r="L7" s="274">
        <f>((D7*DATA!$D$23)/1000000)+((E7*DATA!$D$24)/1000000)</f>
        <v>2.1902400000000002</v>
      </c>
      <c r="M7" s="274">
        <f>K7+L7</f>
        <v>7.2277399999999998</v>
      </c>
      <c r="N7" s="274">
        <f ca="1">M7-J7</f>
        <v>4.523923217208413</v>
      </c>
      <c r="O7" s="272">
        <v>1</v>
      </c>
      <c r="P7" s="274">
        <f ca="1">O7*N7</f>
        <v>4.523923217208413</v>
      </c>
      <c r="Q7" s="274">
        <f ca="1">P7</f>
        <v>4.523923217208413</v>
      </c>
      <c r="S7" s="262" t="str">
        <f ca="1">IF(Q7&lt;0,"a","")</f>
        <v/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3120</v>
      </c>
      <c r="D8" s="274">
        <f>C8*4/24</f>
        <v>520</v>
      </c>
      <c r="E8" s="274">
        <f t="shared" ref="E8:E32" si="0">C8-D8</f>
        <v>2600</v>
      </c>
      <c r="F8" s="272"/>
      <c r="G8" s="276">
        <f ca="1">DATA!$D$11/1000000</f>
        <v>7.8058752000000004E-3</v>
      </c>
      <c r="H8" s="276">
        <f>C8*DATA!$D$5/1000000</f>
        <v>3.3824701431661426</v>
      </c>
      <c r="I8" s="276">
        <f>(C8*DATA!$D$5*DATA!$D$7)/1000000</f>
        <v>7.6105578221238201E-2</v>
      </c>
      <c r="J8" s="274">
        <f t="shared" ref="J8:J32" ca="1" si="1">SUM(F8:I8)</f>
        <v>3.4663815965873805</v>
      </c>
      <c r="K8" s="279"/>
      <c r="L8" s="274">
        <f>((D8*DATA!$D$23)/1000000)+((E8*DATA!$D$24)/1000000)</f>
        <v>3.2853599999999998</v>
      </c>
      <c r="M8" s="274">
        <f t="shared" ref="M8:M32" si="2">K8+L8</f>
        <v>3.2853599999999998</v>
      </c>
      <c r="N8" s="274">
        <f ca="1">M8-J8</f>
        <v>-0.18102159658738071</v>
      </c>
      <c r="O8" s="273">
        <f>1/(1+'[87]Asumsi I'!$C$3)^(KKF!A8)</f>
        <v>0.89285714285714279</v>
      </c>
      <c r="P8" s="274">
        <f ca="1">O8*N8</f>
        <v>-0.16162642552444706</v>
      </c>
      <c r="Q8" s="274">
        <f ca="1">Q7+P8</f>
        <v>4.3622967916839661</v>
      </c>
      <c r="S8" s="262" t="str">
        <f t="shared" ref="S8:S32" ca="1" si="3">IF(Q8&lt;0,"a","")</f>
        <v/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3120</v>
      </c>
      <c r="D9" s="274">
        <f t="shared" ref="D9:D32" si="5">C9*4/24</f>
        <v>520</v>
      </c>
      <c r="E9" s="274">
        <f t="shared" si="0"/>
        <v>2600</v>
      </c>
      <c r="F9" s="272"/>
      <c r="G9" s="276">
        <f ca="1">DATA!$D$11/1000000</f>
        <v>7.8058752000000004E-3</v>
      </c>
      <c r="H9" s="276">
        <f>C9*DATA!$D$5/1000000</f>
        <v>3.3824701431661426</v>
      </c>
      <c r="I9" s="276">
        <f>(C9*DATA!$D$5*DATA!$D$7)/1000000</f>
        <v>7.6105578221238201E-2</v>
      </c>
      <c r="J9" s="274">
        <f t="shared" ca="1" si="1"/>
        <v>3.4663815965873805</v>
      </c>
      <c r="K9" s="274"/>
      <c r="L9" s="274">
        <f>((D9*DATA!$D$23)/1000000)+((E9*DATA!$D$24)/1000000)</f>
        <v>3.2853599999999998</v>
      </c>
      <c r="M9" s="274">
        <f t="shared" si="2"/>
        <v>3.2853599999999998</v>
      </c>
      <c r="N9" s="274">
        <f t="shared" ref="N9:N32" ca="1" si="6">M9-J9</f>
        <v>-0.18102159658738071</v>
      </c>
      <c r="O9" s="280">
        <f>1/(1+'[87]Asumsi I'!$C$3)^(KKF!A9)</f>
        <v>0.79719387755102034</v>
      </c>
      <c r="P9" s="274">
        <f t="shared" ref="P9:P32" ca="1" si="7">O9*N9</f>
        <v>-0.14430930850397058</v>
      </c>
      <c r="Q9" s="274">
        <f ca="1">Q8+P9</f>
        <v>4.2179874831799955</v>
      </c>
      <c r="S9" s="262" t="str">
        <f t="shared" ca="1" si="3"/>
        <v/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3120</v>
      </c>
      <c r="D10" s="274">
        <f t="shared" si="5"/>
        <v>520</v>
      </c>
      <c r="E10" s="274">
        <f t="shared" si="0"/>
        <v>2600</v>
      </c>
      <c r="F10" s="272"/>
      <c r="G10" s="276">
        <f ca="1">DATA!$D$11/1000000</f>
        <v>7.8058752000000004E-3</v>
      </c>
      <c r="H10" s="276">
        <f>C10*DATA!$D$5/1000000</f>
        <v>3.3824701431661426</v>
      </c>
      <c r="I10" s="276">
        <f>(C10*DATA!$D$5*DATA!$D$7)/1000000</f>
        <v>7.6105578221238201E-2</v>
      </c>
      <c r="J10" s="274">
        <f t="shared" ca="1" si="1"/>
        <v>3.4663815965873805</v>
      </c>
      <c r="K10" s="272"/>
      <c r="L10" s="274">
        <f>((D10*DATA!$D$23)/1000000)+((E10*DATA!$D$24)/1000000)</f>
        <v>3.2853599999999998</v>
      </c>
      <c r="M10" s="274">
        <f t="shared" si="2"/>
        <v>3.2853599999999998</v>
      </c>
      <c r="N10" s="274">
        <f t="shared" ca="1" si="6"/>
        <v>-0.18102159658738071</v>
      </c>
      <c r="O10" s="273">
        <f>1/(1+'[87]Asumsi I'!$C$3)^(KKF!A10)</f>
        <v>0.71178024781341087</v>
      </c>
      <c r="P10" s="274">
        <f t="shared" ca="1" si="7"/>
        <v>-0.12884759687854513</v>
      </c>
      <c r="Q10" s="274">
        <f t="shared" ref="Q10:Q30" ca="1" si="9">Q9+P10</f>
        <v>4.0891398863014503</v>
      </c>
      <c r="S10" s="262" t="str">
        <f t="shared" ca="1" si="3"/>
        <v/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3120</v>
      </c>
      <c r="D11" s="274">
        <f t="shared" si="5"/>
        <v>520</v>
      </c>
      <c r="E11" s="274">
        <f t="shared" si="0"/>
        <v>2600</v>
      </c>
      <c r="F11" s="272"/>
      <c r="G11" s="276">
        <f ca="1">DATA!$D$11/1000000</f>
        <v>7.8058752000000004E-3</v>
      </c>
      <c r="H11" s="276">
        <f>C11*DATA!$D$5/1000000</f>
        <v>3.3824701431661426</v>
      </c>
      <c r="I11" s="276">
        <f>(C11*DATA!$D$5*DATA!$D$7)/1000000</f>
        <v>7.6105578221238201E-2</v>
      </c>
      <c r="J11" s="274">
        <f t="shared" ca="1" si="1"/>
        <v>3.4663815965873805</v>
      </c>
      <c r="K11" s="272"/>
      <c r="L11" s="274">
        <f>((D11*DATA!$D$23)/1000000)+((E11*DATA!$D$24)/1000000)</f>
        <v>3.2853599999999998</v>
      </c>
      <c r="M11" s="274">
        <f t="shared" si="2"/>
        <v>3.2853599999999998</v>
      </c>
      <c r="N11" s="274">
        <f t="shared" ca="1" si="6"/>
        <v>-0.18102159658738071</v>
      </c>
      <c r="O11" s="273">
        <f>1/(1+'[87]Asumsi I'!$C$3)^(KKF!A11)</f>
        <v>0.63551807840483121</v>
      </c>
      <c r="P11" s="274">
        <f t="shared" ca="1" si="7"/>
        <v>-0.11504249721298673</v>
      </c>
      <c r="Q11" s="274">
        <f t="shared" ca="1" si="9"/>
        <v>3.9740973890884637</v>
      </c>
      <c r="S11" s="262" t="str">
        <f t="shared" ca="1" si="3"/>
        <v/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3120</v>
      </c>
      <c r="D12" s="274">
        <f t="shared" si="5"/>
        <v>520</v>
      </c>
      <c r="E12" s="274">
        <f t="shared" si="0"/>
        <v>2600</v>
      </c>
      <c r="F12" s="272"/>
      <c r="G12" s="276">
        <f ca="1">DATA!$D$11/1000000</f>
        <v>7.8058752000000004E-3</v>
      </c>
      <c r="H12" s="276">
        <f>C12*DATA!$D$5/1000000</f>
        <v>3.3824701431661426</v>
      </c>
      <c r="I12" s="276">
        <f>(C12*DATA!$D$5*DATA!$D$7)/1000000</f>
        <v>7.6105578221238201E-2</v>
      </c>
      <c r="J12" s="274">
        <f t="shared" ca="1" si="1"/>
        <v>3.4663815965873805</v>
      </c>
      <c r="K12" s="272"/>
      <c r="L12" s="274">
        <f>((D12*DATA!$D$23)/1000000)+((E12*DATA!$D$24)/1000000)</f>
        <v>3.2853599999999998</v>
      </c>
      <c r="M12" s="274">
        <f t="shared" si="2"/>
        <v>3.2853599999999998</v>
      </c>
      <c r="N12" s="274">
        <f t="shared" ca="1" si="6"/>
        <v>-0.18102159658738071</v>
      </c>
      <c r="O12" s="273">
        <f>1/(1+'[87]Asumsi I'!$C$3)^(KKF!A12)</f>
        <v>0.56742685571859919</v>
      </c>
      <c r="P12" s="274">
        <f t="shared" ca="1" si="7"/>
        <v>-0.10271651536873815</v>
      </c>
      <c r="Q12" s="274">
        <f t="shared" ca="1" si="9"/>
        <v>3.8713808737197257</v>
      </c>
      <c r="S12" s="262" t="str">
        <f t="shared" ca="1" si="3"/>
        <v/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3120</v>
      </c>
      <c r="D13" s="274">
        <f t="shared" si="5"/>
        <v>520</v>
      </c>
      <c r="E13" s="274">
        <f t="shared" si="0"/>
        <v>2600</v>
      </c>
      <c r="F13" s="272"/>
      <c r="G13" s="276">
        <f ca="1">DATA!$D$11/1000000</f>
        <v>7.8058752000000004E-3</v>
      </c>
      <c r="H13" s="276">
        <f>C13*DATA!$D$5/1000000</f>
        <v>3.3824701431661426</v>
      </c>
      <c r="I13" s="276">
        <f>(C13*DATA!$D$5*DATA!$D$7)/1000000</f>
        <v>7.6105578221238201E-2</v>
      </c>
      <c r="J13" s="274">
        <f t="shared" ca="1" si="1"/>
        <v>3.4663815965873805</v>
      </c>
      <c r="K13" s="272"/>
      <c r="L13" s="274">
        <f>((D13*DATA!$D$23)/1000000)+((E13*DATA!$D$24)/1000000)</f>
        <v>3.2853599999999998</v>
      </c>
      <c r="M13" s="274">
        <f t="shared" si="2"/>
        <v>3.2853599999999998</v>
      </c>
      <c r="N13" s="274">
        <f t="shared" ca="1" si="6"/>
        <v>-0.18102159658738071</v>
      </c>
      <c r="O13" s="273">
        <f>1/(1+'[87]Asumsi I'!$C$3)^(KKF!A13)</f>
        <v>0.50663112117732068</v>
      </c>
      <c r="P13" s="274">
        <f t="shared" ca="1" si="7"/>
        <v>-9.1711174436373333E-2</v>
      </c>
      <c r="Q13" s="274">
        <f t="shared" ca="1" si="9"/>
        <v>3.7796696992833523</v>
      </c>
      <c r="S13" s="262" t="str">
        <f t="shared" ca="1" si="3"/>
        <v/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3120</v>
      </c>
      <c r="D14" s="274">
        <f t="shared" si="5"/>
        <v>520</v>
      </c>
      <c r="E14" s="274">
        <f t="shared" si="0"/>
        <v>2600</v>
      </c>
      <c r="F14" s="272"/>
      <c r="G14" s="276">
        <f ca="1">DATA!$D$11/1000000</f>
        <v>7.8058752000000004E-3</v>
      </c>
      <c r="H14" s="276">
        <f>C14*DATA!$D$5/1000000</f>
        <v>3.3824701431661426</v>
      </c>
      <c r="I14" s="276">
        <f>(C14*DATA!$D$5*DATA!$D$7)/1000000</f>
        <v>7.6105578221238201E-2</v>
      </c>
      <c r="J14" s="274">
        <f t="shared" ca="1" si="1"/>
        <v>3.4663815965873805</v>
      </c>
      <c r="K14" s="272"/>
      <c r="L14" s="274">
        <f>((D14*DATA!$D$23)/1000000)+((E14*DATA!$D$24)/1000000)</f>
        <v>3.2853599999999998</v>
      </c>
      <c r="M14" s="274">
        <f t="shared" si="2"/>
        <v>3.2853599999999998</v>
      </c>
      <c r="N14" s="274">
        <f t="shared" ca="1" si="6"/>
        <v>-0.18102159658738071</v>
      </c>
      <c r="O14" s="273">
        <f>1/(1+'[87]Asumsi I'!$C$3)^(KKF!A14)</f>
        <v>0.45234921533689343</v>
      </c>
      <c r="P14" s="274">
        <f t="shared" ca="1" si="7"/>
        <v>-8.1884977175333329E-2</v>
      </c>
      <c r="Q14" s="274">
        <f t="shared" ca="1" si="9"/>
        <v>3.6977847221080191</v>
      </c>
      <c r="S14" s="262" t="str">
        <f t="shared" ca="1" si="3"/>
        <v/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3120</v>
      </c>
      <c r="D15" s="274">
        <f t="shared" si="5"/>
        <v>520</v>
      </c>
      <c r="E15" s="274">
        <f t="shared" si="0"/>
        <v>2600</v>
      </c>
      <c r="F15" s="272"/>
      <c r="G15" s="276">
        <f ca="1">DATA!$D$11/1000000</f>
        <v>7.8058752000000004E-3</v>
      </c>
      <c r="H15" s="276">
        <f>C15*DATA!$D$5/1000000</f>
        <v>3.3824701431661426</v>
      </c>
      <c r="I15" s="276">
        <f>(C15*DATA!$D$5*DATA!$D$7)/1000000</f>
        <v>7.6105578221238201E-2</v>
      </c>
      <c r="J15" s="274">
        <f t="shared" ca="1" si="1"/>
        <v>3.4663815965873805</v>
      </c>
      <c r="K15" s="272"/>
      <c r="L15" s="274">
        <f>((D15*DATA!$D$23)/1000000)+((E15*DATA!$D$24)/1000000)</f>
        <v>3.2853599999999998</v>
      </c>
      <c r="M15" s="274">
        <f t="shared" si="2"/>
        <v>3.2853599999999998</v>
      </c>
      <c r="N15" s="274">
        <f t="shared" ca="1" si="6"/>
        <v>-0.18102159658738071</v>
      </c>
      <c r="O15" s="273">
        <f>1/(1+'[87]Asumsi I'!$C$3)^(KKF!A15)</f>
        <v>0.4038832279793691</v>
      </c>
      <c r="P15" s="274">
        <f t="shared" ca="1" si="7"/>
        <v>-7.3111586763690464E-2</v>
      </c>
      <c r="Q15" s="274">
        <f t="shared" ca="1" si="9"/>
        <v>3.6246731353443287</v>
      </c>
      <c r="S15" s="262" t="str">
        <f t="shared" ca="1" si="3"/>
        <v/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3120</v>
      </c>
      <c r="D16" s="274">
        <f t="shared" si="5"/>
        <v>520</v>
      </c>
      <c r="E16" s="274">
        <f t="shared" si="0"/>
        <v>2600</v>
      </c>
      <c r="F16" s="272"/>
      <c r="G16" s="276">
        <f ca="1">DATA!$D$11/1000000</f>
        <v>7.8058752000000004E-3</v>
      </c>
      <c r="H16" s="276">
        <f>C16*DATA!$D$5/1000000</f>
        <v>3.3824701431661426</v>
      </c>
      <c r="I16" s="276">
        <f>(C16*DATA!$D$5*DATA!$D$7)/1000000</f>
        <v>7.6105578221238201E-2</v>
      </c>
      <c r="J16" s="274">
        <f t="shared" ca="1" si="1"/>
        <v>3.4663815965873805</v>
      </c>
      <c r="K16" s="272"/>
      <c r="L16" s="274">
        <f>((D16*DATA!$D$23)/1000000)+((E16*DATA!$D$24)/1000000)</f>
        <v>3.2853599999999998</v>
      </c>
      <c r="M16" s="274">
        <f t="shared" si="2"/>
        <v>3.2853599999999998</v>
      </c>
      <c r="N16" s="274">
        <f t="shared" ca="1" si="6"/>
        <v>-0.18102159658738071</v>
      </c>
      <c r="O16" s="273">
        <f>1/(1+'[87]Asumsi I'!$C$3)^(KKF!A16)</f>
        <v>0.36061002498157957</v>
      </c>
      <c r="P16" s="274">
        <f t="shared" ca="1" si="7"/>
        <v>-6.5278202467580773E-2</v>
      </c>
      <c r="Q16" s="274">
        <f t="shared" ca="1" si="9"/>
        <v>3.559394932876748</v>
      </c>
      <c r="S16" s="262" t="str">
        <f t="shared" ca="1" si="3"/>
        <v/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3120</v>
      </c>
      <c r="D17" s="274">
        <f t="shared" si="5"/>
        <v>520</v>
      </c>
      <c r="E17" s="274">
        <f t="shared" si="0"/>
        <v>2600</v>
      </c>
      <c r="F17" s="272"/>
      <c r="G17" s="276">
        <f ca="1">DATA!$D$11/1000000</f>
        <v>7.8058752000000004E-3</v>
      </c>
      <c r="H17" s="276">
        <f>C17*DATA!$D$5/1000000</f>
        <v>3.3824701431661426</v>
      </c>
      <c r="I17" s="276">
        <f>(C17*DATA!$D$5*DATA!$D$7)/1000000</f>
        <v>7.6105578221238201E-2</v>
      </c>
      <c r="J17" s="274">
        <f t="shared" ca="1" si="1"/>
        <v>3.4663815965873805</v>
      </c>
      <c r="K17" s="272"/>
      <c r="L17" s="274">
        <f>((D17*DATA!$D$23)/1000000)+((E17*DATA!$D$24)/1000000)</f>
        <v>3.2853599999999998</v>
      </c>
      <c r="M17" s="274">
        <f t="shared" si="2"/>
        <v>3.2853599999999998</v>
      </c>
      <c r="N17" s="274">
        <f t="shared" ca="1" si="6"/>
        <v>-0.18102159658738071</v>
      </c>
      <c r="O17" s="273">
        <f>1/(1+'[87]Asumsi I'!$C$3)^(KKF!A17)</f>
        <v>0.32197323659069599</v>
      </c>
      <c r="P17" s="274">
        <f t="shared" ca="1" si="7"/>
        <v>-5.8284109346054255E-2</v>
      </c>
      <c r="Q17" s="274">
        <f t="shared" ca="1" si="9"/>
        <v>3.5011108235306936</v>
      </c>
      <c r="S17" s="262" t="str">
        <f t="shared" ca="1" si="3"/>
        <v/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3120</v>
      </c>
      <c r="D18" s="274">
        <f t="shared" si="5"/>
        <v>520</v>
      </c>
      <c r="E18" s="274">
        <f t="shared" si="0"/>
        <v>2600</v>
      </c>
      <c r="F18" s="272"/>
      <c r="G18" s="276">
        <f ca="1">DATA!$D$11/1000000</f>
        <v>7.8058752000000004E-3</v>
      </c>
      <c r="H18" s="276">
        <f>C18*DATA!$D$5/1000000</f>
        <v>3.3824701431661426</v>
      </c>
      <c r="I18" s="276">
        <f>(C18*DATA!$D$5*DATA!$D$7)/1000000</f>
        <v>7.6105578221238201E-2</v>
      </c>
      <c r="J18" s="274">
        <f t="shared" ca="1" si="1"/>
        <v>3.4663815965873805</v>
      </c>
      <c r="K18" s="272"/>
      <c r="L18" s="274">
        <f>((D18*DATA!$D$23)/1000000)+((E18*DATA!$D$24)/1000000)</f>
        <v>3.2853599999999998</v>
      </c>
      <c r="M18" s="274">
        <f t="shared" si="2"/>
        <v>3.2853599999999998</v>
      </c>
      <c r="N18" s="274">
        <f t="shared" ca="1" si="6"/>
        <v>-0.18102159658738071</v>
      </c>
      <c r="O18" s="273">
        <f>1/(1+'[87]Asumsi I'!$C$3)^(KKF!A18)</f>
        <v>0.28747610409883567</v>
      </c>
      <c r="P18" s="274">
        <f t="shared" ca="1" si="7"/>
        <v>-5.2039383344691291E-2</v>
      </c>
      <c r="Q18" s="274">
        <f t="shared" ca="1" si="9"/>
        <v>3.4490714401860023</v>
      </c>
      <c r="S18" s="262" t="str">
        <f t="shared" ca="1" si="3"/>
        <v/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3120</v>
      </c>
      <c r="D19" s="274">
        <f t="shared" si="5"/>
        <v>520</v>
      </c>
      <c r="E19" s="274">
        <f t="shared" si="0"/>
        <v>2600</v>
      </c>
      <c r="F19" s="272"/>
      <c r="G19" s="276">
        <f ca="1">DATA!$D$11/1000000</f>
        <v>7.8058752000000004E-3</v>
      </c>
      <c r="H19" s="276">
        <f>C19*DATA!$D$5/1000000</f>
        <v>3.3824701431661426</v>
      </c>
      <c r="I19" s="276">
        <f>(C19*DATA!$D$5*DATA!$D$7)/1000000</f>
        <v>7.6105578221238201E-2</v>
      </c>
      <c r="J19" s="274">
        <f t="shared" ca="1" si="1"/>
        <v>3.4663815965873805</v>
      </c>
      <c r="K19" s="272"/>
      <c r="L19" s="274">
        <f>((D19*DATA!$D$23)/1000000)+((E19*DATA!$D$24)/1000000)</f>
        <v>3.2853599999999998</v>
      </c>
      <c r="M19" s="274">
        <f t="shared" si="2"/>
        <v>3.2853599999999998</v>
      </c>
      <c r="N19" s="274">
        <f t="shared" ca="1" si="6"/>
        <v>-0.18102159658738071</v>
      </c>
      <c r="O19" s="273">
        <f>1/(1+'[87]Asumsi I'!$C$3)^(KKF!A19)</f>
        <v>0.25667509294538904</v>
      </c>
      <c r="P19" s="274">
        <f t="shared" ca="1" si="7"/>
        <v>-4.6463735129188659E-2</v>
      </c>
      <c r="Q19" s="274">
        <f t="shared" ca="1" si="9"/>
        <v>3.4026077050568135</v>
      </c>
      <c r="S19" s="262" t="str">
        <f t="shared" ca="1" si="3"/>
        <v/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3120</v>
      </c>
      <c r="D20" s="274">
        <f t="shared" si="5"/>
        <v>520</v>
      </c>
      <c r="E20" s="274">
        <f t="shared" si="0"/>
        <v>2600</v>
      </c>
      <c r="F20" s="272"/>
      <c r="G20" s="276">
        <f ca="1">DATA!$D$11/1000000</f>
        <v>7.8058752000000004E-3</v>
      </c>
      <c r="H20" s="276">
        <f>C20*DATA!$D$5/1000000</f>
        <v>3.3824701431661426</v>
      </c>
      <c r="I20" s="276">
        <f>(C20*DATA!$D$5*DATA!$D$7)/1000000</f>
        <v>7.6105578221238201E-2</v>
      </c>
      <c r="J20" s="274">
        <f t="shared" ca="1" si="1"/>
        <v>3.4663815965873805</v>
      </c>
      <c r="K20" s="272"/>
      <c r="L20" s="274">
        <f>((D20*DATA!$D$23)/1000000)+((E20*DATA!$D$24)/1000000)</f>
        <v>3.2853599999999998</v>
      </c>
      <c r="M20" s="274">
        <f t="shared" si="2"/>
        <v>3.2853599999999998</v>
      </c>
      <c r="N20" s="274">
        <f t="shared" ca="1" si="6"/>
        <v>-0.18102159658738071</v>
      </c>
      <c r="O20" s="273">
        <f>1/(1+'[87]Asumsi I'!$C$3)^(KKF!A20)</f>
        <v>0.22917419012981158</v>
      </c>
      <c r="P20" s="274">
        <f t="shared" ca="1" si="7"/>
        <v>-4.1485477793918438E-2</v>
      </c>
      <c r="Q20" s="274">
        <f t="shared" ca="1" si="9"/>
        <v>3.3611222272628951</v>
      </c>
      <c r="S20" s="262" t="str">
        <f t="shared" ca="1" si="3"/>
        <v/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3120</v>
      </c>
      <c r="D21" s="274">
        <f t="shared" si="5"/>
        <v>520</v>
      </c>
      <c r="E21" s="274">
        <f t="shared" si="0"/>
        <v>2600</v>
      </c>
      <c r="F21" s="272"/>
      <c r="G21" s="276">
        <f ca="1">DATA!$D$11/1000000</f>
        <v>7.8058752000000004E-3</v>
      </c>
      <c r="H21" s="276">
        <f>C21*DATA!$D$5/1000000</f>
        <v>3.3824701431661426</v>
      </c>
      <c r="I21" s="276">
        <f>(C21*DATA!$D$5*DATA!$D$7)/1000000</f>
        <v>7.6105578221238201E-2</v>
      </c>
      <c r="J21" s="274">
        <f t="shared" ca="1" si="1"/>
        <v>3.4663815965873805</v>
      </c>
      <c r="K21" s="272"/>
      <c r="L21" s="274">
        <f>((D21*DATA!$D$23)/1000000)+((E21*DATA!$D$24)/1000000)</f>
        <v>3.2853599999999998</v>
      </c>
      <c r="M21" s="274">
        <f t="shared" si="2"/>
        <v>3.2853599999999998</v>
      </c>
      <c r="N21" s="274">
        <f t="shared" ca="1" si="6"/>
        <v>-0.18102159658738071</v>
      </c>
      <c r="O21" s="273">
        <f>1/(1+'[87]Asumsi I'!$C$3)^(KKF!A21)</f>
        <v>0.20461981261590317</v>
      </c>
      <c r="P21" s="274">
        <f t="shared" ca="1" si="7"/>
        <v>-3.7040605173141457E-2</v>
      </c>
      <c r="Q21" s="274">
        <f t="shared" ca="1" si="9"/>
        <v>3.3240816220897536</v>
      </c>
      <c r="S21" s="262" t="str">
        <f t="shared" ca="1" si="3"/>
        <v/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3120</v>
      </c>
      <c r="D22" s="274">
        <f t="shared" si="5"/>
        <v>520</v>
      </c>
      <c r="E22" s="274">
        <f t="shared" si="0"/>
        <v>2600</v>
      </c>
      <c r="F22" s="272"/>
      <c r="G22" s="276">
        <f ca="1">DATA!$D$11/1000000</f>
        <v>7.8058752000000004E-3</v>
      </c>
      <c r="H22" s="276">
        <f>C22*DATA!$D$5/1000000</f>
        <v>3.3824701431661426</v>
      </c>
      <c r="I22" s="276">
        <f>(C22*DATA!$D$5*DATA!$D$7)/1000000</f>
        <v>7.6105578221238201E-2</v>
      </c>
      <c r="J22" s="274">
        <f t="shared" ca="1" si="1"/>
        <v>3.4663815965873805</v>
      </c>
      <c r="K22" s="272"/>
      <c r="L22" s="274">
        <f>((D22*DATA!$D$23)/1000000)+((E22*DATA!$D$24)/1000000)</f>
        <v>3.2853599999999998</v>
      </c>
      <c r="M22" s="274">
        <f t="shared" si="2"/>
        <v>3.2853599999999998</v>
      </c>
      <c r="N22" s="274">
        <f t="shared" ca="1" si="6"/>
        <v>-0.18102159658738071</v>
      </c>
      <c r="O22" s="273">
        <f>1/(1+'[87]Asumsi I'!$C$3)^(KKF!A22)</f>
        <v>0.18269626126419927</v>
      </c>
      <c r="P22" s="274">
        <f t="shared" ca="1" si="7"/>
        <v>-3.307196890459059E-2</v>
      </c>
      <c r="Q22" s="274">
        <f t="shared" ca="1" si="9"/>
        <v>3.2910096531851631</v>
      </c>
      <c r="S22" s="262" t="str">
        <f t="shared" ca="1" si="3"/>
        <v/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3120</v>
      </c>
      <c r="D23" s="274">
        <f t="shared" si="5"/>
        <v>520</v>
      </c>
      <c r="E23" s="274">
        <f t="shared" si="0"/>
        <v>2600</v>
      </c>
      <c r="F23" s="272"/>
      <c r="G23" s="276">
        <f ca="1">DATA!$D$11/1000000</f>
        <v>7.8058752000000004E-3</v>
      </c>
      <c r="H23" s="276">
        <f>C23*DATA!$D$5/1000000</f>
        <v>3.3824701431661426</v>
      </c>
      <c r="I23" s="276">
        <f>(C23*DATA!$D$5*DATA!$D$7)/1000000</f>
        <v>7.6105578221238201E-2</v>
      </c>
      <c r="J23" s="274">
        <f t="shared" ca="1" si="1"/>
        <v>3.4663815965873805</v>
      </c>
      <c r="K23" s="272"/>
      <c r="L23" s="274">
        <f>((D23*DATA!$D$23)/1000000)+((E23*DATA!$D$24)/1000000)</f>
        <v>3.2853599999999998</v>
      </c>
      <c r="M23" s="274">
        <f t="shared" si="2"/>
        <v>3.2853599999999998</v>
      </c>
      <c r="N23" s="274">
        <f t="shared" ca="1" si="6"/>
        <v>-0.18102159658738071</v>
      </c>
      <c r="O23" s="273">
        <f>1/(1+'[87]Asumsi I'!$C$3)^(KKF!A23)</f>
        <v>0.16312166184303503</v>
      </c>
      <c r="P23" s="274">
        <f t="shared" ca="1" si="7"/>
        <v>-2.9528543664813021E-2</v>
      </c>
      <c r="Q23" s="274">
        <f t="shared" ca="1" si="9"/>
        <v>3.26148110952035</v>
      </c>
      <c r="S23" s="262" t="str">
        <f t="shared" ca="1" si="3"/>
        <v/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3120</v>
      </c>
      <c r="D24" s="274">
        <f t="shared" si="5"/>
        <v>520</v>
      </c>
      <c r="E24" s="274">
        <f t="shared" si="0"/>
        <v>2600</v>
      </c>
      <c r="F24" s="272"/>
      <c r="G24" s="276">
        <f ca="1">DATA!$D$11/1000000</f>
        <v>7.8058752000000004E-3</v>
      </c>
      <c r="H24" s="276">
        <f>C24*DATA!$D$5/1000000</f>
        <v>3.3824701431661426</v>
      </c>
      <c r="I24" s="276">
        <f>(C24*DATA!$D$5*DATA!$D$7)/1000000</f>
        <v>7.6105578221238201E-2</v>
      </c>
      <c r="J24" s="274">
        <f t="shared" ca="1" si="1"/>
        <v>3.4663815965873805</v>
      </c>
      <c r="K24" s="272"/>
      <c r="L24" s="274">
        <f>((D24*DATA!$D$23)/1000000)+((E24*DATA!$D$24)/1000000)</f>
        <v>3.2853599999999998</v>
      </c>
      <c r="M24" s="274">
        <f t="shared" si="2"/>
        <v>3.2853599999999998</v>
      </c>
      <c r="N24" s="274">
        <f t="shared" ca="1" si="6"/>
        <v>-0.18102159658738071</v>
      </c>
      <c r="O24" s="273">
        <f>1/(1+'[87]Asumsi I'!$C$3)^(KKF!A24)</f>
        <v>0.14564434093128129</v>
      </c>
      <c r="P24" s="274">
        <f t="shared" ca="1" si="7"/>
        <v>-2.6364771129297339E-2</v>
      </c>
      <c r="Q24" s="274">
        <f t="shared" ca="1" si="9"/>
        <v>3.2351163383910526</v>
      </c>
      <c r="S24" s="262" t="str">
        <f t="shared" ca="1" si="3"/>
        <v/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3120</v>
      </c>
      <c r="D25" s="274">
        <f t="shared" si="5"/>
        <v>520</v>
      </c>
      <c r="E25" s="274">
        <f t="shared" si="0"/>
        <v>2600</v>
      </c>
      <c r="F25" s="272"/>
      <c r="G25" s="276">
        <f ca="1">DATA!$D$11/1000000</f>
        <v>7.8058752000000004E-3</v>
      </c>
      <c r="H25" s="276">
        <f>C25*DATA!$D$5/1000000</f>
        <v>3.3824701431661426</v>
      </c>
      <c r="I25" s="276">
        <f>(C25*DATA!$D$5*DATA!$D$7)/1000000</f>
        <v>7.6105578221238201E-2</v>
      </c>
      <c r="J25" s="274">
        <f t="shared" ca="1" si="1"/>
        <v>3.4663815965873805</v>
      </c>
      <c r="K25" s="272"/>
      <c r="L25" s="274">
        <f>((D25*DATA!$D$23)/1000000)+((E25*DATA!$D$24)/1000000)</f>
        <v>3.2853599999999998</v>
      </c>
      <c r="M25" s="274">
        <f t="shared" si="2"/>
        <v>3.2853599999999998</v>
      </c>
      <c r="N25" s="274">
        <f t="shared" ca="1" si="6"/>
        <v>-0.18102159658738071</v>
      </c>
      <c r="O25" s="273">
        <f>1/(1+'[87]Asumsi I'!$C$3)^(KKF!A25)</f>
        <v>0.13003959011721541</v>
      </c>
      <c r="P25" s="274">
        <f t="shared" ca="1" si="7"/>
        <v>-2.3539974222586909E-2</v>
      </c>
      <c r="Q25" s="274">
        <f t="shared" ca="1" si="9"/>
        <v>3.2115763641684656</v>
      </c>
      <c r="S25" s="262" t="str">
        <f t="shared" ca="1" si="3"/>
        <v/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3120</v>
      </c>
      <c r="D26" s="274">
        <f t="shared" si="5"/>
        <v>520</v>
      </c>
      <c r="E26" s="274">
        <f t="shared" si="0"/>
        <v>2600</v>
      </c>
      <c r="F26" s="272"/>
      <c r="G26" s="276">
        <f ca="1">DATA!$D$11/1000000</f>
        <v>7.8058752000000004E-3</v>
      </c>
      <c r="H26" s="276">
        <f>C26*DATA!$D$5/1000000</f>
        <v>3.3824701431661426</v>
      </c>
      <c r="I26" s="276">
        <f>(C26*DATA!$D$5*DATA!$D$7)/1000000</f>
        <v>7.6105578221238201E-2</v>
      </c>
      <c r="J26" s="274">
        <f t="shared" ca="1" si="1"/>
        <v>3.4663815965873805</v>
      </c>
      <c r="K26" s="272"/>
      <c r="L26" s="274">
        <f>((D26*DATA!$D$23)/1000000)+((E26*DATA!$D$24)/1000000)</f>
        <v>3.2853599999999998</v>
      </c>
      <c r="M26" s="274">
        <f t="shared" si="2"/>
        <v>3.2853599999999998</v>
      </c>
      <c r="N26" s="274">
        <f t="shared" ca="1" si="6"/>
        <v>-0.18102159658738071</v>
      </c>
      <c r="O26" s="273">
        <f>1/(1+'[87]Asumsi I'!$C$3)^(KKF!A26)</f>
        <v>0.1161067768903709</v>
      </c>
      <c r="P26" s="274">
        <f t="shared" ca="1" si="7"/>
        <v>-2.1017834127309738E-2</v>
      </c>
      <c r="Q26" s="274">
        <f t="shared" ca="1" si="9"/>
        <v>3.1905585300411556</v>
      </c>
      <c r="S26" s="262" t="str">
        <f t="shared" ca="1" si="3"/>
        <v/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3120</v>
      </c>
      <c r="D27" s="274">
        <f t="shared" si="5"/>
        <v>520</v>
      </c>
      <c r="E27" s="274">
        <f t="shared" si="0"/>
        <v>2600</v>
      </c>
      <c r="F27" s="272"/>
      <c r="G27" s="276">
        <f ca="1">DATA!$D$11/1000000</f>
        <v>7.8058752000000004E-3</v>
      </c>
      <c r="H27" s="276">
        <f>C27*DATA!$D$5/1000000</f>
        <v>3.3824701431661426</v>
      </c>
      <c r="I27" s="276">
        <f>(C27*DATA!$D$5*DATA!$D$7)/1000000</f>
        <v>7.6105578221238201E-2</v>
      </c>
      <c r="J27" s="274">
        <f t="shared" ca="1" si="1"/>
        <v>3.4663815965873805</v>
      </c>
      <c r="K27" s="272"/>
      <c r="L27" s="274">
        <f>((D27*DATA!$D$23)/1000000)+((E27*DATA!$D$24)/1000000)</f>
        <v>3.2853599999999998</v>
      </c>
      <c r="M27" s="274">
        <f t="shared" si="2"/>
        <v>3.2853599999999998</v>
      </c>
      <c r="N27" s="274">
        <f t="shared" ca="1" si="6"/>
        <v>-0.18102159658738071</v>
      </c>
      <c r="O27" s="273">
        <f>1/(1+'[87]Asumsi I'!$C$3)^(KKF!A27)</f>
        <v>0.1036667650806883</v>
      </c>
      <c r="P27" s="274">
        <f t="shared" ca="1" si="7"/>
        <v>-1.8765923327955122E-2</v>
      </c>
      <c r="Q27" s="274">
        <f t="shared" ca="1" si="9"/>
        <v>3.1717926067132005</v>
      </c>
      <c r="S27" s="262" t="str">
        <f t="shared" ca="1" si="3"/>
        <v/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3120</v>
      </c>
      <c r="D28" s="274">
        <f t="shared" si="5"/>
        <v>520</v>
      </c>
      <c r="E28" s="274">
        <f t="shared" si="0"/>
        <v>2600</v>
      </c>
      <c r="F28" s="272"/>
      <c r="G28" s="276">
        <f ca="1">DATA!$D$11/1000000</f>
        <v>7.8058752000000004E-3</v>
      </c>
      <c r="H28" s="276">
        <f>C28*DATA!$D$5/1000000</f>
        <v>3.3824701431661426</v>
      </c>
      <c r="I28" s="276">
        <f>(C28*DATA!$D$5*DATA!$D$7)/1000000</f>
        <v>7.6105578221238201E-2</v>
      </c>
      <c r="J28" s="274">
        <f t="shared" ca="1" si="1"/>
        <v>3.4663815965873805</v>
      </c>
      <c r="K28" s="272"/>
      <c r="L28" s="274">
        <f>((D28*DATA!$D$23)/1000000)+((E28*DATA!$D$24)/1000000)</f>
        <v>3.2853599999999998</v>
      </c>
      <c r="M28" s="274">
        <f t="shared" si="2"/>
        <v>3.2853599999999998</v>
      </c>
      <c r="N28" s="274">
        <f t="shared" ca="1" si="6"/>
        <v>-0.18102159658738071</v>
      </c>
      <c r="O28" s="273">
        <f>1/(1+'[87]Asumsi I'!$C$3)^(KKF!A28)</f>
        <v>9.2559611679185971E-2</v>
      </c>
      <c r="P28" s="274">
        <f t="shared" ca="1" si="7"/>
        <v>-1.6755288685674215E-2</v>
      </c>
      <c r="Q28" s="274">
        <f t="shared" ca="1" si="9"/>
        <v>3.1550373180275262</v>
      </c>
      <c r="S28" s="262" t="str">
        <f t="shared" ca="1" si="3"/>
        <v/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3120</v>
      </c>
      <c r="D29" s="274">
        <f t="shared" si="5"/>
        <v>520</v>
      </c>
      <c r="E29" s="274">
        <f t="shared" si="0"/>
        <v>2600</v>
      </c>
      <c r="F29" s="272"/>
      <c r="G29" s="276">
        <f ca="1">DATA!$D$11/1000000</f>
        <v>7.8058752000000004E-3</v>
      </c>
      <c r="H29" s="276">
        <f>C29*DATA!$D$5/1000000</f>
        <v>3.3824701431661426</v>
      </c>
      <c r="I29" s="276">
        <f>(C29*DATA!$D$5*DATA!$D$7)/1000000</f>
        <v>7.6105578221238201E-2</v>
      </c>
      <c r="J29" s="274">
        <f t="shared" ca="1" si="1"/>
        <v>3.4663815965873805</v>
      </c>
      <c r="K29" s="272"/>
      <c r="L29" s="274">
        <f>((D29*DATA!$D$23)/1000000)+((E29*DATA!$D$24)/1000000)</f>
        <v>3.2853599999999998</v>
      </c>
      <c r="M29" s="274">
        <f t="shared" si="2"/>
        <v>3.2853599999999998</v>
      </c>
      <c r="N29" s="274">
        <f t="shared" ca="1" si="6"/>
        <v>-0.18102159658738071</v>
      </c>
      <c r="O29" s="273">
        <f>1/(1+'[87]Asumsi I'!$C$3)^(KKF!A29)</f>
        <v>8.2642510427844609E-2</v>
      </c>
      <c r="P29" s="274">
        <f t="shared" ca="1" si="7"/>
        <v>-1.496007918363769E-2</v>
      </c>
      <c r="Q29" s="274">
        <f t="shared" ca="1" si="9"/>
        <v>3.1400772388438885</v>
      </c>
      <c r="S29" s="262" t="str">
        <f t="shared" ca="1" si="3"/>
        <v/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3120</v>
      </c>
      <c r="D30" s="274">
        <f t="shared" si="5"/>
        <v>520</v>
      </c>
      <c r="E30" s="274">
        <f t="shared" si="0"/>
        <v>2600</v>
      </c>
      <c r="F30" s="272"/>
      <c r="G30" s="276">
        <f ca="1">DATA!$D$11/1000000</f>
        <v>7.8058752000000004E-3</v>
      </c>
      <c r="H30" s="276">
        <f>C30*DATA!$D$5/1000000</f>
        <v>3.3824701431661426</v>
      </c>
      <c r="I30" s="276">
        <f>(C30*DATA!$D$5*DATA!$D$7)/1000000</f>
        <v>7.6105578221238201E-2</v>
      </c>
      <c r="J30" s="274">
        <f t="shared" ca="1" si="1"/>
        <v>3.4663815965873805</v>
      </c>
      <c r="K30" s="272"/>
      <c r="L30" s="274">
        <f>((D30*DATA!$D$23)/1000000)+((E30*DATA!$D$24)/1000000)</f>
        <v>3.2853599999999998</v>
      </c>
      <c r="M30" s="274">
        <f t="shared" si="2"/>
        <v>3.2853599999999998</v>
      </c>
      <c r="N30" s="274">
        <f t="shared" ca="1" si="6"/>
        <v>-0.18102159658738071</v>
      </c>
      <c r="O30" s="273">
        <f>1/(1+'[87]Asumsi I'!$C$3)^(KKF!A30)</f>
        <v>7.3787955739146982E-2</v>
      </c>
      <c r="P30" s="274">
        <f t="shared" ca="1" si="7"/>
        <v>-1.3357213556819368E-2</v>
      </c>
      <c r="Q30" s="274">
        <f t="shared" ca="1" si="9"/>
        <v>3.126720025287069</v>
      </c>
      <c r="S30" s="262" t="str">
        <f t="shared" ca="1" si="3"/>
        <v/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3120</v>
      </c>
      <c r="D31" s="274">
        <f t="shared" si="5"/>
        <v>520</v>
      </c>
      <c r="E31" s="274">
        <f t="shared" si="0"/>
        <v>2600</v>
      </c>
      <c r="F31" s="272"/>
      <c r="G31" s="276">
        <f ca="1">DATA!$D$11/1000000</f>
        <v>7.8058752000000004E-3</v>
      </c>
      <c r="H31" s="276">
        <f>C31*DATA!$D$5/1000000</f>
        <v>3.3824701431661426</v>
      </c>
      <c r="I31" s="276">
        <f>(C31*DATA!$D$5*DATA!$D$7)/1000000</f>
        <v>7.6105578221238201E-2</v>
      </c>
      <c r="J31" s="274">
        <f t="shared" ca="1" si="1"/>
        <v>3.4663815965873805</v>
      </c>
      <c r="K31" s="272"/>
      <c r="L31" s="274">
        <f>((D31*DATA!$D$23)/1000000)+((E31*DATA!$D$24)/1000000)</f>
        <v>3.2853599999999998</v>
      </c>
      <c r="M31" s="274">
        <f t="shared" si="2"/>
        <v>3.2853599999999998</v>
      </c>
      <c r="N31" s="274">
        <f t="shared" ca="1" si="6"/>
        <v>-0.18102159658738071</v>
      </c>
      <c r="O31" s="273">
        <f>1/(1+'[87]Asumsi I'!$C$3)^(KKF!A31)</f>
        <v>6.5882103338524081E-2</v>
      </c>
      <c r="P31" s="274">
        <f t="shared" ca="1" si="7"/>
        <v>-1.1926083532874434E-2</v>
      </c>
      <c r="Q31" s="274">
        <f ca="1">Q30+P31</f>
        <v>3.1147939417541948</v>
      </c>
      <c r="S31" s="262" t="str">
        <f t="shared" ca="1" si="3"/>
        <v/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3120</v>
      </c>
      <c r="D32" s="274">
        <f t="shared" si="5"/>
        <v>520</v>
      </c>
      <c r="E32" s="274">
        <f t="shared" si="0"/>
        <v>2600</v>
      </c>
      <c r="F32" s="272"/>
      <c r="G32" s="276">
        <f ca="1">DATA!$D$11/1000000</f>
        <v>7.8058752000000004E-3</v>
      </c>
      <c r="H32" s="276">
        <f>C32*DATA!$D$5/1000000</f>
        <v>3.3824701431661426</v>
      </c>
      <c r="I32" s="276">
        <f>(C32*DATA!$D$5*DATA!$D$7)/1000000</f>
        <v>7.6105578221238201E-2</v>
      </c>
      <c r="J32" s="274">
        <f t="shared" ca="1" si="1"/>
        <v>3.4663815965873805</v>
      </c>
      <c r="K32" s="272"/>
      <c r="L32" s="274">
        <f>((D32*DATA!$D$23)/1000000)+((E32*DATA!$D$24)/1000000)</f>
        <v>3.2853599999999998</v>
      </c>
      <c r="M32" s="274">
        <f t="shared" si="2"/>
        <v>3.2853599999999998</v>
      </c>
      <c r="N32" s="274">
        <f t="shared" ca="1" si="6"/>
        <v>-0.18102159658738071</v>
      </c>
      <c r="O32" s="273">
        <f>1/(1+'[87]Asumsi I'!$C$3)^(KKF!A32)</f>
        <v>5.8823306552253637E-2</v>
      </c>
      <c r="P32" s="274">
        <f t="shared" ca="1" si="7"/>
        <v>-1.0648288868637886E-2</v>
      </c>
      <c r="Q32" s="274">
        <f ca="1">Q31+P32</f>
        <v>3.1041456528855571</v>
      </c>
      <c r="S32" s="262" t="str">
        <f t="shared" ca="1" si="3"/>
        <v/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83" t="s">
        <v>1373</v>
      </c>
      <c r="G33" s="583"/>
      <c r="H33" s="583"/>
      <c r="I33" s="282"/>
      <c r="J33" s="283">
        <f ca="1">SUM(J7:J32)</f>
        <v>89.363356697476135</v>
      </c>
      <c r="K33" s="583" t="s">
        <v>1374</v>
      </c>
      <c r="L33" s="583"/>
      <c r="M33" s="283">
        <f>SUM(M7:M32)</f>
        <v>89.361739999999955</v>
      </c>
      <c r="N33" s="281"/>
      <c r="O33" s="281"/>
      <c r="P33" s="284"/>
      <c r="Q33" s="284"/>
      <c r="S33" s="262">
        <f ca="1">COUNTIF(S7:S32,"a")</f>
        <v>0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-14.936432081939079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0.99998190872035331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2.7715586186478189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>
        <f ca="1">IRR(N7:N32,DATA!D4)</f>
        <v>2.748670589136637E-5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9" priority="1" stopIfTrue="1" operator="greaterThanOrEqual">
      <formula>$F$7</formula>
    </cfRule>
    <cfRule type="cellIs" dxfId="8" priority="2" stopIfTrue="1" operator="lessThan">
      <formula>$F$7</formula>
    </cfRule>
  </conditionalFormatting>
  <conditionalFormatting sqref="Q7:Q32">
    <cfRule type="cellIs" dxfId="7" priority="3" operator="lessThan">
      <formula>0</formula>
    </cfRule>
    <cfRule type="cellIs" dxfId="6" priority="4" operator="lessThan">
      <formula>0</formula>
    </cfRule>
    <cfRule type="cellIs" dxfId="5" priority="5" operator="lessThan">
      <formula>-6395.81</formula>
    </cfRule>
    <cfRule type="cellIs" dxfId="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47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H20" sqref="H20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606" t="s">
        <v>1035</v>
      </c>
      <c r="P3" s="606"/>
      <c r="Q3" s="304"/>
      <c r="T3" s="302"/>
      <c r="U3" s="303" t="s">
        <v>1040</v>
      </c>
      <c r="V3" s="302"/>
    </row>
    <row r="4" spans="1:22" ht="15.75" customHeight="1">
      <c r="B4" s="607" t="s">
        <v>1022</v>
      </c>
      <c r="C4" s="607"/>
      <c r="D4" s="607"/>
      <c r="E4" s="607"/>
      <c r="F4" s="607"/>
      <c r="G4" s="607"/>
      <c r="H4" s="607"/>
      <c r="I4" s="607"/>
      <c r="J4" s="607"/>
      <c r="K4" s="607"/>
      <c r="O4" s="606"/>
      <c r="P4" s="606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590" t="str">
        <f>DATA!D14</f>
        <v>MASJID SRIWULAN</v>
      </c>
      <c r="H6" s="590"/>
      <c r="I6" s="590"/>
      <c r="J6" s="590"/>
      <c r="K6" s="590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 t="str">
        <f>GAMBAR!E6</f>
        <v>Sriwulan, Kec. Sayung, Kabupaten Demak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09" t="s">
        <v>0</v>
      </c>
      <c r="C11" s="611" t="s">
        <v>1</v>
      </c>
      <c r="D11" s="600" t="s">
        <v>42</v>
      </c>
      <c r="E11" s="600" t="s">
        <v>43</v>
      </c>
      <c r="F11" s="600" t="s">
        <v>2</v>
      </c>
      <c r="G11" s="614" t="s">
        <v>41</v>
      </c>
      <c r="H11" s="600" t="s">
        <v>3</v>
      </c>
      <c r="I11" s="600"/>
      <c r="J11" s="600"/>
      <c r="K11" s="601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10"/>
      <c r="C12" s="612"/>
      <c r="D12" s="604"/>
      <c r="E12" s="604"/>
      <c r="F12" s="604"/>
      <c r="G12" s="615"/>
      <c r="H12" s="602" t="s">
        <v>46</v>
      </c>
      <c r="I12" s="602" t="s">
        <v>5</v>
      </c>
      <c r="J12" s="604" t="s">
        <v>47</v>
      </c>
      <c r="K12" s="605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10"/>
      <c r="C13" s="613"/>
      <c r="D13" s="604"/>
      <c r="E13" s="604"/>
      <c r="F13" s="604"/>
      <c r="G13" s="616"/>
      <c r="H13" s="603"/>
      <c r="I13" s="603"/>
      <c r="J13" s="604"/>
      <c r="K13" s="605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1610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3"/>
      <c r="C15" s="109"/>
      <c r="D15" s="314" t="str">
        <f ca="1">IF(ISERROR(OFFSET('HARGA SATUAN'!$D$6,MATCH(RAB!C15,'HARGA SATUAN'!$C$7:$C$1492,0),0)),"",OFFSET('HARGA SATUAN'!$D$6,MATCH(RAB!C15,'HARGA SATUAN'!$C$7:$C$1492,0),0))</f>
        <v/>
      </c>
      <c r="E15" s="315" t="str">
        <f ca="1">IF(B15="+","Unit",IF(ISERROR(OFFSET('HARGA SATUAN'!$E$6,MATCH(RAB!C15,'HARGA SATUAN'!$C$7:$C$1492,0),0)),"",OFFSET('HARGA SATUAN'!$E$6,MATCH(RAB!C15,'HARGA SATUAN'!$C$7:$C$1492,0),0)))</f>
        <v/>
      </c>
      <c r="F15" s="322"/>
      <c r="G15" s="316">
        <f ca="1">IF(ISERROR(OFFSET('HARGA SATUAN'!$I$6,MATCH(RAB!C15,'HARGA SATUAN'!$C$7:$C$1492,0),0)),0,OFFSET('HARGA SATUAN'!$I$6,MATCH(RAB!C15,'HARGA SATUAN'!$C$7:$C$1492,0),0))</f>
        <v>0</v>
      </c>
      <c r="H15" s="317">
        <f t="shared" ref="H15" ca="1" si="4">IF(OR(D15="MDU",D15="MDU-KD"),(IF($O$3="RAB NON MDU","PLN KD",G15*F15)),0)</f>
        <v>0</v>
      </c>
      <c r="I15" s="317">
        <f t="shared" ref="I15" ca="1" si="5">IF(D15="HDW",G15*F15,0)</f>
        <v>0</v>
      </c>
      <c r="J15" s="317">
        <f t="shared" ref="J15" ca="1" si="6">IF(D15="JASA",G15*F15,0)</f>
        <v>0</v>
      </c>
      <c r="K15" s="318">
        <f t="shared" ref="K15" ca="1" si="7">SUM(H15:J15)</f>
        <v>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4" customFormat="1">
      <c r="A16" s="294" t="e">
        <f>IF(AND(C16=0,#REF!=0,#REF!=0),"BLANKS",1)</f>
        <v>#REF!</v>
      </c>
      <c r="B16" s="437" t="s">
        <v>1609</v>
      </c>
      <c r="C16" s="438" t="s">
        <v>1607</v>
      </c>
      <c r="D16" s="314" t="str">
        <f ca="1">IF(ISERROR(OFFSET('HARGA SATUAN'!$D$6,MATCH(RAB!C16,'HARGA SATUAN'!$C$7:$C$1492,0),0)),"",OFFSET('HARGA SATUAN'!$D$6,MATCH(RAB!C16,'HARGA SATUAN'!$C$7:$C$1492,0),0))</f>
        <v/>
      </c>
      <c r="E16" s="315" t="str">
        <f ca="1">IF(B16="+","Unit",IF(ISERROR(OFFSET('HARGA SATUAN'!$E$6,MATCH(RAB!C16,'HARGA SATUAN'!$C$7:$C$1492,0),0)),"",OFFSET('HARGA SATUAN'!$E$6,MATCH(RAB!C16,'HARGA SATUAN'!$C$7:$C$1492,0),0)))</f>
        <v/>
      </c>
      <c r="F16" s="322"/>
      <c r="G16" s="316">
        <f ca="1">IF(ISERROR(OFFSET('HARGA SATUAN'!$I$6,MATCH(RAB!C16,'HARGA SATUAN'!$C$7:$C$1492,0),0)),0,OFFSET('HARGA SATUAN'!$I$6,MATCH(RAB!C16,'HARGA SATUAN'!$C$7:$C$1492,0),0))</f>
        <v>0</v>
      </c>
      <c r="H16" s="317">
        <f t="shared" ref="H16:H17" ca="1" si="8">IF(OR(D16="MDU",D16="MDU-KD"),(IF($O$3="RAB NON MDU","PLN KD",G16*F16)),0)</f>
        <v>0</v>
      </c>
      <c r="I16" s="317">
        <f t="shared" ref="I16:I17" ca="1" si="9">IF(D16="HDW",G16*F16,0)</f>
        <v>0</v>
      </c>
      <c r="J16" s="317">
        <f t="shared" ref="J16:J17" ca="1" si="10">IF(D16="JASA",G16*F16,0)</f>
        <v>0</v>
      </c>
      <c r="K16" s="318">
        <f t="shared" ref="K16:K17" ca="1" si="11">SUM(H16:J16)</f>
        <v>0</v>
      </c>
      <c r="L16" s="323"/>
      <c r="M16" s="323"/>
      <c r="N16" s="323"/>
      <c r="O16" s="319"/>
      <c r="P16" s="319"/>
      <c r="Q16" s="302"/>
      <c r="R16" s="294"/>
      <c r="S16" s="320"/>
      <c r="T16" s="299"/>
      <c r="U16" s="299"/>
      <c r="V16" s="299"/>
    </row>
    <row r="17" spans="1:22" s="324" customFormat="1">
      <c r="A17" s="294"/>
      <c r="B17" s="437"/>
      <c r="C17" s="438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ca="1" si="8"/>
        <v>0</v>
      </c>
      <c r="I17" s="317">
        <f t="shared" ca="1" si="9"/>
        <v>0</v>
      </c>
      <c r="J17" s="317">
        <f t="shared" ca="1" si="10"/>
        <v>0</v>
      </c>
      <c r="K17" s="318">
        <f t="shared" ca="1" si="11"/>
        <v>0</v>
      </c>
      <c r="L17" s="323"/>
      <c r="M17" s="323"/>
      <c r="N17" s="323"/>
      <c r="O17" s="319"/>
      <c r="P17" s="319"/>
      <c r="Q17" s="302"/>
      <c r="R17" s="294"/>
      <c r="S17" s="320"/>
      <c r="T17" s="299"/>
      <c r="U17" s="299"/>
      <c r="V17" s="299"/>
    </row>
    <row r="18" spans="1:22" s="324" customFormat="1">
      <c r="A18" s="294"/>
      <c r="B18" s="437" t="s">
        <v>1615</v>
      </c>
      <c r="C18" s="438" t="s">
        <v>1611</v>
      </c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ref="H18" ca="1" si="12">IF(OR(D18="MDU",D18="MDU-KD"),(IF($O$3="RAB NON MDU","PLN KD",G18*F18)),0)</f>
        <v>0</v>
      </c>
      <c r="I18" s="317">
        <f t="shared" ref="I18" ca="1" si="13">IF(D18="HDW",G18*F18,0)</f>
        <v>0</v>
      </c>
      <c r="J18" s="317">
        <f t="shared" ref="J18" ca="1" si="14">IF(D18="JASA",G18*F18,0)</f>
        <v>0</v>
      </c>
      <c r="K18" s="318">
        <f t="shared" ref="K18" ca="1" si="15">SUM(H18:J18)</f>
        <v>0</v>
      </c>
      <c r="L18" s="323"/>
      <c r="M18" s="323"/>
      <c r="N18" s="323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/>
      <c r="B19" s="437"/>
      <c r="C19" s="438"/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ref="H19" ca="1" si="16">IF(OR(D19="MDU",D19="MDU-KD"),(IF($O$3="RAB NON MDU","PLN KD",G19*F19)),0)</f>
        <v>0</v>
      </c>
      <c r="I19" s="317">
        <f t="shared" ref="I19" ca="1" si="17">IF(D19="HDW",G19*F19,0)</f>
        <v>0</v>
      </c>
      <c r="J19" s="317">
        <f t="shared" ref="J19" ca="1" si="18">IF(D19="JASA",G19*F19,0)</f>
        <v>0</v>
      </c>
      <c r="K19" s="318">
        <f t="shared" ref="K19" ca="1" si="19">SUM(H19:J19)</f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37" t="s">
        <v>1616</v>
      </c>
      <c r="C20" s="438" t="s">
        <v>1608</v>
      </c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322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ref="H20:H21" ca="1" si="20">IF(OR(D20="MDU",D20="MDU-KD"),(IF($O$3="RAB NON MDU","PLN KD",G20*F20)),0)</f>
        <v>0</v>
      </c>
      <c r="I20" s="317">
        <f t="shared" ref="I20:I21" ca="1" si="21">IF(D20="HDW",G20*F20,0)</f>
        <v>0</v>
      </c>
      <c r="J20" s="317">
        <f t="shared" ref="J20:J21" ca="1" si="22">IF(D20="JASA",G20*F20,0)</f>
        <v>0</v>
      </c>
      <c r="K20" s="318">
        <f t="shared" ref="K20:K21" ca="1" si="23">SUM(H20:J20)</f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39"/>
      <c r="C21" s="440"/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/>
      </c>
      <c r="F21" s="322"/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ca="1" si="20"/>
        <v>0</v>
      </c>
      <c r="I21" s="317">
        <f t="shared" ca="1" si="21"/>
        <v>0</v>
      </c>
      <c r="J21" s="317">
        <f t="shared" ca="1" si="22"/>
        <v>0</v>
      </c>
      <c r="K21" s="318">
        <f t="shared" ca="1" si="23"/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35" t="s">
        <v>1034</v>
      </c>
      <c r="C22" s="436" t="s">
        <v>1618</v>
      </c>
      <c r="D22" s="314" t="str">
        <f ca="1">IF(ISERROR(OFFSET('HARGA SATUAN'!$D$6,MATCH(RAB!C22,'HARGA SATUAN'!$C$7:$C$1492,0),0)),"",OFFSET('HARGA SATUAN'!$D$6,MATCH(RAB!C22,'HARGA SATUAN'!$C$7:$C$1492,0),0))</f>
        <v/>
      </c>
      <c r="E22" s="315" t="str">
        <f ca="1">IF(B22="+","Unit",IF(ISERROR(OFFSET('HARGA SATUAN'!$E$6,MATCH(RAB!C22,'HARGA SATUAN'!$C$7:$C$1492,0),0)),"",OFFSET('HARGA SATUAN'!$E$6,MATCH(RAB!C22,'HARGA SATUAN'!$C$7:$C$1492,0),0)))</f>
        <v>Unit</v>
      </c>
      <c r="F22" s="487">
        <v>1</v>
      </c>
      <c r="G22" s="316">
        <f ca="1">IF(ISERROR(OFFSET('HARGA SATUAN'!$I$6,MATCH(RAB!C22,'HARGA SATUAN'!$C$7:$C$1492,0),0)),0,OFFSET('HARGA SATUAN'!$I$6,MATCH(RAB!C22,'HARGA SATUAN'!$C$7:$C$1492,0),0))</f>
        <v>0</v>
      </c>
      <c r="H22" s="317">
        <f t="shared" ref="H22:H25" ca="1" si="24">IF(OR(D22="MDU",D22="MDU-KD"),(IF($O$3="RAB NON MDU","PLN KD",G22*F22)),0)</f>
        <v>0</v>
      </c>
      <c r="I22" s="317">
        <f t="shared" ref="I22:I25" ca="1" si="25">IF(D22="HDW",G22*F22,0)</f>
        <v>0</v>
      </c>
      <c r="J22" s="317">
        <f t="shared" ref="J22:J25" ca="1" si="26">IF(D22="JASA",G22*F22,0)</f>
        <v>0</v>
      </c>
      <c r="K22" s="318">
        <f t="shared" ref="K22:K25" ca="1" si="27">SUM(H22:J22)</f>
        <v>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88">
        <v>2</v>
      </c>
      <c r="C23" s="109" t="s">
        <v>497</v>
      </c>
      <c r="D23" s="314" t="str">
        <f ca="1">IF(ISERROR(OFFSET('HARGA SATUAN'!$D$6,MATCH(RAB!C23,'HARGA SATUAN'!$C$7:$C$1492,0),0)),"",OFFSET('HARGA SATUAN'!$D$6,MATCH(RAB!C23,'HARGA SATUAN'!$C$7:$C$1492,0),0))</f>
        <v>MDU-KD</v>
      </c>
      <c r="E23" s="315" t="str">
        <f ca="1">IF(B23="+","Unit",IF(ISERROR(OFFSET('HARGA SATUAN'!$E$6,MATCH(RAB!C23,'HARGA SATUAN'!$C$7:$C$1492,0),0)),"",OFFSET('HARGA SATUAN'!$E$6,MATCH(RAB!C23,'HARGA SATUAN'!$C$7:$C$1492,0),0)))</f>
        <v>Bh</v>
      </c>
      <c r="F23" s="487">
        <f>F22*1</f>
        <v>1</v>
      </c>
      <c r="G23" s="316">
        <f ca="1">IF(ISERROR(OFFSET('HARGA SATUAN'!$I$6,MATCH(RAB!C23,'HARGA SATUAN'!$C$7:$C$1492,0),0)),0,OFFSET('HARGA SATUAN'!$I$6,MATCH(RAB!C23,'HARGA SATUAN'!$C$7:$C$1492,0),0))</f>
        <v>172800</v>
      </c>
      <c r="H23" s="317">
        <f t="shared" ca="1" si="24"/>
        <v>172800</v>
      </c>
      <c r="I23" s="317">
        <f t="shared" ca="1" si="25"/>
        <v>0</v>
      </c>
      <c r="J23" s="317">
        <f t="shared" ca="1" si="26"/>
        <v>0</v>
      </c>
      <c r="K23" s="318">
        <f t="shared" ca="1" si="27"/>
        <v>172800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88">
        <v>5</v>
      </c>
      <c r="C24" s="489" t="s">
        <v>798</v>
      </c>
      <c r="D24" s="314" t="str">
        <f ca="1">IF(ISERROR(OFFSET('HARGA SATUAN'!$D$6,MATCH(RAB!C24,'HARGA SATUAN'!$C$7:$C$1492,0),0)),"",OFFSET('HARGA SATUAN'!$D$6,MATCH(RAB!C24,'HARGA SATUAN'!$C$7:$C$1492,0),0))</f>
        <v>JASA</v>
      </c>
      <c r="E24" s="315" t="str">
        <f ca="1">IF(B24="+","Unit",IF(ISERROR(OFFSET('HARGA SATUAN'!$E$6,MATCH(RAB!C24,'HARGA SATUAN'!$C$7:$C$1492,0),0)),"",OFFSET('HARGA SATUAN'!$E$6,MATCH(RAB!C24,'HARGA SATUAN'!$C$7:$C$1492,0),0)))</f>
        <v>Unit</v>
      </c>
      <c r="F24" s="486">
        <f>F22*1</f>
        <v>1</v>
      </c>
      <c r="G24" s="316">
        <f ca="1">IF(ISERROR(OFFSET('HARGA SATUAN'!$I$6,MATCH(RAB!C24,'HARGA SATUAN'!$C$7:$C$1492,0),0)),0,OFFSET('HARGA SATUAN'!$I$6,MATCH(RAB!C24,'HARGA SATUAN'!$C$7:$C$1492,0),0))</f>
        <v>106400</v>
      </c>
      <c r="H24" s="317">
        <f t="shared" ca="1" si="24"/>
        <v>0</v>
      </c>
      <c r="I24" s="317">
        <f t="shared" ca="1" si="25"/>
        <v>0</v>
      </c>
      <c r="J24" s="317">
        <f t="shared" ca="1" si="26"/>
        <v>106400</v>
      </c>
      <c r="K24" s="318">
        <f t="shared" ca="1" si="27"/>
        <v>106400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39">
        <v>6</v>
      </c>
      <c r="C25" s="442" t="s">
        <v>981</v>
      </c>
      <c r="D25" s="314" t="str">
        <f ca="1">IF(ISERROR(OFFSET('HARGA SATUAN'!$D$6,MATCH(RAB!C25,'HARGA SATUAN'!$C$7:$C$1492,0),0)),"",OFFSET('HARGA SATUAN'!$D$6,MATCH(RAB!C25,'HARGA SATUAN'!$C$7:$C$1492,0),0))</f>
        <v>JASA</v>
      </c>
      <c r="E25" s="315" t="str">
        <f ca="1">IF(B25="+","Unit",IF(ISERROR(OFFSET('HARGA SATUAN'!$E$6,MATCH(RAB!C25,'HARGA SATUAN'!$C$7:$C$1492,0),0)),"",OFFSET('HARGA SATUAN'!$E$6,MATCH(RAB!C25,'HARGA SATUAN'!$C$7:$C$1492,0),0)))</f>
        <v>Unit</v>
      </c>
      <c r="F25" s="434">
        <v>1</v>
      </c>
      <c r="G25" s="316">
        <f ca="1">IF(ISERROR(OFFSET('HARGA SATUAN'!$I$6,MATCH(RAB!C25,'HARGA SATUAN'!$C$7:$C$1492,0),0)),0,OFFSET('HARGA SATUAN'!$I$6,MATCH(RAB!C25,'HARGA SATUAN'!$C$7:$C$1492,0),0))</f>
        <v>63840</v>
      </c>
      <c r="H25" s="317">
        <f t="shared" ca="1" si="24"/>
        <v>0</v>
      </c>
      <c r="I25" s="317">
        <f t="shared" ca="1" si="25"/>
        <v>0</v>
      </c>
      <c r="J25" s="317">
        <f t="shared" ca="1" si="26"/>
        <v>63840</v>
      </c>
      <c r="K25" s="318">
        <f t="shared" ca="1" si="27"/>
        <v>63840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35"/>
      <c r="C26" s="436"/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/>
      </c>
      <c r="F26" s="441"/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ref="H26" ca="1" si="28">IF(OR(D26="MDU",D26="MDU-KD"),(IF($O$3="RAB NON MDU","PLN KD",G26*F26)),0)</f>
        <v>0</v>
      </c>
      <c r="I26" s="317">
        <f t="shared" ref="I26" ca="1" si="29">IF(D26="HDW",G26*F26,0)</f>
        <v>0</v>
      </c>
      <c r="J26" s="317">
        <f t="shared" ref="J26" ca="1" si="30">IF(D26="JASA",G26*F26,0)</f>
        <v>0</v>
      </c>
      <c r="K26" s="318">
        <f t="shared" ref="K26" ca="1" si="31">SUM(H26:J26)</f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>
      <c r="B27" s="326">
        <v>1</v>
      </c>
      <c r="C27" s="327" t="s">
        <v>1090</v>
      </c>
      <c r="D27" s="328" t="str">
        <f ca="1">IF(ISERROR(OFFSET('HARGA SATUAN'!$D$6,MATCH(RAB!C27,'HARGA SATUAN'!$C$7:$C$1492,0),0)),"",OFFSET('HARGA SATUAN'!$D$6,MATCH(RAB!C27,'HARGA SATUAN'!$C$7:$C$1492,0),0))</f>
        <v>JASA</v>
      </c>
      <c r="E27" s="329" t="str">
        <f ca="1">IF(ISERROR(OFFSET('HARGA SATUAN'!$E$6,MATCH(RAB!C27,'HARGA SATUAN'!$C$7:$C$1492,0),0)),"",OFFSET('HARGA SATUAN'!$E$6,MATCH(RAB!C27,'HARGA SATUAN'!$C$7:$C$1492,0),0))</f>
        <v>Lot</v>
      </c>
      <c r="F27" s="330">
        <v>1</v>
      </c>
      <c r="G27" s="331">
        <f ca="1">IF(ISERROR(OFFSET('HARGA SATUAN'!$I$6,MATCH(RAB!C27,'HARGA SATUAN'!$C$7:$C$1492,0),0)),0,OFFSET('HARGA SATUAN'!$I$6,MATCH(RAB!C27,'HARGA SATUAN'!$C$7:$C$1492,0),0))</f>
        <v>2.5000000000000001E-2</v>
      </c>
      <c r="H27" s="332">
        <f ca="1">(SUM(H15:H26))*2.5%</f>
        <v>4320</v>
      </c>
      <c r="I27" s="332">
        <f ca="1">(SUM(I15:I26))*2.5%</f>
        <v>0</v>
      </c>
      <c r="J27" s="332">
        <f ca="1">(SUM(J15:J26))*2.5%</f>
        <v>4256</v>
      </c>
      <c r="K27" s="332">
        <f ca="1">(SUM(K15:K26))*2.5%</f>
        <v>8576</v>
      </c>
    </row>
    <row r="28" spans="1:22">
      <c r="B28" s="333"/>
      <c r="C28" s="334"/>
      <c r="D28" s="314" t="str">
        <f ca="1">IF(ISERROR(OFFSET('HARGA SATUAN'!$D$6,MATCH(RAB!C28,'HARGA SATUAN'!$C$7:$C$1492,0),0)),"",OFFSET('HARGA SATUAN'!$D$6,MATCH(RAB!C28,'HARGA SATUAN'!$C$7:$C$1492,0),0))</f>
        <v/>
      </c>
      <c r="E28" s="315" t="str">
        <f ca="1">IF(ISERROR(OFFSET('HARGA SATUAN'!$E$6,MATCH(RAB!C28,'HARGA SATUAN'!$C$7:$C$1492,0),0)),"",OFFSET('HARGA SATUAN'!$E$6,MATCH(RAB!C28,'HARGA SATUAN'!$C$7:$C$1492,0),0))</f>
        <v/>
      </c>
      <c r="F28" s="325"/>
      <c r="G28" s="316" t="str">
        <f ca="1">IF(ISERROR(OFFSET('HARGA SATUAN'!$I$6,MATCH(RAB!C28,'HARGA SATUAN'!$C$7:$C$1492,0),0)),"",OFFSET('HARGA SATUAN'!$I$6,MATCH(RAB!C28,'HARGA SATUAN'!$C$7:$C$1492,0),0))</f>
        <v/>
      </c>
      <c r="H28" s="317">
        <f ca="1">IF(OR(D28="MDU",D28="MDU-KD"),IF(G28="PLN",0,G28*F28),0)</f>
        <v>0</v>
      </c>
      <c r="I28" s="317">
        <f ca="1">IF(D28="HDW",IF(G28="PLN",0,G28*F28),0)</f>
        <v>0</v>
      </c>
      <c r="J28" s="317">
        <f ca="1">IF(D28="JASA",IF(G28="PLN",0,G28*F28),0)</f>
        <v>0</v>
      </c>
      <c r="K28" s="318">
        <f ca="1">SUM(H28:J28)</f>
        <v>0</v>
      </c>
    </row>
    <row r="29" spans="1:22" ht="15.75" thickBot="1">
      <c r="B29" s="335"/>
      <c r="C29" s="336"/>
      <c r="D29" s="337"/>
      <c r="E29" s="338"/>
      <c r="F29" s="338"/>
      <c r="G29" s="338"/>
      <c r="H29" s="339"/>
      <c r="I29" s="339"/>
      <c r="J29" s="339"/>
      <c r="K29" s="340"/>
    </row>
    <row r="30" spans="1:22">
      <c r="B30" s="341"/>
      <c r="C30" s="608" t="s">
        <v>1007</v>
      </c>
      <c r="D30" s="608"/>
      <c r="E30" s="608"/>
      <c r="F30" s="608"/>
      <c r="G30" s="342" t="s">
        <v>9</v>
      </c>
      <c r="H30" s="343">
        <f ca="1">SUM(H15:H28)</f>
        <v>177120</v>
      </c>
      <c r="I30" s="343">
        <f ca="1">SUM(I15:I28)</f>
        <v>0</v>
      </c>
      <c r="J30" s="343">
        <f ca="1">SUM(J15:J28)</f>
        <v>174496</v>
      </c>
      <c r="K30" s="343">
        <f ca="1">SUM(K15:K28)</f>
        <v>351616</v>
      </c>
    </row>
    <row r="31" spans="1:22">
      <c r="B31" s="344"/>
      <c r="C31" s="591" t="s">
        <v>1455</v>
      </c>
      <c r="D31" s="591"/>
      <c r="E31" s="591"/>
      <c r="F31" s="591"/>
      <c r="G31" s="345" t="s">
        <v>9</v>
      </c>
      <c r="H31" s="346">
        <f ca="1">H30*0.11</f>
        <v>19483.2</v>
      </c>
      <c r="I31" s="346">
        <f ca="1">I30*0.11</f>
        <v>0</v>
      </c>
      <c r="J31" s="346">
        <f ca="1">J30*0.11</f>
        <v>19194.560000000001</v>
      </c>
      <c r="K31" s="346">
        <f ca="1">K30*0.11</f>
        <v>38677.760000000002</v>
      </c>
    </row>
    <row r="32" spans="1:22" ht="15.75" thickBot="1">
      <c r="B32" s="344"/>
      <c r="C32" s="589" t="s">
        <v>463</v>
      </c>
      <c r="D32" s="589"/>
      <c r="E32" s="589"/>
      <c r="F32" s="589"/>
      <c r="G32" s="347" t="s">
        <v>9</v>
      </c>
      <c r="H32" s="348">
        <f ca="1">SUM(H30:H31)</f>
        <v>196603.2</v>
      </c>
      <c r="I32" s="348">
        <f ca="1">SUM(I30:I31)</f>
        <v>0</v>
      </c>
      <c r="J32" s="347">
        <f ca="1">SUM(J30:J31)</f>
        <v>193690.56</v>
      </c>
      <c r="K32" s="347">
        <f ca="1">SUM(K30:K31)</f>
        <v>390293.76000000001</v>
      </c>
      <c r="M32" s="426"/>
    </row>
    <row r="33" spans="2:11">
      <c r="B33" s="592" t="str">
        <f ca="1">"Terbilang : "&amp;PROPER(IF(K32=0,"nol",IF(K32&lt;0,"minus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IF(--MID(TEXT(ABS(K32),"000000000000000"),1,3)=0,"",MID(TEXT(ABS(K32),"000000000000000"),1,1)&amp;" ratus "&amp;MID(TEXT(ABS(K32),"000000000000000"),2,1)&amp;" puluh "&amp;MID(TEXT(ABS(K32),"000000000000000"),3,1)&amp;" trilyun ")&amp; IF(--MID(TEXT(ABS(K32),"000000000000000"),4,3)=0,"",MID(TEXT(ABS(K32),"000000000000000"),4,1)&amp;" ratus "&amp;MID(TEXT(ABS(K32),"000000000000000"),5,1)&amp;" puluh "&amp;MID(TEXT(ABS(K32),"000000000000000"),6,1)&amp;" milyar ")&amp; IF(--MID(TEXT(ABS(K32),"000000000000000"),7,3)=0,"",MID(TEXT(ABS(K32),"000000000000000"),7,1)&amp;" ratus "&amp;MID(TEXT(ABS(K32),"000000000000000"),8,1)&amp;" puluh "&amp;MID(TEXT(ABS(K32),"000000000000000"),9,1)&amp;" juta ")&amp; IF(--MID(TEXT(ABS(K32),"000000000000000"),10,3)=0,"",IF(--MID(TEXT(ABS(K32),"000000000000000"),10,3)=1,"*",MID(TEXT(ABS(K32),"000000000000000"),10,1)&amp;" ratus "&amp;MID(TEXT(ABS(K32),"000000000000000"),11,1)&amp;" puluh ")&amp;MID(TEXT(ABS(K32),"000000000000000"),12,1)&amp;" ribu ")&amp; IF(--MID(TEXT(ABS(K32),"000000000000000"),13,3)=0,"",MID(TEXT(ABS(K32),"000000000000000"),13,1)&amp;" ratus "&amp;MID(TEXT(ABS(K32),"000000000000000"),14,1)&amp;" puluh "&amp;MID(TEXT(ABS(K32),"000000000000000"),15,1)),1,"satu"),2,"dua"),3,"tiga"),4,"empat"),5,"lima"),6,"enam"),7,"tujuh"),8,"delapan"),9,"sembilan"),"0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Sembilan Puluh Ribu Dua Ratus Sembilan Puluh Empat Rupiah</v>
      </c>
      <c r="C33" s="593"/>
      <c r="D33" s="593"/>
      <c r="E33" s="593"/>
      <c r="F33" s="593"/>
      <c r="G33" s="593"/>
      <c r="H33" s="593"/>
      <c r="I33" s="593"/>
      <c r="J33" s="593"/>
      <c r="K33" s="594"/>
    </row>
    <row r="34" spans="2:11">
      <c r="B34" s="595"/>
      <c r="C34" s="596"/>
      <c r="D34" s="596"/>
      <c r="E34" s="596"/>
      <c r="F34" s="596"/>
      <c r="G34" s="596"/>
      <c r="H34" s="596"/>
      <c r="I34" s="596"/>
      <c r="J34" s="596"/>
      <c r="K34" s="597"/>
    </row>
    <row r="35" spans="2:11" ht="15.75" thickBot="1">
      <c r="B35" s="349" t="str">
        <f>"Harga yang dipakai adalah "&amp;'HARGA SATUAN'!I5&amp;""</f>
        <v>Harga yang dipakai adalah RAB HSS 2023</v>
      </c>
      <c r="C35" s="350"/>
      <c r="D35" s="351"/>
      <c r="E35" s="351"/>
      <c r="F35" s="351"/>
      <c r="G35" s="352"/>
      <c r="H35" s="352"/>
      <c r="I35" s="352"/>
      <c r="J35" s="352"/>
      <c r="K35" s="353"/>
    </row>
    <row r="36" spans="2:11">
      <c r="C36" s="354"/>
      <c r="E36" s="356"/>
      <c r="F36" s="356"/>
      <c r="G36" s="356"/>
    </row>
    <row r="37" spans="2:11">
      <c r="C37" s="295"/>
      <c r="E37" s="356"/>
      <c r="F37" s="356"/>
      <c r="G37" s="356"/>
      <c r="H37" s="598"/>
      <c r="I37" s="598"/>
      <c r="J37" s="599"/>
      <c r="K37" s="599"/>
    </row>
    <row r="38" spans="2:11">
      <c r="C38" s="295"/>
      <c r="E38" s="356"/>
      <c r="F38" s="356"/>
      <c r="G38" s="356"/>
      <c r="H38" s="357"/>
      <c r="I38" s="588" t="s">
        <v>1605</v>
      </c>
      <c r="J38" s="588"/>
      <c r="K38" s="588"/>
    </row>
    <row r="39" spans="2:11">
      <c r="C39" s="295"/>
      <c r="E39" s="356"/>
      <c r="F39" s="356"/>
      <c r="G39" s="356"/>
      <c r="H39" s="357"/>
      <c r="I39" s="588" t="s">
        <v>1544</v>
      </c>
      <c r="J39" s="588"/>
      <c r="K39" s="588"/>
    </row>
    <row r="40" spans="2:11">
      <c r="C40" s="295"/>
      <c r="E40" s="356"/>
      <c r="F40" s="356"/>
      <c r="G40" s="356"/>
      <c r="H40" s="358"/>
      <c r="I40" s="359"/>
      <c r="J40" s="359"/>
      <c r="K40" s="359"/>
    </row>
    <row r="41" spans="2:11">
      <c r="C41" s="295"/>
      <c r="E41" s="356"/>
      <c r="F41" s="356"/>
      <c r="G41" s="356"/>
      <c r="H41" s="358"/>
      <c r="I41" s="358"/>
      <c r="J41" s="358"/>
      <c r="K41" s="358"/>
    </row>
    <row r="42" spans="2:11">
      <c r="C42" s="295"/>
      <c r="E42" s="356"/>
      <c r="F42" s="356"/>
      <c r="G42" s="356"/>
      <c r="H42" s="358"/>
      <c r="I42" s="358"/>
      <c r="J42" s="358"/>
      <c r="K42" s="358"/>
    </row>
    <row r="43" spans="2:11">
      <c r="C43" s="295"/>
      <c r="E43" s="356"/>
      <c r="F43" s="356"/>
      <c r="G43" s="356"/>
      <c r="H43" s="358"/>
      <c r="I43" s="358"/>
      <c r="J43" s="358"/>
      <c r="K43" s="358"/>
    </row>
    <row r="44" spans="2:11">
      <c r="C44" s="295"/>
      <c r="E44" s="356"/>
      <c r="F44" s="356"/>
      <c r="G44" s="356"/>
      <c r="H44" s="360"/>
      <c r="I44" s="588" t="s">
        <v>1545</v>
      </c>
      <c r="J44" s="588"/>
      <c r="K44" s="588"/>
    </row>
    <row r="45" spans="2:11">
      <c r="C45" s="354"/>
      <c r="E45" s="356"/>
      <c r="F45" s="356"/>
      <c r="G45" s="356"/>
      <c r="H45" s="358"/>
      <c r="I45" s="358"/>
      <c r="J45" s="358"/>
      <c r="K45" s="358"/>
    </row>
    <row r="46" spans="2:11">
      <c r="C46" s="354"/>
      <c r="E46" s="356"/>
      <c r="F46" s="356"/>
      <c r="G46" s="356"/>
      <c r="H46" s="358"/>
      <c r="I46" s="358"/>
      <c r="J46" s="358"/>
      <c r="K46" s="358"/>
    </row>
    <row r="47" spans="2:11">
      <c r="C47" s="354"/>
      <c r="E47" s="356"/>
      <c r="F47" s="356"/>
      <c r="G47" s="356"/>
      <c r="H47" s="358"/>
      <c r="I47" s="358"/>
      <c r="J47" s="358"/>
      <c r="K47" s="358"/>
    </row>
  </sheetData>
  <sheetProtection sort="0" autoFilter="0"/>
  <protectedRanges>
    <protectedRange sqref="F14:F21" name="Range1_1_2_2"/>
    <protectedRange sqref="B14:C14 B16:C20" name="Range1_1_1_1"/>
    <protectedRange sqref="C15" name="Range1_1_3_4"/>
    <protectedRange sqref="C23" name="Range1_1_3_2"/>
  </protectedRanges>
  <mergeCells count="22">
    <mergeCell ref="O3:P4"/>
    <mergeCell ref="B4:K4"/>
    <mergeCell ref="C30:F30"/>
    <mergeCell ref="B11:B13"/>
    <mergeCell ref="C11:C13"/>
    <mergeCell ref="D11:D13"/>
    <mergeCell ref="E11:E13"/>
    <mergeCell ref="F11:F13"/>
    <mergeCell ref="G11:G13"/>
    <mergeCell ref="I12:I13"/>
    <mergeCell ref="I39:K39"/>
    <mergeCell ref="I44:K44"/>
    <mergeCell ref="C32:F32"/>
    <mergeCell ref="G6:K6"/>
    <mergeCell ref="I38:K38"/>
    <mergeCell ref="C31:F31"/>
    <mergeCell ref="B33:K34"/>
    <mergeCell ref="H37:K37"/>
    <mergeCell ref="H11:K11"/>
    <mergeCell ref="H12:H13"/>
    <mergeCell ref="J12:J13"/>
    <mergeCell ref="K12:K13"/>
  </mergeCells>
  <phoneticPr fontId="140" type="noConversion"/>
  <conditionalFormatting sqref="C15 C23">
    <cfRule type="cellIs" dxfId="3" priority="13" operator="equal">
      <formula>0</formula>
    </cfRule>
  </conditionalFormatting>
  <conditionalFormatting sqref="E1:E3 G1:G13 E5:E13 H12:I12 O13 E27:G27 H27:K29 E28:H28 E29:F29 E14:K26 S14:V26">
    <cfRule type="cellIs" dxfId="1" priority="1281" stopIfTrue="1" operator="equal">
      <formula>0</formula>
    </cfRule>
  </conditionalFormatting>
  <conditionalFormatting sqref="G28:G65494 E33:E65494">
    <cfRule type="cellIs" dxfId="0" priority="4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5 H14:K2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B19" zoomScale="130" zoomScaleNormal="130" zoomScaleSheetLayoutView="115" workbookViewId="0">
      <selection activeCell="Q51" sqref="Q51"/>
    </sheetView>
  </sheetViews>
  <sheetFormatPr defaultRowHeight="12"/>
  <cols>
    <col min="1" max="1" width="1.42578125" style="443" customWidth="1"/>
    <col min="2" max="22" width="5.7109375" style="443" customWidth="1"/>
    <col min="23" max="23" width="6.28515625" style="443" customWidth="1"/>
    <col min="24" max="117" width="5.7109375" style="443" customWidth="1"/>
    <col min="118" max="16384" width="9.140625" style="443"/>
  </cols>
  <sheetData>
    <row r="1" spans="2:29" ht="12.75" thickBot="1"/>
    <row r="2" spans="2:29" ht="12.75" customHeight="1">
      <c r="B2" s="444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619" t="str">
        <f>"PT. PLN (PERSERO) "&amp;'[88]DETAIL USULAN'!D5&amp;""</f>
        <v>PT. PLN (PERSERO) AREA DEMAK</v>
      </c>
      <c r="W2" s="620"/>
      <c r="X2" s="620"/>
      <c r="Y2" s="620"/>
      <c r="Z2" s="620"/>
      <c r="AA2" s="620"/>
      <c r="AB2" s="620"/>
      <c r="AC2" s="621"/>
    </row>
    <row r="3" spans="2:29">
      <c r="B3" s="446"/>
      <c r="V3" s="622"/>
      <c r="W3" s="623"/>
      <c r="X3" s="623"/>
      <c r="Y3" s="623"/>
      <c r="Z3" s="623"/>
      <c r="AA3" s="623"/>
      <c r="AB3" s="623"/>
      <c r="AC3" s="624"/>
    </row>
    <row r="4" spans="2:29">
      <c r="B4" s="446"/>
      <c r="V4" s="447" t="s">
        <v>986</v>
      </c>
      <c r="AC4" s="448"/>
    </row>
    <row r="5" spans="2:29" ht="12.75">
      <c r="B5" s="446"/>
      <c r="E5" s="449" t="str">
        <f>PETA!C6</f>
        <v>KOORDINAT :' -6.944177, 110.493045</v>
      </c>
      <c r="V5" s="450" t="s">
        <v>990</v>
      </c>
      <c r="W5" s="617" t="s">
        <v>989</v>
      </c>
      <c r="X5" s="617"/>
      <c r="Y5" s="617"/>
      <c r="Z5" s="617" t="s">
        <v>987</v>
      </c>
      <c r="AA5" s="617"/>
      <c r="AB5" s="617" t="s">
        <v>988</v>
      </c>
      <c r="AC5" s="618"/>
    </row>
    <row r="6" spans="2:29">
      <c r="B6" s="446"/>
      <c r="E6" s="452" t="s">
        <v>1620</v>
      </c>
      <c r="V6" s="450">
        <v>1</v>
      </c>
      <c r="W6" s="617" t="s">
        <v>992</v>
      </c>
      <c r="X6" s="617"/>
      <c r="Y6" s="617"/>
      <c r="Z6" s="617"/>
      <c r="AA6" s="617"/>
      <c r="AB6" s="617"/>
      <c r="AC6" s="618"/>
    </row>
    <row r="7" spans="2:29">
      <c r="B7" s="446"/>
      <c r="V7" s="450">
        <v>2</v>
      </c>
      <c r="W7" s="617" t="s">
        <v>993</v>
      </c>
      <c r="X7" s="617"/>
      <c r="Y7" s="617"/>
      <c r="Z7" s="617"/>
      <c r="AA7" s="617"/>
      <c r="AB7" s="617"/>
      <c r="AC7" s="618"/>
    </row>
    <row r="8" spans="2:29">
      <c r="B8" s="446"/>
      <c r="V8" s="450">
        <v>3</v>
      </c>
      <c r="W8" s="617" t="s">
        <v>994</v>
      </c>
      <c r="X8" s="617"/>
      <c r="Y8" s="617"/>
      <c r="Z8" s="617"/>
      <c r="AA8" s="617"/>
      <c r="AB8" s="617"/>
      <c r="AC8" s="618"/>
    </row>
    <row r="9" spans="2:29">
      <c r="B9" s="446"/>
      <c r="V9" s="450">
        <v>4</v>
      </c>
      <c r="W9" s="617" t="s">
        <v>995</v>
      </c>
      <c r="X9" s="617"/>
      <c r="Y9" s="617"/>
      <c r="Z9" s="617"/>
      <c r="AA9" s="617"/>
      <c r="AB9" s="617"/>
      <c r="AC9" s="618"/>
    </row>
    <row r="10" spans="2:29">
      <c r="B10" s="446"/>
      <c r="V10" s="450">
        <v>5</v>
      </c>
      <c r="W10" s="617" t="s">
        <v>996</v>
      </c>
      <c r="X10" s="617"/>
      <c r="Y10" s="617"/>
      <c r="Z10" s="617"/>
      <c r="AA10" s="617"/>
      <c r="AB10" s="617"/>
      <c r="AC10" s="618"/>
    </row>
    <row r="11" spans="2:29">
      <c r="B11" s="446"/>
      <c r="V11" s="450">
        <v>6</v>
      </c>
      <c r="W11" s="617" t="s">
        <v>997</v>
      </c>
      <c r="X11" s="617"/>
      <c r="Y11" s="617"/>
      <c r="Z11" s="617"/>
      <c r="AA11" s="617"/>
      <c r="AB11" s="617"/>
      <c r="AC11" s="618"/>
    </row>
    <row r="12" spans="2:29">
      <c r="B12" s="446"/>
      <c r="V12" s="450">
        <v>7</v>
      </c>
      <c r="W12" s="617" t="s">
        <v>998</v>
      </c>
      <c r="X12" s="617"/>
      <c r="Y12" s="617"/>
      <c r="Z12" s="617"/>
      <c r="AA12" s="617"/>
      <c r="AB12" s="617"/>
      <c r="AC12" s="618"/>
    </row>
    <row r="13" spans="2:29" ht="12.75" customHeight="1">
      <c r="B13" s="446"/>
      <c r="V13" s="450">
        <v>8</v>
      </c>
      <c r="W13" s="617" t="s">
        <v>999</v>
      </c>
      <c r="X13" s="617"/>
      <c r="Y13" s="617"/>
      <c r="Z13" s="617"/>
      <c r="AA13" s="617"/>
      <c r="AB13" s="617"/>
      <c r="AC13" s="618"/>
    </row>
    <row r="14" spans="2:29">
      <c r="B14" s="446"/>
      <c r="V14" s="450">
        <v>9</v>
      </c>
      <c r="W14" s="617" t="s">
        <v>1000</v>
      </c>
      <c r="X14" s="617"/>
      <c r="Y14" s="617"/>
      <c r="Z14" s="617"/>
      <c r="AA14" s="617"/>
      <c r="AB14" s="617"/>
      <c r="AC14" s="618"/>
    </row>
    <row r="15" spans="2:29">
      <c r="B15" s="446"/>
      <c r="V15" s="450">
        <v>10</v>
      </c>
      <c r="W15" s="617" t="s">
        <v>1009</v>
      </c>
      <c r="X15" s="617"/>
      <c r="Y15" s="617"/>
      <c r="Z15" s="617"/>
      <c r="AA15" s="617"/>
      <c r="AB15" s="617"/>
      <c r="AC15" s="618"/>
    </row>
    <row r="16" spans="2:29">
      <c r="B16" s="446"/>
      <c r="V16" s="450">
        <v>11</v>
      </c>
      <c r="W16" s="617" t="s">
        <v>1453</v>
      </c>
      <c r="X16" s="617"/>
      <c r="Y16" s="617"/>
      <c r="Z16" s="617"/>
      <c r="AA16" s="617"/>
      <c r="AB16" s="617"/>
      <c r="AC16" s="618"/>
    </row>
    <row r="17" spans="2:29">
      <c r="B17" s="446"/>
      <c r="V17" s="450">
        <v>12</v>
      </c>
      <c r="W17" s="617" t="s">
        <v>1010</v>
      </c>
      <c r="X17" s="617"/>
      <c r="Y17" s="617"/>
      <c r="Z17" s="617"/>
      <c r="AA17" s="617"/>
      <c r="AB17" s="617"/>
      <c r="AC17" s="618"/>
    </row>
    <row r="18" spans="2:29">
      <c r="B18" s="453"/>
      <c r="C18" s="454"/>
      <c r="D18" s="454"/>
      <c r="V18" s="450">
        <v>13</v>
      </c>
      <c r="W18" s="617"/>
      <c r="X18" s="617"/>
      <c r="Y18" s="617"/>
      <c r="Z18" s="617"/>
      <c r="AA18" s="617"/>
      <c r="AB18" s="617"/>
      <c r="AC18" s="618"/>
    </row>
    <row r="19" spans="2:29">
      <c r="B19" s="446"/>
      <c r="V19" s="455"/>
      <c r="W19" s="625"/>
      <c r="X19" s="625"/>
      <c r="Y19" s="625"/>
      <c r="Z19" s="625"/>
      <c r="AA19" s="625"/>
      <c r="AB19" s="625"/>
      <c r="AC19" s="626"/>
    </row>
    <row r="20" spans="2:29">
      <c r="B20" s="446"/>
      <c r="V20" s="627" t="s">
        <v>991</v>
      </c>
      <c r="W20" s="628"/>
      <c r="X20" s="628"/>
      <c r="Y20" s="628"/>
      <c r="Z20" s="628"/>
      <c r="AA20" s="628"/>
      <c r="AB20" s="628"/>
      <c r="AC20" s="629"/>
    </row>
    <row r="21" spans="2:29">
      <c r="B21" s="446"/>
      <c r="V21" s="630" t="s">
        <v>984</v>
      </c>
      <c r="W21" s="631"/>
      <c r="X21" s="631"/>
      <c r="Y21" s="632"/>
      <c r="Z21" s="633" t="s">
        <v>985</v>
      </c>
      <c r="AA21" s="634"/>
      <c r="AB21" s="634"/>
      <c r="AC21" s="635"/>
    </row>
    <row r="22" spans="2:29">
      <c r="B22" s="446"/>
      <c r="V22" s="640"/>
      <c r="W22" s="641"/>
      <c r="X22" s="456"/>
      <c r="Y22" s="457"/>
      <c r="Z22" s="642"/>
      <c r="AA22" s="643"/>
      <c r="AB22" s="458"/>
      <c r="AC22" s="459"/>
    </row>
    <row r="23" spans="2:29">
      <c r="B23" s="446"/>
      <c r="V23" s="644"/>
      <c r="W23" s="645"/>
      <c r="X23" s="456"/>
      <c r="Y23" s="457"/>
      <c r="Z23" s="638"/>
      <c r="AA23" s="639"/>
      <c r="AB23" s="458"/>
      <c r="AC23" s="459"/>
    </row>
    <row r="24" spans="2:29">
      <c r="B24" s="446"/>
      <c r="V24" s="646"/>
      <c r="W24" s="647"/>
      <c r="X24" s="456"/>
      <c r="Y24" s="457"/>
      <c r="Z24" s="648"/>
      <c r="AA24" s="649"/>
      <c r="AB24" s="458"/>
      <c r="AC24" s="459"/>
    </row>
    <row r="25" spans="2:29">
      <c r="B25" s="446"/>
      <c r="V25" s="636"/>
      <c r="W25" s="637"/>
      <c r="X25" s="456"/>
      <c r="Y25" s="457"/>
      <c r="Z25" s="638"/>
      <c r="AA25" s="639"/>
      <c r="AB25" s="458"/>
      <c r="AC25" s="459"/>
    </row>
    <row r="26" spans="2:29">
      <c r="B26" s="446"/>
      <c r="V26" s="636"/>
      <c r="W26" s="637"/>
      <c r="X26" s="456"/>
      <c r="Y26" s="457"/>
      <c r="Z26" s="638"/>
      <c r="AA26" s="639"/>
      <c r="AB26" s="458"/>
      <c r="AC26" s="459"/>
    </row>
    <row r="27" spans="2:29">
      <c r="B27" s="446"/>
      <c r="V27" s="636"/>
      <c r="W27" s="637"/>
      <c r="X27" s="456"/>
      <c r="Y27" s="457"/>
      <c r="Z27" s="638"/>
      <c r="AA27" s="639"/>
      <c r="AB27" s="458"/>
      <c r="AC27" s="459"/>
    </row>
    <row r="28" spans="2:29">
      <c r="B28" s="446"/>
      <c r="V28" s="652"/>
      <c r="W28" s="653"/>
      <c r="X28" s="456"/>
      <c r="Y28" s="457"/>
      <c r="Z28" s="638"/>
      <c r="AA28" s="639"/>
      <c r="AB28" s="458"/>
      <c r="AC28" s="459"/>
    </row>
    <row r="29" spans="2:29">
      <c r="B29" s="446"/>
      <c r="V29" s="636"/>
      <c r="W29" s="637"/>
      <c r="X29" s="456"/>
      <c r="Y29" s="457"/>
      <c r="Z29" s="638"/>
      <c r="AA29" s="639"/>
      <c r="AB29" s="458"/>
      <c r="AC29" s="459"/>
    </row>
    <row r="30" spans="2:29">
      <c r="B30" s="446"/>
      <c r="V30" s="636"/>
      <c r="W30" s="637"/>
      <c r="X30" s="456"/>
      <c r="Y30" s="457"/>
      <c r="Z30" s="638"/>
      <c r="AA30" s="639"/>
      <c r="AB30" s="458"/>
      <c r="AC30" s="459"/>
    </row>
    <row r="31" spans="2:29">
      <c r="B31" s="446"/>
      <c r="T31" s="460"/>
      <c r="V31" s="650"/>
      <c r="W31" s="651"/>
      <c r="X31" s="456"/>
      <c r="Y31" s="457"/>
      <c r="Z31" s="638"/>
      <c r="AA31" s="639"/>
      <c r="AB31" s="458"/>
      <c r="AC31" s="459"/>
    </row>
    <row r="32" spans="2:29">
      <c r="B32" s="446"/>
      <c r="T32" s="460"/>
      <c r="V32" s="650"/>
      <c r="W32" s="651"/>
      <c r="X32" s="456"/>
      <c r="Y32" s="457"/>
      <c r="Z32" s="638"/>
      <c r="AA32" s="639"/>
      <c r="AB32" s="458"/>
      <c r="AC32" s="459"/>
    </row>
    <row r="33" spans="2:29">
      <c r="B33" s="446"/>
      <c r="V33" s="650"/>
      <c r="W33" s="651"/>
      <c r="X33" s="456"/>
      <c r="Y33" s="457"/>
      <c r="Z33" s="638"/>
      <c r="AA33" s="639"/>
      <c r="AB33" s="458"/>
      <c r="AC33" s="459"/>
    </row>
    <row r="34" spans="2:29">
      <c r="B34" s="446"/>
      <c r="V34" s="650"/>
      <c r="W34" s="651"/>
      <c r="X34" s="456"/>
      <c r="Y34" s="457"/>
      <c r="Z34" s="638"/>
      <c r="AA34" s="639"/>
      <c r="AB34" s="458"/>
      <c r="AC34" s="459"/>
    </row>
    <row r="35" spans="2:29">
      <c r="B35" s="446"/>
      <c r="V35" s="650"/>
      <c r="W35" s="651"/>
      <c r="X35" s="456"/>
      <c r="Y35" s="457"/>
      <c r="Z35" s="638"/>
      <c r="AA35" s="639"/>
      <c r="AB35" s="458"/>
      <c r="AC35" s="459"/>
    </row>
    <row r="36" spans="2:29">
      <c r="B36" s="446"/>
      <c r="V36" s="662"/>
      <c r="W36" s="663"/>
      <c r="X36" s="456"/>
      <c r="Y36" s="461"/>
      <c r="Z36" s="664"/>
      <c r="AA36" s="639"/>
      <c r="AB36" s="458"/>
      <c r="AC36" s="459"/>
    </row>
    <row r="37" spans="2:29" ht="12.75" customHeight="1">
      <c r="B37" s="446"/>
      <c r="V37" s="654"/>
      <c r="W37" s="655"/>
      <c r="X37" s="456"/>
      <c r="Y37" s="461"/>
      <c r="Z37" s="656"/>
      <c r="AA37" s="657"/>
      <c r="AB37" s="464"/>
      <c r="AC37" s="465"/>
    </row>
    <row r="38" spans="2:29" ht="12.75" customHeight="1">
      <c r="B38" s="446"/>
      <c r="V38" s="658"/>
      <c r="W38" s="659"/>
      <c r="X38" s="466"/>
      <c r="Y38" s="461"/>
      <c r="Z38" s="462"/>
      <c r="AA38" s="463"/>
      <c r="AB38" s="464"/>
      <c r="AC38" s="465"/>
    </row>
    <row r="39" spans="2:29" ht="12" customHeight="1">
      <c r="B39" s="446"/>
      <c r="V39" s="658"/>
      <c r="W39" s="659"/>
      <c r="X39" s="466"/>
      <c r="Y39" s="467"/>
      <c r="Z39" s="660"/>
      <c r="AA39" s="661"/>
      <c r="AB39" s="464"/>
      <c r="AC39" s="465"/>
    </row>
    <row r="40" spans="2:29" ht="12" customHeight="1">
      <c r="B40" s="446"/>
      <c r="V40" s="658"/>
      <c r="W40" s="659"/>
      <c r="X40" s="466"/>
      <c r="Y40" s="467"/>
      <c r="Z40" s="468"/>
      <c r="AA40" s="469"/>
      <c r="AB40" s="464"/>
      <c r="AC40" s="465"/>
    </row>
    <row r="41" spans="2:29" ht="12" customHeight="1">
      <c r="B41" s="446"/>
      <c r="V41" s="674"/>
      <c r="W41" s="675"/>
      <c r="X41" s="470"/>
      <c r="Y41" s="471"/>
      <c r="Z41" s="660"/>
      <c r="AA41" s="661"/>
      <c r="AB41" s="464"/>
      <c r="AC41" s="465"/>
    </row>
    <row r="42" spans="2:29" ht="12" customHeight="1">
      <c r="B42" s="446"/>
      <c r="V42" s="676" t="s">
        <v>1454</v>
      </c>
      <c r="W42" s="677"/>
      <c r="X42" s="677"/>
      <c r="Y42" s="677"/>
      <c r="Z42" s="472"/>
      <c r="AA42" s="472"/>
      <c r="AB42" s="472"/>
      <c r="AC42" s="473"/>
    </row>
    <row r="43" spans="2:29" ht="12" customHeight="1">
      <c r="B43" s="446"/>
      <c r="U43" s="474"/>
      <c r="V43" s="475"/>
      <c r="W43" s="476"/>
      <c r="X43" s="476"/>
      <c r="Y43" s="476"/>
      <c r="Z43" s="476"/>
      <c r="AA43" s="476"/>
      <c r="AB43" s="476"/>
      <c r="AC43" s="477"/>
    </row>
    <row r="44" spans="2:29">
      <c r="B44" s="478"/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  <c r="P44" s="479"/>
      <c r="Q44" s="479"/>
      <c r="R44" s="479"/>
      <c r="S44" s="479"/>
      <c r="T44" s="479"/>
      <c r="U44" s="474"/>
      <c r="V44" s="665" t="s">
        <v>11</v>
      </c>
      <c r="W44" s="666"/>
      <c r="X44" s="617"/>
      <c r="Y44" s="617"/>
      <c r="Z44" s="617"/>
      <c r="AA44" s="617"/>
      <c r="AB44" s="617"/>
      <c r="AC44" s="618"/>
    </row>
    <row r="45" spans="2:29">
      <c r="B45" s="478"/>
      <c r="C45" s="479"/>
      <c r="D45" s="479"/>
      <c r="E45" s="479"/>
      <c r="F45" s="479"/>
      <c r="G45" s="479"/>
      <c r="H45" s="479"/>
      <c r="I45" s="479"/>
      <c r="J45" s="479"/>
      <c r="K45" s="479"/>
      <c r="L45" s="479"/>
      <c r="M45" s="479"/>
      <c r="N45" s="479"/>
      <c r="O45" s="479"/>
      <c r="P45" s="479"/>
      <c r="Q45" s="479"/>
      <c r="R45" s="479"/>
      <c r="S45" s="479"/>
      <c r="T45" s="479"/>
      <c r="U45" s="474"/>
      <c r="V45" s="665" t="s">
        <v>983</v>
      </c>
      <c r="W45" s="666"/>
      <c r="X45" s="617">
        <v>1</v>
      </c>
      <c r="Y45" s="617"/>
      <c r="Z45" s="617"/>
      <c r="AA45" s="617" t="s">
        <v>12</v>
      </c>
      <c r="AB45" s="617"/>
      <c r="AC45" s="451" t="s">
        <v>13</v>
      </c>
    </row>
    <row r="46" spans="2:29">
      <c r="B46" s="478"/>
      <c r="C46" s="479"/>
      <c r="D46" s="479"/>
      <c r="E46" s="479"/>
      <c r="F46" s="479"/>
      <c r="G46" s="479"/>
      <c r="H46" s="479"/>
      <c r="I46" s="479"/>
      <c r="J46" s="479"/>
      <c r="K46" s="479"/>
      <c r="L46" s="479"/>
      <c r="M46" s="479"/>
      <c r="N46" s="479"/>
      <c r="O46" s="479"/>
      <c r="P46" s="479"/>
      <c r="Q46" s="479"/>
      <c r="R46" s="479"/>
      <c r="S46" s="479"/>
      <c r="T46" s="479"/>
      <c r="U46" s="474"/>
      <c r="V46" s="665" t="s">
        <v>15</v>
      </c>
      <c r="W46" s="666"/>
      <c r="X46" s="667"/>
      <c r="Y46" s="667"/>
      <c r="Z46" s="667"/>
      <c r="AA46" s="617" t="s">
        <v>16</v>
      </c>
      <c r="AB46" s="617"/>
      <c r="AC46" s="480"/>
    </row>
    <row r="47" spans="2:29">
      <c r="B47" s="478"/>
      <c r="C47" s="479"/>
      <c r="D47" s="479"/>
      <c r="E47" s="479"/>
      <c r="F47" s="479"/>
      <c r="G47" s="479"/>
      <c r="H47" s="479"/>
      <c r="I47" s="479"/>
      <c r="J47" s="479"/>
      <c r="K47" s="479"/>
      <c r="L47" s="479"/>
      <c r="M47" s="479"/>
      <c r="N47" s="479"/>
      <c r="O47" s="479"/>
      <c r="P47" s="479"/>
      <c r="Q47" s="479"/>
      <c r="R47" s="479"/>
      <c r="S47" s="479"/>
      <c r="T47" s="479"/>
      <c r="U47" s="474"/>
      <c r="V47" s="668" t="s">
        <v>17</v>
      </c>
      <c r="W47" s="668"/>
      <c r="X47" s="668"/>
      <c r="Y47" s="668"/>
      <c r="Z47" s="668"/>
      <c r="AA47" s="668"/>
      <c r="AB47" s="668"/>
      <c r="AC47" s="669"/>
    </row>
    <row r="48" spans="2:29" ht="12.75" customHeight="1">
      <c r="B48" s="478"/>
      <c r="C48" s="479"/>
      <c r="D48" s="479"/>
      <c r="E48" s="479"/>
      <c r="F48" s="479"/>
      <c r="G48" s="479"/>
      <c r="H48" s="479"/>
      <c r="I48" s="479"/>
      <c r="J48" s="479"/>
      <c r="K48" s="479"/>
      <c r="L48" s="479"/>
      <c r="M48" s="479"/>
      <c r="N48" s="479"/>
      <c r="O48" s="479"/>
      <c r="P48" s="479"/>
      <c r="Q48" s="479"/>
      <c r="R48" s="479"/>
      <c r="S48" s="479"/>
      <c r="T48" s="479"/>
      <c r="U48" s="474"/>
      <c r="V48" s="670" t="str">
        <f>[89]DATA!C8</f>
        <v>PT. DIMENSI PUTRA KARYA</v>
      </c>
      <c r="W48" s="670"/>
      <c r="X48" s="670"/>
      <c r="Y48" s="670"/>
      <c r="Z48" s="670"/>
      <c r="AA48" s="670"/>
      <c r="AB48" s="670"/>
      <c r="AC48" s="671"/>
    </row>
    <row r="49" spans="2:29">
      <c r="B49" s="478"/>
      <c r="C49" s="479"/>
      <c r="D49" s="479"/>
      <c r="E49" s="479"/>
      <c r="F49" s="479"/>
      <c r="G49" s="479"/>
      <c r="H49" s="479"/>
      <c r="I49" s="479"/>
      <c r="J49" s="479"/>
      <c r="K49" s="479"/>
      <c r="L49" s="479"/>
      <c r="M49" s="479"/>
      <c r="N49" s="479"/>
      <c r="O49" s="479"/>
      <c r="P49" s="479"/>
      <c r="Q49" s="479"/>
      <c r="R49" s="479"/>
      <c r="S49" s="479"/>
      <c r="T49" s="479"/>
      <c r="U49" s="481"/>
      <c r="V49" s="670"/>
      <c r="W49" s="670"/>
      <c r="X49" s="670"/>
      <c r="Y49" s="670"/>
      <c r="Z49" s="670"/>
      <c r="AA49" s="670"/>
      <c r="AB49" s="670"/>
      <c r="AC49" s="671"/>
    </row>
    <row r="50" spans="2:29">
      <c r="B50" s="478"/>
      <c r="C50" s="479"/>
      <c r="D50" s="479"/>
      <c r="E50" s="479"/>
      <c r="F50" s="479"/>
      <c r="G50" s="479"/>
      <c r="H50" s="479"/>
      <c r="I50" s="479"/>
      <c r="J50" s="479"/>
      <c r="K50" s="479"/>
      <c r="L50" s="479"/>
      <c r="M50" s="479"/>
      <c r="N50" s="479"/>
      <c r="O50" s="479"/>
      <c r="P50" s="479"/>
      <c r="Q50" s="479"/>
      <c r="R50" s="479"/>
      <c r="S50" s="479"/>
      <c r="T50" s="479"/>
      <c r="U50" s="481"/>
      <c r="V50" s="672"/>
      <c r="W50" s="672"/>
      <c r="X50" s="672"/>
      <c r="Y50" s="672"/>
      <c r="Z50" s="672"/>
      <c r="AA50" s="672"/>
      <c r="AB50" s="672"/>
      <c r="AC50" s="673"/>
    </row>
    <row r="51" spans="2:29">
      <c r="B51" s="478"/>
      <c r="C51" s="479"/>
      <c r="D51" s="479"/>
      <c r="E51" s="479"/>
      <c r="F51" s="479"/>
      <c r="G51" s="479"/>
      <c r="H51" s="479"/>
      <c r="I51" s="479"/>
      <c r="J51" s="479"/>
      <c r="K51" s="479"/>
      <c r="L51" s="479"/>
      <c r="M51" s="479"/>
      <c r="N51" s="479"/>
      <c r="O51" s="479"/>
      <c r="P51" s="479"/>
      <c r="Q51" s="479"/>
      <c r="R51" s="479"/>
      <c r="S51" s="479"/>
      <c r="T51" s="479"/>
      <c r="U51" s="474"/>
      <c r="V51" s="665" t="s">
        <v>18</v>
      </c>
      <c r="W51" s="666"/>
      <c r="X51" s="617" t="s">
        <v>1612</v>
      </c>
      <c r="Y51" s="617"/>
      <c r="Z51" s="617"/>
      <c r="AA51" s="617"/>
      <c r="AB51" s="617"/>
      <c r="AC51" s="618"/>
    </row>
    <row r="52" spans="2:29">
      <c r="B52" s="478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  <c r="Q52" s="479"/>
      <c r="R52" s="479"/>
      <c r="S52" s="479"/>
      <c r="U52" s="474"/>
      <c r="V52" s="665" t="s">
        <v>19</v>
      </c>
      <c r="W52" s="666"/>
      <c r="X52" s="617" t="s">
        <v>1613</v>
      </c>
      <c r="Y52" s="617"/>
      <c r="Z52" s="617"/>
      <c r="AA52" s="617"/>
      <c r="AB52" s="617"/>
      <c r="AC52" s="618"/>
    </row>
    <row r="53" spans="2:29">
      <c r="B53" s="478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  <c r="Q53" s="479"/>
      <c r="R53" s="479"/>
      <c r="S53" s="479"/>
      <c r="U53" s="474"/>
      <c r="V53" s="665" t="s">
        <v>20</v>
      </c>
      <c r="W53" s="666"/>
      <c r="X53" s="617" t="s">
        <v>1613</v>
      </c>
      <c r="Y53" s="617"/>
      <c r="Z53" s="617"/>
      <c r="AA53" s="617"/>
      <c r="AB53" s="617"/>
      <c r="AC53" s="618"/>
    </row>
    <row r="54" spans="2:29" ht="12.75" thickBot="1">
      <c r="B54" s="482"/>
      <c r="C54" s="483"/>
      <c r="D54" s="483"/>
      <c r="E54" s="483"/>
      <c r="F54" s="483"/>
      <c r="G54" s="483"/>
      <c r="H54" s="483"/>
      <c r="I54" s="483"/>
      <c r="J54" s="483"/>
      <c r="K54" s="483"/>
      <c r="L54" s="483"/>
      <c r="M54" s="483"/>
      <c r="N54" s="483"/>
      <c r="O54" s="483"/>
      <c r="P54" s="483"/>
      <c r="Q54" s="483"/>
      <c r="R54" s="483"/>
      <c r="S54" s="483"/>
      <c r="T54" s="484"/>
      <c r="U54" s="485"/>
      <c r="V54" s="678" t="s">
        <v>21</v>
      </c>
      <c r="W54" s="679"/>
      <c r="X54" s="680" t="s">
        <v>1614</v>
      </c>
      <c r="Y54" s="680"/>
      <c r="Z54" s="680"/>
      <c r="AA54" s="680"/>
      <c r="AB54" s="680"/>
      <c r="AC54" s="681"/>
    </row>
  </sheetData>
  <mergeCells count="110"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31:W31"/>
    <mergeCell ref="Z31:AA31"/>
    <mergeCell ref="V32:W32"/>
    <mergeCell ref="Z32:AA32"/>
    <mergeCell ref="V33:W33"/>
    <mergeCell ref="Z33:AA33"/>
    <mergeCell ref="V28:W28"/>
    <mergeCell ref="Z28:AA28"/>
    <mergeCell ref="V29:W29"/>
    <mergeCell ref="Z29:AA29"/>
    <mergeCell ref="V30:W30"/>
    <mergeCell ref="Z30:AA30"/>
    <mergeCell ref="V25:W25"/>
    <mergeCell ref="Z25:AA25"/>
    <mergeCell ref="V26:W26"/>
    <mergeCell ref="Z26:AA26"/>
    <mergeCell ref="V27:W27"/>
    <mergeCell ref="Z27:AA27"/>
    <mergeCell ref="V22:W22"/>
    <mergeCell ref="Z22:AA22"/>
    <mergeCell ref="V23:W23"/>
    <mergeCell ref="Z23:AA23"/>
    <mergeCell ref="V24:W24"/>
    <mergeCell ref="Z24:AA2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T33" sqref="T3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2" t="s">
        <v>1526</v>
      </c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4"/>
      <c r="AD4" s="217"/>
      <c r="AE4" s="216"/>
      <c r="AF4" s="216"/>
    </row>
    <row r="5" spans="2:32" ht="13.5" customHeight="1">
      <c r="B5" s="215"/>
      <c r="C5" s="215"/>
      <c r="D5" s="685"/>
      <c r="E5" s="686"/>
      <c r="F5" s="686"/>
      <c r="G5" s="686"/>
      <c r="H5" s="686"/>
      <c r="I5" s="686"/>
      <c r="J5" s="686"/>
      <c r="K5" s="686"/>
      <c r="L5" s="686"/>
      <c r="M5" s="686"/>
      <c r="N5" s="686"/>
      <c r="O5" s="686"/>
      <c r="P5" s="686"/>
      <c r="Q5" s="686"/>
      <c r="R5" s="686"/>
      <c r="S5" s="686"/>
      <c r="T5" s="686"/>
      <c r="U5" s="686"/>
      <c r="V5" s="686"/>
      <c r="W5" s="686"/>
      <c r="X5" s="686"/>
      <c r="Y5" s="686"/>
      <c r="Z5" s="686"/>
      <c r="AA5" s="686"/>
      <c r="AB5" s="686"/>
      <c r="AC5" s="687"/>
      <c r="AD5" s="217"/>
      <c r="AE5" s="216"/>
      <c r="AF5" s="216"/>
    </row>
    <row r="6" spans="2:32" ht="12.75" customHeight="1">
      <c r="B6" s="215"/>
      <c r="C6" s="215"/>
      <c r="D6" s="685"/>
      <c r="E6" s="686"/>
      <c r="F6" s="686"/>
      <c r="G6" s="686"/>
      <c r="H6" s="686"/>
      <c r="I6" s="686"/>
      <c r="J6" s="686"/>
      <c r="K6" s="686"/>
      <c r="L6" s="686"/>
      <c r="M6" s="686"/>
      <c r="N6" s="686"/>
      <c r="O6" s="686"/>
      <c r="P6" s="686"/>
      <c r="Q6" s="686"/>
      <c r="R6" s="686"/>
      <c r="S6" s="686"/>
      <c r="T6" s="686"/>
      <c r="U6" s="686"/>
      <c r="V6" s="686"/>
      <c r="W6" s="686"/>
      <c r="X6" s="686"/>
      <c r="Y6" s="686"/>
      <c r="Z6" s="686"/>
      <c r="AA6" s="686"/>
      <c r="AB6" s="686"/>
      <c r="AC6" s="687"/>
      <c r="AE6" s="216"/>
      <c r="AF6" s="216"/>
    </row>
    <row r="7" spans="2:32" ht="12.75" customHeight="1" thickBot="1">
      <c r="B7" s="215"/>
      <c r="C7" s="215"/>
      <c r="D7" s="688"/>
      <c r="E7" s="689"/>
      <c r="F7" s="689"/>
      <c r="G7" s="689"/>
      <c r="H7" s="689"/>
      <c r="I7" s="689"/>
      <c r="J7" s="689"/>
      <c r="K7" s="689"/>
      <c r="L7" s="689"/>
      <c r="M7" s="689"/>
      <c r="N7" s="689"/>
      <c r="O7" s="689"/>
      <c r="P7" s="689"/>
      <c r="Q7" s="689"/>
      <c r="R7" s="689"/>
      <c r="S7" s="689"/>
      <c r="T7" s="689"/>
      <c r="U7" s="689"/>
      <c r="V7" s="689"/>
      <c r="W7" s="689"/>
      <c r="X7" s="689"/>
      <c r="Y7" s="689"/>
      <c r="Z7" s="689"/>
      <c r="AA7" s="689"/>
      <c r="AB7" s="689"/>
      <c r="AC7" s="69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tabSelected="1" view="pageBreakPreview" topLeftCell="A12" zoomScale="85" zoomScaleNormal="40" zoomScaleSheetLayoutView="85" workbookViewId="0">
      <selection activeCell="U39" sqref="U39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6" t="s">
        <v>1525</v>
      </c>
      <c r="D3" s="686"/>
      <c r="E3" s="686"/>
      <c r="F3" s="686"/>
      <c r="G3" s="686"/>
      <c r="H3" s="686"/>
      <c r="I3" s="686"/>
      <c r="J3" s="686"/>
      <c r="K3" s="686"/>
      <c r="L3" s="686"/>
      <c r="M3" s="686"/>
      <c r="N3" s="686"/>
      <c r="O3" s="686"/>
      <c r="P3" s="686"/>
      <c r="Q3" s="686"/>
      <c r="R3" s="686"/>
      <c r="S3" s="686"/>
      <c r="T3" s="686"/>
      <c r="U3" s="686"/>
      <c r="V3" s="686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86"/>
      <c r="D4" s="686"/>
      <c r="E4" s="686"/>
      <c r="F4" s="686"/>
      <c r="G4" s="686"/>
      <c r="H4" s="686"/>
      <c r="I4" s="686"/>
      <c r="J4" s="686"/>
      <c r="K4" s="686"/>
      <c r="L4" s="686"/>
      <c r="M4" s="686"/>
      <c r="N4" s="686"/>
      <c r="O4" s="686"/>
      <c r="P4" s="686"/>
      <c r="Q4" s="686"/>
      <c r="R4" s="686"/>
      <c r="S4" s="686"/>
      <c r="T4" s="686"/>
      <c r="U4" s="686"/>
      <c r="V4" s="686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691" t="s">
        <v>1619</v>
      </c>
      <c r="D6" s="691"/>
      <c r="E6" s="691"/>
      <c r="F6" s="691"/>
      <c r="G6" s="691"/>
      <c r="H6" s="691"/>
      <c r="I6" s="691"/>
      <c r="J6" s="691"/>
      <c r="K6" s="691"/>
      <c r="L6" s="691"/>
      <c r="M6" s="691"/>
      <c r="W6" s="182"/>
      <c r="Y6" s="374"/>
      <c r="Z6" s="374"/>
      <c r="AA6" s="374"/>
      <c r="AB6" s="375"/>
      <c r="AC6" s="375"/>
    </row>
    <row r="7" spans="1:29" ht="18" customHeight="1">
      <c r="A7" s="181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2023-09-12T02:35:10Z</cp:lastPrinted>
  <dcterms:created xsi:type="dcterms:W3CDTF">2011-02-06T11:57:38Z</dcterms:created>
  <dcterms:modified xsi:type="dcterms:W3CDTF">2024-05-29T07:55:26Z</dcterms:modified>
</cp:coreProperties>
</file>