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8D4DA883-07EC-4931-A26E-7E24796DDC09}" xr6:coauthVersionLast="47" xr6:coauthVersionMax="47" xr10:uidLastSave="{00000000-0000-0000-0000-000000000000}"/>
  <bookViews>
    <workbookView xWindow="28830" yWindow="135" windowWidth="20460" windowHeight="10770" tabRatio="859" firstSheet="2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1" i="11" l="1"/>
  <c r="F55" i="11" s="1"/>
  <c r="F45" i="11"/>
  <c r="F49" i="11" s="1"/>
  <c r="F43" i="11"/>
  <c r="F42" i="11"/>
  <c r="F41" i="11"/>
  <c r="F40" i="11"/>
  <c r="F39" i="11"/>
  <c r="F38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I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H57" i="11" s="1"/>
  <c r="E57" i="11"/>
  <c r="G57" i="11"/>
  <c r="F34" i="11"/>
  <c r="F33" i="11"/>
  <c r="F32" i="11"/>
  <c r="F31" i="11"/>
  <c r="F30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J35" i="11" s="1"/>
  <c r="E35" i="11"/>
  <c r="G35" i="11"/>
  <c r="G18" i="11"/>
  <c r="D18" i="11"/>
  <c r="H18" i="11" s="1"/>
  <c r="E18" i="11"/>
  <c r="D21" i="11"/>
  <c r="J21" i="11" s="1"/>
  <c r="E21" i="11"/>
  <c r="G21" i="11"/>
  <c r="J39" i="11" l="1"/>
  <c r="J45" i="11"/>
  <c r="I55" i="11"/>
  <c r="F46" i="11"/>
  <c r="I46" i="11" s="1"/>
  <c r="J48" i="11"/>
  <c r="I37" i="11"/>
  <c r="H37" i="11"/>
  <c r="F47" i="11"/>
  <c r="I47" i="11" s="1"/>
  <c r="I39" i="11"/>
  <c r="K39" i="11" s="1"/>
  <c r="F52" i="11"/>
  <c r="I52" i="11" s="1"/>
  <c r="J52" i="11"/>
  <c r="J57" i="11"/>
  <c r="J43" i="11"/>
  <c r="F48" i="11"/>
  <c r="I48" i="11" s="1"/>
  <c r="F53" i="11"/>
  <c r="I53" i="11" s="1"/>
  <c r="J55" i="11"/>
  <c r="I45" i="11"/>
  <c r="K45" i="11" s="1"/>
  <c r="H43" i="11"/>
  <c r="F54" i="11"/>
  <c r="I54" i="11" s="1"/>
  <c r="J49" i="11"/>
  <c r="H47" i="11"/>
  <c r="H41" i="11"/>
  <c r="I40" i="11"/>
  <c r="J51" i="11"/>
  <c r="I51" i="11"/>
  <c r="I49" i="11"/>
  <c r="I44" i="11"/>
  <c r="I41" i="11"/>
  <c r="H53" i="11"/>
  <c r="I57" i="11"/>
  <c r="J56" i="11"/>
  <c r="H54" i="11"/>
  <c r="H50" i="11"/>
  <c r="H46" i="11"/>
  <c r="J44" i="11"/>
  <c r="H42" i="11"/>
  <c r="J40" i="11"/>
  <c r="H38" i="11"/>
  <c r="I42" i="11"/>
  <c r="I38" i="11"/>
  <c r="I56" i="11"/>
  <c r="I50" i="11"/>
  <c r="J32" i="11"/>
  <c r="J31" i="11"/>
  <c r="I35" i="11"/>
  <c r="J34" i="11"/>
  <c r="I29" i="11"/>
  <c r="H35" i="11"/>
  <c r="I34" i="11"/>
  <c r="H33" i="11"/>
  <c r="I33" i="11"/>
  <c r="I32" i="11"/>
  <c r="I31" i="11"/>
  <c r="H29" i="11"/>
  <c r="I30" i="11"/>
  <c r="H34" i="11"/>
  <c r="H30" i="11"/>
  <c r="J18" i="11"/>
  <c r="I18" i="11"/>
  <c r="H21" i="11"/>
  <c r="I21" i="11"/>
  <c r="K51" i="11" l="1"/>
  <c r="K48" i="11"/>
  <c r="K49" i="11"/>
  <c r="K37" i="11"/>
  <c r="K55" i="11"/>
  <c r="K56" i="11"/>
  <c r="K52" i="11"/>
  <c r="K32" i="11"/>
  <c r="K41" i="11"/>
  <c r="K44" i="11"/>
  <c r="K57" i="11"/>
  <c r="K47" i="11"/>
  <c r="K43" i="11"/>
  <c r="K53" i="11"/>
  <c r="K40" i="11"/>
  <c r="K50" i="11"/>
  <c r="K42" i="11"/>
  <c r="K54" i="11"/>
  <c r="K31" i="11"/>
  <c r="K38" i="11"/>
  <c r="K46" i="11"/>
  <c r="K35" i="11"/>
  <c r="K33" i="11"/>
  <c r="K29" i="11"/>
  <c r="K34" i="11"/>
  <c r="K30" i="11"/>
  <c r="K18" i="11"/>
  <c r="K21" i="11"/>
  <c r="F27" i="11" l="1"/>
  <c r="F26" i="11"/>
  <c r="F25" i="11"/>
  <c r="F24" i="11"/>
  <c r="F23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E27" i="11"/>
  <c r="G27" i="11"/>
  <c r="D28" i="11"/>
  <c r="H28" i="11" s="1"/>
  <c r="E28" i="11"/>
  <c r="G28" i="11"/>
  <c r="I22" i="11" l="1"/>
  <c r="I26" i="11"/>
  <c r="J28" i="11"/>
  <c r="I28" i="11"/>
  <c r="H26" i="11"/>
  <c r="I25" i="11"/>
  <c r="J24" i="11"/>
  <c r="H22" i="11"/>
  <c r="I24" i="11"/>
  <c r="J27" i="11"/>
  <c r="I27" i="11"/>
  <c r="I23" i="11"/>
  <c r="H27" i="11"/>
  <c r="J25" i="11"/>
  <c r="H23" i="11"/>
  <c r="F69" i="11"/>
  <c r="F68" i="11"/>
  <c r="F67" i="11"/>
  <c r="F66" i="11"/>
  <c r="F78" i="11"/>
  <c r="F77" i="11"/>
  <c r="F76" i="11"/>
  <c r="F75" i="11"/>
  <c r="F74" i="11"/>
  <c r="F73" i="11"/>
  <c r="F72" i="11"/>
  <c r="K22" i="11" l="1"/>
  <c r="K25" i="11"/>
  <c r="K26" i="11"/>
  <c r="K24" i="11"/>
  <c r="K28" i="11"/>
  <c r="K27" i="11"/>
  <c r="K23" i="11"/>
  <c r="G70" i="11" l="1"/>
  <c r="G71" i="11"/>
  <c r="G72" i="11"/>
  <c r="G73" i="11"/>
  <c r="G74" i="11"/>
  <c r="G75" i="11"/>
  <c r="G76" i="11"/>
  <c r="G77" i="11"/>
  <c r="G78" i="11"/>
  <c r="G79" i="11"/>
  <c r="G80" i="11"/>
  <c r="G81" i="11"/>
  <c r="G82" i="11"/>
  <c r="D70" i="11"/>
  <c r="H70" i="11" s="1"/>
  <c r="E70" i="11"/>
  <c r="D71" i="11"/>
  <c r="J71" i="11" s="1"/>
  <c r="E71" i="11"/>
  <c r="D72" i="11"/>
  <c r="E72" i="11"/>
  <c r="D73" i="11"/>
  <c r="H73" i="11" s="1"/>
  <c r="E73" i="11"/>
  <c r="D74" i="11"/>
  <c r="H74" i="11" s="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D79" i="11"/>
  <c r="J79" i="11" s="1"/>
  <c r="E79" i="11"/>
  <c r="D80" i="11"/>
  <c r="J80" i="11" s="1"/>
  <c r="E80" i="11"/>
  <c r="D81" i="11"/>
  <c r="I81" i="11" s="1"/>
  <c r="E81" i="11"/>
  <c r="D82" i="11"/>
  <c r="H82" i="11" s="1"/>
  <c r="E82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F59" i="11"/>
  <c r="I76" i="11" l="1"/>
  <c r="I72" i="11"/>
  <c r="I78" i="11"/>
  <c r="J70" i="11"/>
  <c r="H81" i="11"/>
  <c r="J74" i="11"/>
  <c r="H72" i="11"/>
  <c r="I70" i="11"/>
  <c r="J78" i="11"/>
  <c r="H76" i="11"/>
  <c r="I74" i="11"/>
  <c r="I80" i="11"/>
  <c r="I79" i="11"/>
  <c r="I75" i="11"/>
  <c r="I71" i="11"/>
  <c r="J82" i="11"/>
  <c r="H80" i="11"/>
  <c r="H79" i="11"/>
  <c r="J77" i="11"/>
  <c r="H75" i="11"/>
  <c r="J73" i="11"/>
  <c r="H71" i="11"/>
  <c r="I82" i="11"/>
  <c r="J81" i="11"/>
  <c r="I77" i="11"/>
  <c r="J76" i="11"/>
  <c r="I73" i="11"/>
  <c r="J72" i="11"/>
  <c r="I61" i="11"/>
  <c r="H61" i="11"/>
  <c r="I62" i="11"/>
  <c r="H62" i="11"/>
  <c r="J60" i="11"/>
  <c r="I60" i="11"/>
  <c r="K79" i="11" l="1"/>
  <c r="K74" i="11"/>
  <c r="K76" i="11"/>
  <c r="K73" i="11"/>
  <c r="K82" i="11"/>
  <c r="K71" i="11"/>
  <c r="K80" i="11"/>
  <c r="K78" i="11"/>
  <c r="K77" i="11"/>
  <c r="K72" i="11"/>
  <c r="K70" i="11"/>
  <c r="K81" i="11"/>
  <c r="K75" i="11"/>
  <c r="K62" i="11"/>
  <c r="K60" i="11"/>
  <c r="K61" i="11"/>
  <c r="D58" i="11" l="1"/>
  <c r="E58" i="11"/>
  <c r="G58" i="11"/>
  <c r="J59" i="11"/>
  <c r="D64" i="11"/>
  <c r="D65" i="11"/>
  <c r="D66" i="11"/>
  <c r="D67" i="11"/>
  <c r="D68" i="11"/>
  <c r="D69" i="11"/>
  <c r="D17" i="11"/>
  <c r="J17" i="11" s="1"/>
  <c r="E17" i="11"/>
  <c r="G17" i="11"/>
  <c r="D20" i="11"/>
  <c r="H20" i="11" s="1"/>
  <c r="E20" i="11"/>
  <c r="G20" i="11"/>
  <c r="D15" i="11"/>
  <c r="J15" i="11" s="1"/>
  <c r="E15" i="11"/>
  <c r="G15" i="11"/>
  <c r="D16" i="11"/>
  <c r="J16" i="11" s="1"/>
  <c r="E16" i="11"/>
  <c r="G16" i="11"/>
  <c r="H58" i="11" l="1"/>
  <c r="I59" i="11"/>
  <c r="J58" i="11"/>
  <c r="I58" i="11"/>
  <c r="H59" i="11"/>
  <c r="J20" i="11"/>
  <c r="I20" i="11"/>
  <c r="I17" i="11"/>
  <c r="H17" i="11"/>
  <c r="I15" i="11"/>
  <c r="H15" i="11"/>
  <c r="I16" i="11"/>
  <c r="H16" i="11"/>
  <c r="K59" i="11" l="1"/>
  <c r="K58" i="11"/>
  <c r="K20" i="11"/>
  <c r="K17" i="11"/>
  <c r="K15" i="11"/>
  <c r="K16" i="11"/>
  <c r="G6" i="11" l="1"/>
  <c r="D63" i="11"/>
  <c r="J63" i="11" s="1"/>
  <c r="E63" i="11"/>
  <c r="G63" i="11"/>
  <c r="H64" i="11"/>
  <c r="E64" i="11"/>
  <c r="G64" i="11"/>
  <c r="E65" i="11"/>
  <c r="G65" i="11"/>
  <c r="J66" i="11"/>
  <c r="E66" i="11"/>
  <c r="G66" i="11"/>
  <c r="J67" i="11"/>
  <c r="E67" i="11"/>
  <c r="G67" i="11"/>
  <c r="E68" i="11"/>
  <c r="G68" i="11"/>
  <c r="H69" i="11"/>
  <c r="E69" i="11"/>
  <c r="G69" i="11"/>
  <c r="D20" i="60"/>
  <c r="H65" i="11" l="1"/>
  <c r="H68" i="11"/>
  <c r="J69" i="11"/>
  <c r="J68" i="11"/>
  <c r="I66" i="11"/>
  <c r="H66" i="11"/>
  <c r="J65" i="11"/>
  <c r="J64" i="11"/>
  <c r="I64" i="11"/>
  <c r="I68" i="11"/>
  <c r="H67" i="11"/>
  <c r="H63" i="11"/>
  <c r="I67" i="11"/>
  <c r="I63" i="11"/>
  <c r="I69" i="11"/>
  <c r="I65" i="11"/>
  <c r="D14" i="11"/>
  <c r="J14" i="11" s="1"/>
  <c r="E14" i="11"/>
  <c r="G14" i="11"/>
  <c r="K19" i="60"/>
  <c r="D19" i="60"/>
  <c r="K64" i="11" l="1"/>
  <c r="K66" i="11"/>
  <c r="K68" i="11"/>
  <c r="K69" i="11"/>
  <c r="K65" i="11"/>
  <c r="K63" i="11"/>
  <c r="K6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3" i="11"/>
  <c r="D84" i="11"/>
  <c r="H84" i="11" s="1"/>
  <c r="E8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4" i="11"/>
  <c r="I8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6" i="11"/>
  <c r="H87" i="11" s="1"/>
  <c r="I86" i="11"/>
  <c r="I87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8" i="11"/>
  <c r="I88" i="11"/>
  <c r="F364" i="29"/>
  <c r="F69" i="39"/>
  <c r="F72" i="39"/>
  <c r="F367" i="29"/>
  <c r="J83" i="11"/>
  <c r="K8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6" i="11" l="1"/>
  <c r="K87" i="11" s="1"/>
  <c r="K88" i="11" s="1"/>
  <c r="B8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6" i="11"/>
  <c r="J8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<sst xmlns="http://schemas.openxmlformats.org/spreadsheetml/2006/main" count="4756" uniqueCount="1640">
  <si>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</si>
  <si>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</si>
  <si>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</si>
  <si>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</si>
  <si>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</si>
  <si>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</si>
  <si>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</si>
  <si>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</si>
  <si>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</si>
  <si>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</si>
  <si>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</si>
  <si>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</si>
  <si>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</si>
  <si>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</si>
  <si>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</si>
  <si>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</si>
  <si>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</si>
  <si>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</si>
  <si>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</si>
  <si>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</si>
  <si>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</si>
  <si>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</si>
  <si>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</si>
  <si>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</si>
  <si>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</si>
  <si>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</si>
  <si>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</si>
  <si>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</si>
  <si>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</si>
  <si>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</si>
  <si>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</si>
  <si>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</si>
  <si>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</si>
  <si>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</si>
  <si>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</si>
  <si>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</si>
  <si>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</si>
  <si>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</si>
  <si>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</si>
  <si>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</si>
  <si>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</si>
  <si>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</si>
  <si>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</si>
  <si>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</si>
  <si>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</si>
  <si>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</si>
  <si>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</si>
  <si>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</si>
  <si>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</si>
  <si>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</si>
  <si>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</si>
  <si>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</si>
  <si>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</si>
  <si>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</si>
  <si>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</si>
  <si>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</si>
  <si>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</si>
  <si>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</si>
  <si>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</si>
  <si>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</si>
  <si>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</si>
  <si>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</si>
  <si>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</si>
  <si>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</si>
  <si>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</si>
  <si>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</si>
  <si>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</si>
  <si>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</si>
  <si>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</si>
  <si>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</si>
  <si>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</si>
  <si>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</si>
  <si>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</si>
  <si>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</si>
  <si>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</si>
  <si>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</si>
  <si>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</si>
  <si>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</si>
  <si>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</si>
  <si>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</si>
  <si>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</si>
  <si>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</si>
  <si>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</si>
  <si>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</si>
  <si>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</si>
  <si>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</si>
  <si>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</si>
  <si>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</si>
  <si>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</si>
  <si>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</si>
  <si>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</si>
  <si>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</si>
  <si>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</si>
  <si>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</si>
  <si>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</si>
  <si>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</si>
  <si>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</si>
  <si>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</si>
  <si>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</si>
  <si>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</si>
  <si>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</si>
  <si>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</si>
  <si>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</si>
  <si>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</si>
  <si>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</si>
  <si>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</si>
  <si>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</si>
  <si>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</si>
  <si>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</si>
  <si>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</si>
  <si>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</si>
  <si>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</si>
  <si>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</si>
  <si>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</si>
  <si>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</si>
  <si>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</si>
  <si>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</si>
  <si>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</si>
  <si>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</si>
  <si>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</si>
  <si>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</si>
  <si>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</si>
  <si>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</si>
  <si>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</si>
  <si>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</si>
  <si>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</si>
  <si>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</si>
  <si>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</si>
  <si>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</si>
  <si>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</si>
  <si>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</si>
  <si>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</si>
  <si>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</si>
  <si>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</si>
  <si>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</si>
  <si>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</si>
  <si>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</si>
  <si>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</si>
  <si>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</si>
  <si>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</si>
  <si>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</si>
  <si>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</si>
  <si>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</si>
  <si>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</si>
  <si>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</si>
  <si>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</si>
  <si>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</si>
  <si>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</si>
  <si>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</si>
  <si>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</si>
  <si>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</si>
  <si>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</si>
  <si>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</si>
  <si>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</si>
  <si>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</si>
  <si>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</si>
  <si>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</si>
  <si>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</si>
  <si>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</si>
  <si>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</si>
  <si>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</si>
  <si>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</si>
  <si>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</si>
  <si>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</si>
  <si>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</si>
  <si>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</si>
  <si>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</si>
  <si>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</si>
  <si>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</si>
  <si>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</si>
  <si>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</si>
  <si>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</si>
  <si>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</si>
  <si>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</si>
  <si>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</si>
  <si>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</si>
  <si>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</si>
  <si>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</si>
  <si>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</si>
  <si>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</si>
  <si>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</si>
  <si>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</si>
  <si>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</si>
  <si>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</si>
  <si>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</si>
  <si>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</si>
  <si>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</si>
  <si>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</si>
  <si>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</si>
  <si>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</si>
  <si>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</si>
  <si>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</si>
  <si>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</si>
  <si>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</si>
  <si>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</si>
  <si>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</si>
  <si>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</si>
  <si>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</si>
  <si>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</si>
  <si>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</si>
  <si>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</si>
  <si>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</si>
  <si>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</si>
  <si>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</si>
  <si>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</si>
  <si>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</si>
  <si>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</si>
  <si>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</si>
  <si>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</si>
  <si>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</si>
  <si>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</si>
  <si>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</si>
  <si>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</si>
  <si>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</si>
  <si>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</si>
  <si>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</si>
  <si>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</si>
  <si>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</si>
  <si>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</si>
  <si>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</si>
  <si>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</si>
  <si>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</si>
  <si>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</si>
  <si>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</si>
  <si>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</si>
  <si>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</si>
  <si>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</si>
  <si>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</si>
  <si>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</si>
  <si>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</si>
  <si>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</si>
  <si>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</si>
  <si>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</si>
  <si>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</si>
  <si>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</si>
  <si>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</si>
  <si>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</si>
  <si>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</si>
  <si>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</si>
  <si>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</si>
  <si>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</si>
  <si>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</si>
  <si>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</si>
  <si>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</si>
  <si>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</si>
  <si>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</si>
  <si>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</si>
  <si>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</si>
  <si>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</si>
  <si>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</si>
  <si>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</si>
  <si>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</si>
  <si>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</si>
  <si>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</si>
  <si>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</si>
  <si>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</si>
  <si>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</si>
  <si>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</si>
  <si>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</si>
  <si>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</si>
  <si>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</si>
  <si>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</si>
  <si>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</si>
  <si>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</si>
  <si>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</si>
  <si>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</si>
  <si>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</si>
  <si>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</si>
  <si>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</si>
  <si>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</si>
  <si>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</si>
  <si>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</si>
  <si>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</si>
  <si>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</si>
  <si>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</si>
  <si>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</si>
  <si>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</si>
  <si>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</si>
  <si>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</si>
  <si>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</si>
  <si>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</si>
  <si>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</si>
  <si>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</si>
  <si>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</si>
  <si>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</si>
  <si>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</si>
  <si>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</si>
  <si>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</si>
  <si>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</si>
  <si>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</si>
  <si>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</si>
  <si>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</si>
  <si>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</si>
  <si>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</si>
  <si>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</si>
  <si>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</si>
  <si>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</si>
  <si>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</si>
  <si>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</si>
  <si>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</si>
  <si>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</si>
  <si>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</si>
  <si>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</si>
  <si>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</si>
  <si>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</si>
  <si>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</si>
  <si>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</si>
  <si>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</si>
  <si>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</si>
  <si>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</si>
  <si>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</si>
  <si>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</si>
  <si>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</si>
  <si>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</si>
  <si>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</si>
  <si>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</si>
  <si>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</si>
  <si>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</si>
  <si>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</si>
  <si>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</si>
  <si>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</si>
  <si>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</si>
  <si>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</si>
  <si>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</si>
  <si>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</si>
  <si>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</si>
  <si>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</si>
  <si>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</si>
  <si>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</si>
  <si>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</si>
  <si>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</si>
  <si>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</si>
  <si>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</si>
  <si>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</si>
  <si>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</si>
  <si>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</si>
  <si>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</si>
  <si>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</si>
  <si>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</si>
  <si>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</si>
  <si>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</si>
  <si>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</si>
  <si>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</si>
  <si>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</si>
  <si>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</si>
  <si>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</si>
  <si>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</si>
  <si>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</si>
  <si>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</si>
  <si>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</si>
  <si>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</si>
  <si>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</si>
  <si>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</si>
  <si>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</si>
  <si>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</si>
  <si>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</si>
  <si>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</si>
  <si>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</si>
  <si>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</si>
  <si>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</si>
  <si>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</si>
  <si>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</si>
  <si>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</si>
  <si>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</si>
  <si>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</si>
  <si>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</si>
  <si>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</si>
  <si>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</si>
  <si>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</si>
  <si>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</si>
  <si>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</si>
  <si>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</si>
  <si>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</si>
  <si>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</si>
  <si>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</si>
  <si>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</si>
  <si>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</si>
  <si>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</si>
  <si>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</si>
  <si>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</si>
  <si>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</si>
  <si>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</si>
  <si>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</si>
  <si>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</si>
  <si>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</si>
  <si>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</si>
  <si>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</si>
  <si>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</si>
  <si>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</si>
  <si>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</si>
  <si>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</si>
  <si>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</si>
  <si>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</si>
  <si>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</si>
  <si>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</si>
  <si>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</si>
  <si>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</si>
  <si>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</si>
  <si>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</si>
  <si>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</si>
  <si>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</si>
  <si>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</si>
  <si>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</si>
  <si>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</si>
  <si>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</si>
  <si>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</si>
  <si>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</si>
  <si>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</si>
  <si>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</si>
  <si>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</si>
  <si>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</si>
  <si>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</si>
  <si>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</si>
  <si>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</si>
  <si>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</si>
  <si>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</si>
  <si>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</si>
  <si>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</si>
  <si>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</si>
  <si>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</si>
  <si>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</si>
  <si>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</si>
  <si>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</si>
  <si>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</si>
  <si>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</si>
  <si>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</si>
  <si>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</si>
  <si>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</si>
  <si>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</si>
  <si>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</si>
  <si>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</si>
  <si>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</si>
  <si>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</si>
  <si>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</si>
  <si>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</si>
  <si>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</si>
  <si>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</si>
  <si>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</si>
  <si>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</si>
  <si>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</si>
  <si>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</si>
  <si>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</si>
  <si>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</si>
  <si>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</si>
  <si>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</si>
  <si>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</si>
  <si>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</si>
  <si>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</si>
  <si>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</si>
  <si>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</si>
  <si>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</si>
  <si>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</si>
  <si>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</si>
  <si>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</si>
  <si>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</si>
  <si>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</si>
  <si>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</si>
  <si>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</si>
  <si>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</si>
  <si>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</si>
  <si>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</si>
  <si>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</si>
  <si>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</si>
  <si>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</si>
  <si>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</si>
  <si>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</si>
  <si>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</si>
  <si>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</si>
  <si>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</si>
  <si>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</si>
  <si>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</si>
  <si>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</si>
  <si>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</si>
  <si>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</si>
  <si>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</si>
  <si>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</si>
  <si>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</si>
  <si>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</si>
  <si>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</si>
  <si>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</si>
  <si>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</si>
  <si>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</si>
  <si>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</si>
  <si>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</si>
  <si>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</si>
  <si>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</si>
  <si>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</si>
  <si>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</si>
  <si>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</si>
  <si>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</si>
  <si>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</si>
  <si>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</si>
  <si>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</si>
  <si>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</si>
  <si>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</si>
  <si>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</si>
  <si>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</si>
  <si>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</si>
  <si>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</si>
  <si>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</si>
  <si>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</si>
  <si>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</si>
  <si>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</si>
  <si>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</si>
  <si>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</si>
  <si>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</si>
  <si>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</si>
  <si>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</si>
  <si>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</si>
  <si>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</si>
  <si>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</si>
  <si>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</si>
  <si>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</si>
  <si>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</si>
  <si>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</si>
  <si>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</si>
  <si>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</si>
  <si>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</si>
  <si>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</si>
  <si>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</si>
  <si>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</si>
  <si>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</si>
  <si>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</si>
  <si>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</si>
  <si>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</si>
  <si>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</si>
  <si>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</si>
  <si>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</si>
  <si>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</si>
  <si>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</si>
  <si>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</si>
  <si>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</si>
  <si>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</si>
  <si>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</si>
  <si>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</si>
  <si>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</si>
  <si>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</si>
  <si>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</si>
  <si>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</si>
  <si>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</si>
  <si>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</si>
  <si>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</si>
  <si>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</si>
  <si>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</si>
  <si>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</si>
  <si>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</si>
  <si>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</si>
  <si>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</si>
  <si>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</si>
  <si>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</si>
  <si>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</si>
  <si>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</si>
  <si>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</si>
  <si>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</si>
  <si>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</si>
  <si>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</si>
  <si>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</si>
  <si>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</si>
  <si>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</si>
  <si>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</si>
  <si>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</si>
  <si>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</si>
  <si>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</si>
  <si>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</si>
  <si>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</si>
  <si>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</si>
  <si>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</si>
  <si>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</si>
  <si>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</si>
  <si>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</si>
  <si>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</si>
  <si>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</si>
  <si>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</si>
  <si>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</si>
  <si>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</si>
  <si>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</si>
  <si>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</si>
  <si>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</si>
  <si>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</si>
  <si>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</si>
  <si>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</si>
  <si>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</si>
  <si>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</si>
  <si>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</si>
  <si>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</si>
  <si>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</si>
  <si>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</si>
  <si>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</si>
  <si>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</si>
  <si>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</si>
  <si>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</si>
  <si>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</si>
  <si>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</si>
  <si>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</si>
  <si>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</si>
  <si>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</si>
  <si>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</si>
  <si>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</si>
  <si>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</si>
  <si>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</si>
  <si>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</si>
  <si>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</si>
  <si>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</si>
  <si>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</si>
  <si>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</si>
  <si>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</si>
  <si>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</si>
  <si>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</si>
  <si>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</si>
  <si>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</si>
  <si>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</si>
  <si>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</si>
  <si>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</si>
  <si>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</si>
  <si>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</si>
  <si>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</si>
  <si>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</si>
  <si>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</si>
  <si>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</si>
  <si>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</si>
  <si>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</si>
  <si>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</si>
  <si>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</si>
  <si>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</si>
  <si>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</si>
  <si>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</si>
  <si>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</si>
  <si>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</si>
  <si>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</si>
  <si>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</si>
  <si>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</si>
  <si>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</si>
  <si>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</si>
  <si>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</si>
  <si>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</si>
  <si>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</si>
  <si>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</si>
  <si>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</si>
  <si>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</si>
  <si>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</si>
  <si>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</si>
  <si>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</si>
  <si>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</si>
  <si>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</si>
  <si>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</si>
  <si>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</si>
  <si>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</si>
  <si>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</si>
  <si>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</si>
  <si>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</si>
  <si>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</si>
  <si>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</si>
  <si>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</si>
  <si>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</si>
  <si>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</si>
  <si>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</si>
  <si>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</si>
  <si>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</si>
  <si>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</si>
  <si>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</si>
  <si>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</si>
  <si>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</si>
  <si>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</si>
  <si>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</si>
  <si>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</si>
  <si>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</si>
  <si>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</si>
  <si>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</si>
  <si>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</si>
  <si>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</si>
  <si>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</si>
  <si>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</si>
  <si>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</si>
  <si>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</si>
  <si>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</si>
  <si>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</si>
  <si>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</si>
  <si>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</si>
  <si>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</si>
  <si>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</si>
  <si>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</si>
  <si>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</si>
  <si>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</si>
  <si>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</si>
  <si>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</si>
  <si>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</si>
  <si>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</si>
  <si>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</si>
  <si>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</si>
  <si>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</si>
  <si>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</si>
  <si>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</si>
  <si>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</si>
  <si>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</si>
  <si>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</si>
  <si>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</si>
  <si>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</si>
  <si>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</si>
  <si>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</si>
  <si>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</si>
  <si>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</si>
  <si>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</si>
  <si>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</si>
  <si>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</si>
  <si>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</si>
  <si>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</si>
  <si>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</si>
  <si>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</si>
  <si>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</si>
  <si>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</si>
  <si>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</si>
  <si>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</si>
  <si>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</si>
  <si>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</si>
  <si>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</si>
  <si>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</si>
  <si>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</si>
  <si>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</si>
  <si>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</si>
  <si>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</si>
  <si>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</si>
  <si>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</si>
  <si>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</si>
  <si>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</si>
  <si>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</si>
  <si>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</si>
  <si>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</si>
  <si>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</si>
  <si>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</si>
  <si>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</si>
  <si>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</si>
  <si>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</si>
  <si>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</si>
  <si>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</si>
  <si>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</si>
  <si>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</si>
  <si>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</si>
  <si>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</si>
  <si>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</si>
  <si>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</si>
  <si>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</si>
  <si>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</si>
  <si>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</si>
  <si>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</si>
  <si>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</si>
  <si>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</si>
  <si>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</si>
  <si>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</si>
  <si>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</si>
  <si>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</si>
  <si>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</si>
  <si>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</si>
  <si>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</si>
  <si>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</si>
  <si>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</si>
  <si>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</si>
  <si>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</si>
  <si>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</si>
  <si>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</si>
  <si>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</si>
  <si>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</si>
  <si>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</si>
  <si>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</si>
  <si>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</si>
  <si>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</si>
  <si>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</si>
  <si>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</si>
  <si>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</si>
  <si>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</si>
  <si>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</si>
  <si>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</si>
  <si>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</si>
  <si>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</si>
  <si>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</si>
  <si>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</si>
  <si>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</si>
  <si>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</si>
  <si>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</si>
  <si>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</si>
  <si>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</si>
  <si>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</si>
  <si>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</si>
  <si>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</si>
  <si>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</si>
  <si>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</si>
  <si>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</si>
  <si>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</si>
  <si>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</si>
  <si>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</si>
  <si>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</si>
  <si>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</si>
  <si>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</si>
  <si>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</si>
  <si>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</si>
  <si>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</si>
  <si>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</si>
  <si>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</si>
  <si>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</si>
  <si>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</si>
  <si>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</si>
  <si>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</si>
  <si>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</si>
  <si>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</si>
  <si>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</si>
  <si>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</si>
  <si>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</si>
  <si>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</si>
  <si>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</si>
  <si>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</si>
  <si>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</si>
  <si>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</si>
  <si>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</si>
  <si>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</si>
  <si>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</si>
  <si>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</si>
  <si>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</si>
  <si>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</si>
  <si>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</si>
  <si>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</si>
  <si>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</si>
  <si>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</si>
  <si>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</si>
  <si>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</si>
  <si>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</si>
  <si>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</si>
  <si>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</si>
  <si>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</si>
  <si>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</si>
  <si>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</si>
  <si>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</si>
  <si>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</si>
  <si>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</si>
  <si>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</si>
  <si>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</si>
  <si>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</si>
  <si>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</si>
  <si>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</si>
  <si>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</si>
  <si>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</si>
  <si>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</si>
  <si>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</si>
  <si>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</si>
  <si>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</si>
  <si>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</si>
  <si>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</si>
  <si>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</si>
  <si>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</si>
  <si>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</si>
  <si>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</si>
  <si>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</si>
  <si>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</si>
  <si>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</si>
  <si>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</si>
  <si>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</si>
  <si>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</si>
  <si>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</si>
  <si>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</si>
  <si>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</si>
  <si>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</si>
  <si>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</si>
  <si>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</si>
  <si>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</si>
  <si>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</si>
  <si>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</si>
  <si>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</si>
  <si>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</si>
  <si>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</si>
  <si>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</si>
  <si>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</si>
  <si>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</si>
  <si>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</si>
  <si>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</si>
  <si>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</si>
  <si>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</si>
  <si>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</si>
  <si>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</si>
  <si>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</si>
  <si>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</si>
  <si>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</si>
  <si>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</si>
  <si>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</si>
  <si>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</si>
  <si>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</si>
  <si>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</si>
  <si>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</si>
  <si>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</si>
  <si>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</si>
  <si>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</si>
  <si>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</si>
  <si>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</si>
  <si>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</si>
  <si>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</si>
  <si>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</si>
  <si>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</si>
  <si>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</si>
  <si>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</si>
  <si>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</si>
  <si>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</si>
  <si>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</si>
  <si>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</si>
  <si>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</si>
  <si>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</si>
  <si>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</si>
  <si>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</si>
  <si>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</si>
  <si>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</si>
  <si>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</si>
  <si>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</si>
  <si>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</si>
  <si>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</si>
  <si>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</si>
  <si>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</si>
  <si>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</si>
  <si>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</si>
  <si>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</si>
  <si>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</si>
  <si>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</si>
  <si>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</si>
  <si>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</si>
  <si>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</si>
  <si>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</si>
  <si>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</si>
  <si>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</si>
  <si>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</si>
  <si>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</si>
  <si>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</si>
  <si>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</si>
  <si>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</si>
  <si>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</si>
  <si>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</si>
  <si>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</si>
  <si>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</si>
  <si>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</si>
  <si>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</si>
  <si>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</si>
  <si>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</si>
  <si>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</si>
  <si>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</si>
  <si>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</si>
  <si>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</si>
  <si>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</si>
  <si>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</si>
  <si>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</si>
  <si>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</si>
  <si>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</si>
  <si>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</si>
  <si>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</si>
  <si>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</si>
  <si>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</si>
  <si>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</si>
  <si>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</si>
  <si>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</si>
  <si>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</si>
  <si>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</si>
  <si>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</si>
  <si>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</si>
  <si>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</si>
  <si>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</si>
  <si>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</si>
  <si>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</si>
  <si>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</si>
  <si>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</si>
  <si>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</si>
  <si>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</si>
  <si>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</si>
  <si>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</si>
  <si>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</si>
  <si>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</si>
  <si>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</si>
  <si>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</si>
  <si>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</si>
  <si>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</si>
  <si>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</si>
  <si>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</si>
  <si>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</si>
  <si>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</si>
  <si>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</si>
  <si>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</si>
  <si>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</si>
  <si>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</si>
  <si>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</si>
  <si>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</si>
  <si>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</si>
  <si>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</si>
  <si>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</si>
  <si>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</si>
  <si>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</si>
  <si>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</si>
  <si>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</si>
  <si>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</si>
  <si>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</si>
  <si>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</si>
  <si>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</si>
  <si>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</si>
  <si>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</si>
  <si>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</si>
  <si>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</si>
  <si>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</si>
  <si>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</si>
  <si>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</si>
  <si>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</si>
  <si>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</si>
  <si>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</si>
  <si>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</si>
  <si>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</si>
  <si>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</si>
  <si>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</si>
  <si>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</si>
  <si>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</si>
  <si>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</si>
  <si>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</si>
  <si>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</si>
  <si>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</si>
  <si>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</si>
  <si>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</si>
  <si>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</si>
  <si>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</si>
  <si>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</si>
  <si>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</si>
  <si>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</si>
  <si>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</si>
  <si>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</si>
  <si>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</si>
  <si>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</si>
  <si>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</si>
  <si>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</si>
  <si>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</si>
  <si>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</si>
  <si>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</si>
  <si>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</si>
  <si>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</si>
  <si>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</si>
  <si>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</si>
  <si>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</si>
  <si>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</si>
  <si>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</si>
  <si>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</si>
  <si>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</si>
  <si>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</si>
  <si>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</si>
  <si>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</si>
  <si>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</si>
  <si>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</si>
  <si>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</si>
  <si>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</si>
  <si>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</si>
  <si>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</si>
  <si>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</si>
  <si>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</si>
  <si>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</si>
  <si>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</si>
  <si>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</si>
  <si>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</si>
  <si>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</si>
  <si>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</si>
  <si>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</si>
  <si>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</si>
  <si>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</si>
  <si>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</si>
  <si>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</si>
  <si>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</si>
  <si>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</si>
  <si>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</si>
  <si>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</si>
  <si>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</si>
  <si>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</si>
  <si>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</si>
  <si>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</si>
  <si>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</si>
  <si>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</si>
  <si>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</si>
  <si>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</si>
  <si>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</si>
  <si>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</si>
  <si>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</si>
  <si>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</si>
  <si>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</si>
  <si>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</si>
  <si>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</si>
  <si>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</si>
  <si>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</si>
  <si>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</si>
  <si>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</si>
  <si>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</si>
  <si>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</si>
  <si>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</si>
  <si>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</si>
  <si>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</si>
  <si>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</si>
  <si>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</si>
  <si>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</si>
  <si>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</si>
  <si>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</si>
  <si>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</si>
  <si>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</si>
  <si>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</si>
  <si>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</si>
  <si>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</si>
  <si>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</si>
  <si>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</si>
  <si>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</si>
  <si>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</si>
  <si>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</si>
  <si>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</si>
  <si>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</si>
  <si>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</si>
  <si>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</si>
  <si>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</si>
  <si>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</si>
  <si>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</si>
  <si>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</si>
  <si>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</si>
  <si>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</si>
  <si>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</si>
  <si>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</si>
  <si>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</si>
  <si>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</si>
  <si>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</si>
  <si>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</si>
  <si>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</si>
  <si>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</si>
  <si>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</si>
  <si>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</si>
  <si>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</si>
  <si>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</si>
  <si>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</si>
  <si>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</si>
  <si>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</si>
  <si>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</si>
  <si>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</si>
  <si>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</si>
  <si>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</si>
  <si>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</si>
  <si>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</si>
  <si>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</si>
  <si>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</si>
  <si>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</si>
  <si>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</si>
  <si>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</si>
  <si>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</si>
  <si>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</si>
  <si>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</si>
  <si>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</si>
  <si>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</si>
  <si>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</si>
  <si>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</si>
  <si>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</si>
  <si>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</si>
  <si>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</si>
  <si>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</si>
  <si>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</si>
  <si>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</si>
  <si>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</si>
  <si>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</si>
  <si>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</si>
  <si>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</si>
  <si>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</si>
  <si>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</si>
  <si>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</si>
  <si>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</si>
  <si>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</si>
  <si>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</si>
  <si>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</si>
  <si>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</si>
  <si>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</si>
  <si>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</si>
  <si>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</si>
  <si>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</si>
  <si>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</si>
  <si>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</si>
  <si>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</si>
  <si>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</si>
  <si>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</si>
  <si>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</si>
  <si>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</si>
  <si>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</si>
  <si>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</si>
  <si>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</si>
  <si>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</si>
  <si>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</si>
  <si>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</si>
  <si>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</si>
  <si>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</si>
  <si>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</si>
  <si>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</si>
  <si>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</si>
  <si>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</si>
  <si>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</si>
  <si>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</si>
  <si>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</si>
  <si>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</si>
  <si>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</si>
  <si>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</si>
  <si>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</si>
  <si>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</si>
  <si>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</si>
  <si>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</si>
  <si>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</si>
  <si>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</si>
  <si>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</si>
  <si>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</si>
  <si>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</si>
  <si>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</si>
  <si>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</si>
  <si>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</si>
  <si>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</si>
  <si>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</si>
  <si>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</si>
  <si>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</si>
  <si>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</si>
  <si>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</si>
  <si>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</si>
  <si>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</si>
  <si>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</si>
  <si>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</si>
  <si>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</si>
  <si>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</si>
  <si>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</si>
  <si>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</si>
  <si>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</si>
  <si>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</si>
  <si>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</si>
  <si>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</si>
  <si>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</si>
  <si>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</si>
  <si>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</si>
  <si>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</si>
  <si>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</si>
  <si>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</si>
  <si>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</si>
  <si>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</si>
  <si>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</si>
  <si>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</si>
  <si>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</si>
  <si>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</si>
  <si>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</si>
  <si>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</si>
  <si>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</si>
  <si>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</si>
  <si>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</si>
  <si>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</si>
  <si>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</si>
  <si>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</si>
  <si>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</si>
  <si>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</si>
  <si>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</si>
  <si>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</si>
  <si>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</si>
  <si>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</si>
  <si>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</si>
  <si>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</si>
  <si>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</si>
  <si>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</si>
  <si>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</si>
  <si>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</si>
  <si>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</si>
  <si>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</si>
  <si>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</si>
  <si>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</si>
  <si>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</si>
  <si>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</si>
  <si>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</si>
  <si>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</si>
  <si>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</si>
  <si>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</si>
  <si>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</si>
  <si>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</si>
  <si>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</si>
  <si>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</si>
  <si>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</si>
  <si>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</si>
  <si>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</si>
  <si>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</si>
  <si>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</si>
  <si>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</si>
  <si>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</si>
  <si>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</si>
  <si>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</si>
  <si>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</si>
  <si>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</si>
  <si>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</si>
  <si>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</si>
  <si>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</si>
  <si>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</si>
  <si>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</si>
  <si>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</si>
  <si>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</si>
  <si>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</si>
  <si>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</si>
  <si>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</si>
  <si>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</si>
  <si>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</si>
  <si>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</si>
  <si>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</si>
  <si>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</si>
  <si>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</si>
  <si>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</si>
  <si>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</si>
  <si>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</si>
  <si>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</si>
  <si>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</si>
  <si>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</si>
  <si>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</si>
  <si>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</si>
  <si>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</si>
  <si>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</si>
  <si>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</si>
  <si>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</si>
  <si>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</si>
  <si>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</si>
  <si>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</si>
  <si>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</si>
  <si>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</si>
  <si>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</si>
  <si>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</si>
  <si>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</si>
  <si>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</si>
  <si>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</si>
  <si>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</si>
  <si>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</si>
  <si>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</si>
  <si>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</si>
  <si>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</si>
  <si>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</si>
  <si>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</si>
  <si>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</si>
  <si>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</si>
  <si>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</si>
  <si>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</si>
  <si>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</si>
  <si>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</si>
  <si>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</si>
  <si>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</si>
  <si>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</si>
  <si>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</si>
  <si>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</si>
  <si>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</si>
  <si>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</si>
  <si>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</si>
  <si>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</si>
  <si>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</si>
  <si>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</si>
  <si>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</si>
  <si>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</si>
  <si>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</si>
  <si>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</si>
  <si>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</si>
  <si>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</si>
  <si>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</si>
  <si>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</si>
  <si>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</si>
  <si>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</si>
  <si>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</si>
  <si>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</si>
  <si>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</si>
  <si>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</si>
  <si>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</si>
  <si>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</si>
  <si>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</si>
  <si>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</si>
  <si>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</si>
  <si>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</si>
  <si>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</si>
  <si>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</si>
  <si>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</si>
  <si>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</si>
  <si>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</si>
  <si>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</si>
  <si>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</si>
  <si>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</si>
  <si>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</si>
  <si>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</si>
  <si>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</si>
  <si>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</si>
  <si>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</si>
  <si>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</si>
  <si>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</si>
  <si>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</si>
  <si>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</si>
  <si>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</si>
  <si>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</si>
  <si>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</si>
  <si>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</si>
  <si>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</si>
  <si>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</si>
  <si>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</si>
  <si>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</si>
  <si>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</si>
  <si>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</si>
  <si>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</si>
  <si>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</si>
  <si>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</si>
  <si>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</si>
  <si>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</si>
  <si>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</si>
  <si>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</si>
  <si>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</si>
  <si>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</si>
  <si>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</si>
  <si>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</si>
  <si>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</si>
  <si>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</si>
  <si>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</si>
  <si>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</si>
  <si>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</si>
  <si>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</si>
  <si>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</si>
  <si>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</si>
  <si>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</si>
  <si>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</si>
  <si>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</si>
  <si>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</si>
  <si>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</si>
  <si>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</si>
  <si>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</si>
  <si>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</si>
  <si>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</si>
  <si>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</si>
  <si>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</si>
  <si>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</si>
  <si>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</si>
  <si>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</si>
  <si>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</si>
  <si>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</si>
  <si>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</si>
  <si>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</si>
  <si>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</si>
  <si>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</si>
  <si>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</si>
  <si>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</si>
  <si>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</si>
  <si>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</si>
  <si>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</si>
  <si>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</si>
  <si>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</si>
  <si>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</si>
  <si>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</si>
  <si>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</si>
  <si>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</si>
  <si>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</si>
  <si>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</si>
  <si>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</si>
  <si>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</si>
  <si>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</si>
  <si>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</si>
  <si>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</si>
  <si>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</si>
  <si>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</si>
  <si>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</si>
  <si>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</si>
  <si>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</si>
  <si>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</si>
  <si>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</si>
  <si>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</si>
  <si>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</si>
  <si>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</si>
  <si>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</si>
  <si>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</si>
  <si>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</si>
  <si>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</si>
  <si>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</si>
  <si>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</si>
  <si>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</si>
  <si>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</si>
  <si>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</si>
  <si>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</si>
  <si>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</si>
  <si>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</si>
  <si>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</si>
  <si>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</si>
  <si>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</si>
  <si>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</si>
  <si>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</si>
  <si>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</si>
  <si>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</si>
  <si>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</si>
  <si>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</si>
  <si>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</si>
  <si>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</si>
  <si>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</si>
  <si>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</si>
  <si>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</si>
  <si>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</si>
  <si>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</si>
  <si>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</si>
  <si>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</si>
  <si>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</si>
  <si>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</si>
  <si>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</si>
  <si>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</si>
  <si>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</si>
  <si>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</si>
  <si>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</si>
  <si>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</si>
  <si>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</si>
  <si>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</si>
  <si>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</si>
  <si>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</si>
  <si>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</si>
  <si>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</si>
  <si>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</si>
  <si>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</si>
  <si>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</si>
  <si>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</si>
  <si>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</si>
  <si>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</si>
  <si>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</si>
  <si>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</si>
  <si>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</si>
  <si>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</si>
  <si>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</si>
  <si>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</si>
  <si>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</si>
  <si>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</si>
  <si>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</si>
  <si>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</si>
  <si>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</si>
  <si>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</si>
  <si>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</si>
  <si>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</si>
  <si>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</si>
  <si>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</si>
  <si>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</si>
  <si>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</si>
  <si>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</si>
  <si>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</si>
  <si>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</si>
  <si>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</si>
  <si>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</si>
  <si>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</si>
  <si>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</si>
  <si>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</si>
  <si>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</si>
  <si>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</si>
  <si>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</si>
  <si>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</si>
  <si>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</si>
  <si>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</si>
  <si>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</si>
  <si>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</si>
  <si>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</si>
  <si>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</si>
  <si>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</si>
  <si>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</si>
  <si>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</si>
  <si>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</si>
  <si>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</si>
  <si>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</si>
  <si>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</si>
  <si>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</si>
  <si>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</si>
  <si>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</si>
  <si>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</si>
  <si>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</si>
  <si>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</si>
  <si>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</si>
  <si>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</si>
  <si>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</si>
  <si>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</si>
  <si>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</si>
  <si>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</si>
  <si>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</si>
  <si>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</si>
  <si>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</si>
  <si>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</si>
  <si>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</si>
  <si>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</si>
  <si>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</si>
  <si>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</si>
  <si>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</si>
  <si>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</si>
  <si>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</si>
  <si>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</si>
  <si>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</si>
  <si>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</si>
  <si>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</si>
  <si>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</si>
  <si>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</si>
  <si>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</si>
  <si>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</si>
  <si>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</si>
  <si>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</si>
  <si>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</si>
  <si>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</si>
  <si>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</si>
  <si>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</si>
  <si>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</si>
  <si>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</si>
  <si>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</si>
  <si>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</si>
  <si>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</si>
  <si>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</si>
  <si>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</si>
  <si>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</si>
  <si>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</si>
  <si>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</si>
  <si>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</si>
  <si>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</si>
  <si>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</si>
  <si>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</si>
  <si>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</si>
  <si>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</si>
  <si>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</si>
  <si>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</si>
  <si>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</si>
  <si>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</si>
  <si>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</si>
  <si>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</si>
  <si>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</si>
  <si>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</si>
  <si>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</si>
  <si>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</si>
  <si>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</si>
  <si>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</si>
  <si>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</si>
  <si>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</si>
  <si>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</si>
  <si>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</si>
  <si>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</si>
  <si>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</si>
  <si>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</si>
  <si>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KONDUKTOR</t>
  </si>
  <si>
    <t>Pemasangan APP 1 Fasa Di Bangunan</t>
  </si>
  <si>
    <t>Daya 11.000 VA</t>
  </si>
  <si>
    <t>CJ5-T</t>
  </si>
  <si>
    <t>CG105</t>
  </si>
  <si>
    <t>B2</t>
  </si>
  <si>
    <t>P12C-2</t>
  </si>
  <si>
    <t>CM5-6</t>
  </si>
  <si>
    <t>CA1</t>
  </si>
  <si>
    <t>CA3</t>
  </si>
  <si>
    <t xml:space="preserve"> </t>
  </si>
  <si>
    <t>KONSTRUKSI JARINGAN 1 PHASE JTR</t>
  </si>
  <si>
    <t>CE1-3</t>
  </si>
  <si>
    <t>F1-3</t>
  </si>
  <si>
    <t>CM2-12A</t>
  </si>
  <si>
    <t>SCHOOR</t>
  </si>
  <si>
    <t>KOORDINAT : -6.953824, 110.699448</t>
  </si>
  <si>
    <t>DS DEMPET, KEC DEMPET</t>
  </si>
  <si>
    <t>MUSHOLA MIFTAHUL JANNAH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</si>
</sst>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7" fillId="33" borderId="0" xfId="0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29" fillId="48" borderId="20" xfId="1652" applyFont="1" applyFill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98</xdr:row>
      <xdr:rowOff>81642</xdr:rowOff>
    </xdr:from>
    <xdr:to>
      <xdr:col>12</xdr:col>
      <xdr:colOff>41108</xdr:colOff>
      <xdr:row>101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67234</xdr:colOff>
      <xdr:row>29</xdr:row>
      <xdr:rowOff>33618</xdr:rowOff>
    </xdr:from>
    <xdr:to>
      <xdr:col>12</xdr:col>
      <xdr:colOff>22411</xdr:colOff>
      <xdr:row>29</xdr:row>
      <xdr:rowOff>78441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49B3811-CC20-457F-814E-2E6A2BF8356D}"/>
            </a:ext>
          </a:extLst>
        </xdr:cNvPr>
        <xdr:cNvCxnSpPr/>
      </xdr:nvCxnSpPr>
      <xdr:spPr>
        <a:xfrm flipV="1">
          <a:off x="2285999" y="4583206"/>
          <a:ext cx="1860177" cy="4482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354107</xdr:colOff>
      <xdr:row>24</xdr:row>
      <xdr:rowOff>11206</xdr:rowOff>
    </xdr:from>
    <xdr:to>
      <xdr:col>15</xdr:col>
      <xdr:colOff>11206</xdr:colOff>
      <xdr:row>24</xdr:row>
      <xdr:rowOff>51546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6D79AC3-E578-4B7A-AEE5-78DC610351BD}"/>
            </a:ext>
          </a:extLst>
        </xdr:cNvPr>
        <xdr:cNvCxnSpPr>
          <a:cxnSpLocks/>
        </xdr:cNvCxnSpPr>
      </xdr:nvCxnSpPr>
      <xdr:spPr>
        <a:xfrm flipH="1">
          <a:off x="2191872" y="3776382"/>
          <a:ext cx="3086099" cy="40340"/>
        </a:xfrm>
        <a:prstGeom prst="line">
          <a:avLst/>
        </a:prstGeom>
        <a:ln w="190500">
          <a:solidFill>
            <a:schemeClr val="accent1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144372</xdr:colOff>
      <xdr:row>4</xdr:row>
      <xdr:rowOff>143541</xdr:rowOff>
    </xdr:from>
    <xdr:to>
      <xdr:col>10</xdr:col>
      <xdr:colOff>302559</xdr:colOff>
      <xdr:row>28</xdr:row>
      <xdr:rowOff>11206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3506137" y="771070"/>
          <a:ext cx="158187" cy="363284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27</xdr:row>
      <xdr:rowOff>78441</xdr:rowOff>
    </xdr:from>
    <xdr:to>
      <xdr:col>15</xdr:col>
      <xdr:colOff>33617</xdr:colOff>
      <xdr:row>27</xdr:row>
      <xdr:rowOff>145674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>
          <a:off x="2218766" y="4314265"/>
          <a:ext cx="3081616" cy="6723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31651" y="817390"/>
          <a:ext cx="1482177" cy="1818549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24187</xdr:colOff>
      <xdr:row>11</xdr:row>
      <xdr:rowOff>79776</xdr:rowOff>
    </xdr:from>
    <xdr:to>
      <xdr:col>11</xdr:col>
      <xdr:colOff>112553</xdr:colOff>
      <xdr:row>12</xdr:row>
      <xdr:rowOff>24445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782232" y="1794276"/>
          <a:ext cx="88366" cy="1005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27606</xdr:colOff>
      <xdr:row>26</xdr:row>
      <xdr:rowOff>12813</xdr:rowOff>
    </xdr:from>
    <xdr:to>
      <xdr:col>10</xdr:col>
      <xdr:colOff>115972</xdr:colOff>
      <xdr:row>26</xdr:row>
      <xdr:rowOff>111194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3404651" y="4065268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99612</xdr:colOff>
      <xdr:row>12</xdr:row>
      <xdr:rowOff>9573</xdr:rowOff>
    </xdr:from>
    <xdr:to>
      <xdr:col>11</xdr:col>
      <xdr:colOff>161285</xdr:colOff>
      <xdr:row>20</xdr:row>
      <xdr:rowOff>99173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1" idx="0"/>
          <a:endCxn id="195" idx="5"/>
        </xdr:cNvCxnSpPr>
      </xdr:nvCxnSpPr>
      <xdr:spPr>
        <a:xfrm flipH="1" flipV="1">
          <a:off x="3842377" y="1892161"/>
          <a:ext cx="61673" cy="134465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50138</xdr:colOff>
      <xdr:row>13</xdr:row>
      <xdr:rowOff>62207</xdr:rowOff>
    </xdr:from>
    <xdr:to>
      <xdr:col>11</xdr:col>
      <xdr:colOff>232543</xdr:colOff>
      <xdr:row>15</xdr:row>
      <xdr:rowOff>93307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5400000">
          <a:off x="3711674" y="2182907"/>
          <a:ext cx="344864" cy="18240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161546</xdr:colOff>
      <xdr:row>20</xdr:row>
      <xdr:rowOff>108502</xdr:rowOff>
    </xdr:from>
    <xdr:to>
      <xdr:col>11</xdr:col>
      <xdr:colOff>124529</xdr:colOff>
      <xdr:row>21</xdr:row>
      <xdr:rowOff>141435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19442596">
          <a:off x="3523311" y="3246149"/>
          <a:ext cx="343983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32976</xdr:colOff>
      <xdr:row>22</xdr:row>
      <xdr:rowOff>42351</xdr:rowOff>
    </xdr:from>
    <xdr:to>
      <xdr:col>10</xdr:col>
      <xdr:colOff>71789</xdr:colOff>
      <xdr:row>26</xdr:row>
      <xdr:rowOff>12813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7" idx="4"/>
          <a:endCxn id="199" idx="0"/>
        </xdr:cNvCxnSpPr>
      </xdr:nvCxnSpPr>
      <xdr:spPr>
        <a:xfrm>
          <a:off x="3394741" y="3493763"/>
          <a:ext cx="38813" cy="59799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264459</xdr:colOff>
      <xdr:row>17</xdr:row>
      <xdr:rowOff>47625</xdr:rowOff>
    </xdr:from>
    <xdr:to>
      <xdr:col>9</xdr:col>
      <xdr:colOff>152400</xdr:colOff>
      <xdr:row>19</xdr:row>
      <xdr:rowOff>87306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2474259" y="2667000"/>
          <a:ext cx="649941" cy="344481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DEMAK DATA ONLINE</a:t>
          </a:r>
        </a:p>
      </xdr:txBody>
    </xdr:sp>
    <xdr:clientData/>
  </xdr:twoCellAnchor>
  <xdr:twoCellAnchor>
    <xdr:from>
      <xdr:col>10</xdr:col>
      <xdr:colOff>77159</xdr:colOff>
      <xdr:row>20</xdr:row>
      <xdr:rowOff>147707</xdr:rowOff>
    </xdr:from>
    <xdr:to>
      <xdr:col>11</xdr:col>
      <xdr:colOff>117102</xdr:colOff>
      <xdr:row>21</xdr:row>
      <xdr:rowOff>150044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7" idx="6"/>
          <a:endCxn id="11" idx="2"/>
        </xdr:cNvCxnSpPr>
      </xdr:nvCxnSpPr>
      <xdr:spPr>
        <a:xfrm flipV="1">
          <a:off x="3438924" y="3285354"/>
          <a:ext cx="420943" cy="15921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117102</xdr:colOff>
      <xdr:row>20</xdr:row>
      <xdr:rowOff>99173</xdr:rowOff>
    </xdr:from>
    <xdr:to>
      <xdr:col>11</xdr:col>
      <xdr:colOff>205468</xdr:colOff>
      <xdr:row>21</xdr:row>
      <xdr:rowOff>39359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3875147" y="3216446"/>
          <a:ext cx="88366" cy="960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70036</xdr:colOff>
      <xdr:row>16</xdr:row>
      <xdr:rowOff>58270</xdr:rowOff>
    </xdr:from>
    <xdr:to>
      <xdr:col>11</xdr:col>
      <xdr:colOff>158402</xdr:colOff>
      <xdr:row>17</xdr:row>
      <xdr:rowOff>2938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9862BDE-4B70-40F9-A1EF-58C898E4EEC4}"/>
            </a:ext>
          </a:extLst>
        </xdr:cNvPr>
        <xdr:cNvGrpSpPr/>
      </xdr:nvGrpSpPr>
      <xdr:grpSpPr>
        <a:xfrm>
          <a:off x="3828081" y="2552088"/>
          <a:ext cx="88366" cy="100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CE7FBB0-995C-4369-20FA-E7732413CA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5290DB-B795-30C7-5262-2C9404561DC2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AEB03BD7-B5B1-F506-5E3F-28854895AC6B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77828</xdr:colOff>
      <xdr:row>17</xdr:row>
      <xdr:rowOff>117704</xdr:rowOff>
    </xdr:from>
    <xdr:to>
      <xdr:col>11</xdr:col>
      <xdr:colOff>267643</xdr:colOff>
      <xdr:row>19</xdr:row>
      <xdr:rowOff>147922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D5B03AF9-96C6-441A-92C0-02F8D0F61E7F}"/>
            </a:ext>
          </a:extLst>
        </xdr:cNvPr>
        <xdr:cNvSpPr/>
      </xdr:nvSpPr>
      <xdr:spPr>
        <a:xfrm rot="4846629">
          <a:off x="3743509" y="2861788"/>
          <a:ext cx="343983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292475</xdr:colOff>
      <xdr:row>15</xdr:row>
      <xdr:rowOff>122841</xdr:rowOff>
    </xdr:from>
    <xdr:to>
      <xdr:col>12</xdr:col>
      <xdr:colOff>372305</xdr:colOff>
      <xdr:row>17</xdr:row>
      <xdr:rowOff>91967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ABE1B89B-70ED-471F-A31E-C59927BEF103}"/>
            </a:ext>
          </a:extLst>
        </xdr:cNvPr>
        <xdr:cNvSpPr/>
      </xdr:nvSpPr>
      <xdr:spPr>
        <a:xfrm>
          <a:off x="4036214" y="2408841"/>
          <a:ext cx="460830" cy="26730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2 CJ5-T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306003</xdr:colOff>
      <xdr:row>20</xdr:row>
      <xdr:rowOff>117101</xdr:rowOff>
    </xdr:from>
    <xdr:to>
      <xdr:col>13</xdr:col>
      <xdr:colOff>36676</xdr:colOff>
      <xdr:row>24</xdr:row>
      <xdr:rowOff>90822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78B7EE0E-82F9-4E96-9C4C-978F3FDA9FC6}"/>
            </a:ext>
          </a:extLst>
        </xdr:cNvPr>
        <xdr:cNvSpPr/>
      </xdr:nvSpPr>
      <xdr:spPr>
        <a:xfrm>
          <a:off x="4049742" y="3148536"/>
          <a:ext cx="492673" cy="57006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500">
              <a:solidFill>
                <a:srgbClr val="FF0000"/>
              </a:solidFill>
            </a:rPr>
            <a:t>2 CE1-2</a:t>
          </a:r>
        </a:p>
        <a:p>
          <a:pPr algn="l"/>
          <a:r>
            <a:rPr lang="en-US" sz="500">
              <a:solidFill>
                <a:srgbClr val="FF0000"/>
              </a:solidFill>
            </a:rPr>
            <a:t>2 F1-2</a:t>
          </a:r>
        </a:p>
        <a:p>
          <a:pPr algn="l"/>
          <a:r>
            <a:rPr lang="en-US" sz="500">
              <a:solidFill>
                <a:srgbClr val="FF0000"/>
              </a:solidFill>
            </a:rPr>
            <a:t>2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2 CM2-12A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122840</xdr:colOff>
      <xdr:row>20</xdr:row>
      <xdr:rowOff>108717</xdr:rowOff>
    </xdr:from>
    <xdr:to>
      <xdr:col>9</xdr:col>
      <xdr:colOff>202670</xdr:colOff>
      <xdr:row>23</xdr:row>
      <xdr:rowOff>95578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E9EC580-BF50-4D51-B17A-AD26ED372D13}"/>
            </a:ext>
          </a:extLst>
        </xdr:cNvPr>
        <xdr:cNvSpPr/>
      </xdr:nvSpPr>
      <xdr:spPr>
        <a:xfrm>
          <a:off x="2713640" y="3185292"/>
          <a:ext cx="460830" cy="44406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2 CJ6-T</a:t>
          </a:r>
          <a:endParaRPr lang="en-US" sz="500">
            <a:solidFill>
              <a:schemeClr val="tx1"/>
            </a:solidFill>
          </a:endParaRP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369793</xdr:colOff>
      <xdr:row>21</xdr:row>
      <xdr:rowOff>100853</xdr:rowOff>
    </xdr:from>
    <xdr:to>
      <xdr:col>10</xdr:col>
      <xdr:colOff>77159</xdr:colOff>
      <xdr:row>22</xdr:row>
      <xdr:rowOff>42351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0593CF9-10C3-48EC-9C62-8B0C519B33A3}"/>
            </a:ext>
          </a:extLst>
        </xdr:cNvPr>
        <xdr:cNvGrpSpPr/>
      </xdr:nvGrpSpPr>
      <xdr:grpSpPr>
        <a:xfrm>
          <a:off x="3365838" y="3373989"/>
          <a:ext cx="88366" cy="973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1913FD76-E48D-5695-73F7-B4B4577A1B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7D43DA5-E770-ECC3-845D-C7195CAD7AB9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9512AE71-6708-14B7-C6E4-1C1EEF6CC52A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331694</xdr:colOff>
      <xdr:row>28</xdr:row>
      <xdr:rowOff>152399</xdr:rowOff>
    </xdr:from>
    <xdr:to>
      <xdr:col>9</xdr:col>
      <xdr:colOff>39060</xdr:colOff>
      <xdr:row>29</xdr:row>
      <xdr:rowOff>93898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EED781E8-3EB7-4235-9447-37990F6C6D28}"/>
            </a:ext>
          </a:extLst>
        </xdr:cNvPr>
        <xdr:cNvGrpSpPr/>
      </xdr:nvGrpSpPr>
      <xdr:grpSpPr>
        <a:xfrm>
          <a:off x="2946739" y="4516581"/>
          <a:ext cx="88366" cy="973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4CAA5C11-CFFF-3D8F-0871-A0538C5AA0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D7881134-9F7F-A9BE-17D1-9C07939D29F4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E3D40EB8-90F9-8469-38CF-8D48F105A95D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39060</xdr:colOff>
      <xdr:row>26</xdr:row>
      <xdr:rowOff>111194</xdr:rowOff>
    </xdr:from>
    <xdr:to>
      <xdr:col>10</xdr:col>
      <xdr:colOff>71789</xdr:colOff>
      <xdr:row>29</xdr:row>
      <xdr:rowOff>44708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B034C5AC-A5A4-497A-82C2-8FD1BA2AAE74}"/>
            </a:ext>
          </a:extLst>
        </xdr:cNvPr>
        <xdr:cNvCxnSpPr>
          <a:stCxn id="16" idx="6"/>
          <a:endCxn id="199" idx="4"/>
        </xdr:cNvCxnSpPr>
      </xdr:nvCxnSpPr>
      <xdr:spPr>
        <a:xfrm flipV="1">
          <a:off x="3019825" y="4190135"/>
          <a:ext cx="413729" cy="40416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289891</xdr:colOff>
      <xdr:row>9</xdr:row>
      <xdr:rowOff>57979</xdr:rowOff>
    </xdr:from>
    <xdr:to>
      <xdr:col>13</xdr:col>
      <xdr:colOff>20564</xdr:colOff>
      <xdr:row>13</xdr:row>
      <xdr:rowOff>15135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6410C208-A880-46B9-AC38-37525A3B0F41}"/>
            </a:ext>
          </a:extLst>
        </xdr:cNvPr>
        <xdr:cNvSpPr/>
      </xdr:nvSpPr>
      <xdr:spPr>
        <a:xfrm>
          <a:off x="4033630" y="1432892"/>
          <a:ext cx="492673" cy="57006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50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</a:t>
          </a:r>
          <a:r>
            <a:rPr lang="en-US" sz="500">
              <a:solidFill>
                <a:srgbClr val="FF0000"/>
              </a:solidFill>
            </a:rPr>
            <a:t> F1-2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CM2-12A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9525</xdr:colOff>
      <xdr:row>9</xdr:row>
      <xdr:rowOff>95250</xdr:rowOff>
    </xdr:from>
    <xdr:to>
      <xdr:col>9</xdr:col>
      <xdr:colOff>278466</xdr:colOff>
      <xdr:row>11</xdr:row>
      <xdr:rowOff>134931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987FB007-9982-4D0B-BDEA-2C8A88D5ABF8}"/>
            </a:ext>
          </a:extLst>
        </xdr:cNvPr>
        <xdr:cNvSpPr/>
      </xdr:nvSpPr>
      <xdr:spPr>
        <a:xfrm>
          <a:off x="2600325" y="1485900"/>
          <a:ext cx="649941" cy="34448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rgbClr val="FF0000"/>
              </a:solidFill>
            </a:rPr>
            <a:t>MUSHOLA</a:t>
          </a:r>
        </a:p>
      </xdr:txBody>
    </xdr:sp>
    <xdr:clientData/>
  </xdr:twoCellAnchor>
  <xdr:twoCellAnchor>
    <xdr:from>
      <xdr:col>11</xdr:col>
      <xdr:colOff>175846</xdr:colOff>
      <xdr:row>21</xdr:row>
      <xdr:rowOff>5494</xdr:rowOff>
    </xdr:from>
    <xdr:to>
      <xdr:col>11</xdr:col>
      <xdr:colOff>234461</xdr:colOff>
      <xdr:row>22</xdr:row>
      <xdr:rowOff>80596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86D9673-E681-4557-AA8A-8317F70F0D2C}"/>
            </a:ext>
          </a:extLst>
        </xdr:cNvPr>
        <xdr:cNvCxnSpPr/>
      </xdr:nvCxnSpPr>
      <xdr:spPr>
        <a:xfrm>
          <a:off x="3912577" y="3258648"/>
          <a:ext cx="58615" cy="2289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205468</xdr:colOff>
      <xdr:row>20</xdr:row>
      <xdr:rowOff>21981</xdr:rowOff>
    </xdr:from>
    <xdr:to>
      <xdr:col>11</xdr:col>
      <xdr:colOff>359019</xdr:colOff>
      <xdr:row>20</xdr:row>
      <xdr:rowOff>146199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47ECA452-3F55-4475-9B9F-9230A74271D6}"/>
            </a:ext>
          </a:extLst>
        </xdr:cNvPr>
        <xdr:cNvCxnSpPr>
          <a:stCxn id="11" idx="6"/>
        </xdr:cNvCxnSpPr>
      </xdr:nvCxnSpPr>
      <xdr:spPr>
        <a:xfrm flipV="1">
          <a:off x="3942199" y="3121269"/>
          <a:ext cx="153551" cy="1242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58615</xdr:colOff>
      <xdr:row>10</xdr:row>
      <xdr:rowOff>21980</xdr:rowOff>
    </xdr:from>
    <xdr:to>
      <xdr:col>11</xdr:col>
      <xdr:colOff>68370</xdr:colOff>
      <xdr:row>11</xdr:row>
      <xdr:rowOff>79776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C7552C6-188E-483B-9F57-D18129D1EAFC}"/>
            </a:ext>
          </a:extLst>
        </xdr:cNvPr>
        <xdr:cNvCxnSpPr>
          <a:stCxn id="195" idx="0"/>
        </xdr:cNvCxnSpPr>
      </xdr:nvCxnSpPr>
      <xdr:spPr>
        <a:xfrm flipH="1" flipV="1">
          <a:off x="3795346" y="1575288"/>
          <a:ext cx="9755" cy="21166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347871</xdr:colOff>
      <xdr:row>23</xdr:row>
      <xdr:rowOff>24847</xdr:rowOff>
    </xdr:from>
    <xdr:to>
      <xdr:col>10</xdr:col>
      <xdr:colOff>156686</xdr:colOff>
      <xdr:row>25</xdr:row>
      <xdr:rowOff>55065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FD1FDEE3-CECF-4659-9DD2-63E220D96E02}"/>
            </a:ext>
          </a:extLst>
        </xdr:cNvPr>
        <xdr:cNvSpPr/>
      </xdr:nvSpPr>
      <xdr:spPr>
        <a:xfrm rot="5613972">
          <a:off x="3260322" y="3572831"/>
          <a:ext cx="328392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210380</xdr:colOff>
      <xdr:row>26</xdr:row>
      <xdr:rowOff>102703</xdr:rowOff>
    </xdr:from>
    <xdr:to>
      <xdr:col>10</xdr:col>
      <xdr:colOff>19195</xdr:colOff>
      <xdr:row>28</xdr:row>
      <xdr:rowOff>132922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9925F63-69D3-4A15-B504-E4B5D9369CB1}"/>
            </a:ext>
          </a:extLst>
        </xdr:cNvPr>
        <xdr:cNvSpPr/>
      </xdr:nvSpPr>
      <xdr:spPr>
        <a:xfrm rot="7567497">
          <a:off x="3122831" y="4097948"/>
          <a:ext cx="328392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7</xdr:row>
      <xdr:rowOff>71437</xdr:rowOff>
    </xdr:from>
    <xdr:to>
      <xdr:col>20</xdr:col>
      <xdr:colOff>87086</xdr:colOff>
      <xdr:row>53</xdr:row>
      <xdr:rowOff>158244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4A9FF2-39C8-FDDD-5C3E-3C33E1C0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7375" y="1381125"/>
          <a:ext cx="9754961" cy="77544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100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SUMIFS(RAB!$F$14:$F$82,RAB!$C$14:$C$82,C714)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SUMIFS(RAB!$F$14:$F$82,RAB!$C$14:$C$82,C715)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SUMIFS(RAB!$F$14:$F$82,RAB!$C$14:$C$82,C716)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SUMIFS(RAB!$F$14:$F$82,RAB!$C$14:$C$82,C717)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SUMIFS(RAB!$F$14:$F$82,RAB!$C$14:$C$82,C718)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SUMIFS(RAB!$F$14:$F$82,RAB!$C$14:$C$82,C719)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SUMIFS(RAB!$F$14:$F$82,RAB!$C$14:$C$82,C720)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SUMIFS(RAB!$F$14:$F$82,RAB!$C$14:$C$82,C721)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SUMIFS(RAB!$F$14:$F$82,RAB!$C$14:$C$82,C722)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SUMIFS(RAB!$F$14:$F$82,RAB!$C$14:$C$82,C723)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SUMIFS(RAB!$F$14:$F$82,RAB!$C$14:$C$82,C724)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SUMIFS(RAB!$F$14:$F$82,RAB!$C$14:$C$82,C725)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SUMIFS(RAB!$F$14:$F$82,RAB!$C$14:$C$82,C726)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SUMIFS(RAB!$F$14:$F$82,RAB!$C$14:$C$82,C727)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SUMIFS(RAB!$F$14:$F$82,RAB!$C$14:$C$82,C728)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SUMIFS(RAB!$F$14:$F$82,RAB!$C$14:$C$82,C729)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SUMIFS(RAB!$F$14:$F$82,RAB!$C$14:$C$82,C730)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SUMIFS(RAB!$F$14:$F$82,RAB!$C$14:$C$82,C731)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SUMIFS(RAB!$F$14:$F$82,RAB!$C$14:$C$82,C732)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SUMIFS(RAB!$F$14:$F$82,RAB!$C$14:$C$82,C733)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SUMIFS(RAB!$F$14:$F$82,RAB!$C$14:$C$82,C734)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SUMIFS(RAB!$F$14:$F$82,RAB!$C$14:$C$82,C735)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SUMIFS(RAB!$F$14:$F$82,RAB!$C$14:$C$82,C736)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SUMIFS(RAB!$F$14:$F$82,RAB!$C$14:$C$82,C737)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SUMIFS(RAB!$F$14:$F$82,RAB!$C$14:$C$82,C738)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SUMIFS(RAB!$F$14:$F$82,RAB!$C$14:$C$82,C739)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SUMIFS(RAB!$F$14:$F$82,RAB!$C$14:$C$82,C740)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SUMIFS(RAB!$F$14:$F$82,RAB!$C$14:$C$82,C741)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SUMIFS(RAB!$F$14:$F$82,RAB!$C$14:$C$82,C742)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SUMIFS(RAB!$F$14:$F$82,RAB!$C$14:$C$82,C743)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SUMIFS(RAB!$F$14:$F$82,RAB!$C$14:$C$82,C744)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SUMIFS(RAB!$F$14:$F$82,RAB!$C$14:$C$82,C745)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SUMIFS(RAB!$F$14:$F$82,RAB!$C$14:$C$82,C746)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SUMIFS(RAB!$F$14:$F$82,RAB!$C$14:$C$82,C747)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SUMIFS(RAB!$F$14:$F$82,RAB!$C$14:$C$82,C748)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SUMIFS(RAB!$F$14:$F$82,RAB!$C$14:$C$82,C749)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SUMIFS(RAB!$F$14:$F$82,RAB!$C$14:$C$82,C750)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SUMIFS(RAB!$F$14:$F$82,RAB!$C$14:$C$82,C751)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SUMIFS(RAB!$F$14:$F$82,RAB!$C$14:$C$82,C752)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SUMIFS(RAB!$F$14:$F$82,RAB!$C$14:$C$82,C753)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SUMIFS(RAB!$F$14:$F$82,RAB!$C$14:$C$82,C754)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SUMIFS(RAB!$F$14:$F$82,RAB!$C$14:$C$82,C755)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SUMIFS(RAB!$F$14:$F$82,RAB!$C$14:$C$82,C756)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SUMIFS(RAB!$F$14:$F$82,RAB!$C$14:$C$82,C757)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SUMIFS(RAB!$F$14:$F$82,RAB!$C$14:$C$82,C758)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SUMIFS(RAB!$F$14:$F$82,RAB!$C$14:$C$82,C759)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SUMIFS(RAB!$F$14:$F$82,RAB!$C$14:$C$82,C760)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SUMIFS(RAB!$F$14:$F$82,RAB!$C$14:$C$82,C761)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SUMIFS(RAB!$F$14:$F$82,RAB!$C$14:$C$82,C762)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SUMIFS(RAB!$F$14:$F$82,RAB!$C$14:$C$82,C763)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SUMIFS(RAB!$F$14:$F$82,RAB!$C$14:$C$82,C764)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SUMIFS(RAB!$F$14:$F$82,RAB!$C$14:$C$82,C765)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SUMIFS(RAB!$F$14:$F$82,RAB!$C$14:$C$82,C766)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SUMIFS(RAB!$F$14:$F$82,RAB!$C$14:$C$82,C767)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SUMIFS(RAB!$F$14:$F$82,RAB!$C$14:$C$82,C768)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SUMIFS(RAB!$F$14:$F$82,RAB!$C$14:$C$82,C769)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SUMIFS(RAB!$F$14:$F$82,RAB!$C$14:$C$82,C770)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SUMIFS(RAB!$F$14:$F$82,RAB!$C$14:$C$82,C771)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SUMIFS(RAB!$F$14:$F$82,RAB!$C$14:$C$82,C772)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SUMIFS(RAB!$F$14:$F$82,RAB!$C$14:$C$82,C773)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SUMIFS(RAB!$F$14:$F$82,RAB!$C$14:$C$82,C774)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SUMIFS(RAB!$F$14:$F$82,RAB!$C$14:$C$82,C775)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SUMIFS(RAB!$F$14:$F$82,RAB!$C$14:$C$82,C776)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SUMIFS(RAB!$F$14:$F$82,RAB!$C$14:$C$82,C777)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SUMIFS(RAB!$F$14:$F$82,RAB!$C$14:$C$82,C778)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SUMIFS(RAB!$F$14:$F$82,RAB!$C$14:$C$82,C779)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SUMIFS(RAB!$F$14:$F$82,RAB!$C$14:$C$82,C780)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SUMIFS(RAB!$F$14:$F$82,RAB!$C$14:$C$82,C781)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SUMIFS(RAB!$F$14:$F$82,RAB!$C$14:$C$82,C782)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SUMIFS(RAB!$F$14:$F$82,RAB!$C$14:$C$82,C783)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SUMIFS(RAB!$F$14:$F$82,RAB!$C$14:$C$82,C784)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SUMIFS(RAB!$F$14:$F$82,RAB!$C$14:$C$82,C785)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SUMIFS(RAB!$F$14:$F$82,RAB!$C$14:$C$82,C786)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SUMIFS(RAB!$F$14:$F$82,RAB!$C$14:$C$82,C787)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SUMIFS(RAB!$F$14:$F$82,RAB!$C$14:$C$82,C788)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SUMIFS(RAB!$F$14:$F$82,RAB!$C$14:$C$82,C789)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SUMIFS(RAB!$F$14:$F$82,RAB!$C$14:$C$82,C790)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SUMIFS(RAB!$F$14:$F$82,RAB!$C$14:$C$82,C791)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SUMIFS(RAB!$F$14:$F$82,RAB!$C$14:$C$82,C792)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SUMIFS(RAB!$F$14:$F$82,RAB!$C$14:$C$82,C793)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SUMIFS(RAB!$F$14:$F$82,RAB!$C$14:$C$82,C794)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SUMIFS(RAB!$F$14:$F$82,RAB!$C$14:$C$82,C795)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SUMIFS(RAB!$F$14:$F$82,RAB!$C$14:$C$82,C796)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SUMIFS(RAB!$F$14:$F$82,RAB!$C$14:$C$82,C797)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SUMIFS(RAB!$F$14:$F$82,RAB!$C$14:$C$82,C798)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SUMIFS(RAB!$F$14:$F$82,RAB!$C$14:$C$82,C799)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SUMIFS(RAB!$F$14:$F$82,RAB!$C$14:$C$82,C800)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SUMIFS(RAB!$F$14:$F$82,RAB!$C$14:$C$82,C801)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SUMIFS(RAB!$F$14:$F$82,RAB!$C$14:$C$82,C802)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SUMIFS(RAB!$F$14:$F$82,RAB!$C$14:$C$82,C803)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SUMIFS(RAB!$F$14:$F$82,RAB!$C$14:$C$82,C804)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SUMIFS(RAB!$F$14:$F$82,RAB!$C$14:$C$82,C805)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SUMIFS(RAB!$F$14:$F$82,RAB!$C$14:$C$82,C806)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SUMIFS(RAB!$F$14:$F$82,RAB!$C$14:$C$82,C807)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SUMIFS(RAB!$F$14:$F$82,RAB!$C$14:$C$82,C808)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SUMIFS(RAB!$F$14:$F$82,RAB!$C$14:$C$82,C809)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SUMIFS(RAB!$F$14:$F$82,RAB!$C$14:$C$82,C810)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SUMIFS(RAB!$F$14:$F$82,RAB!$C$14:$C$82,C811)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SUMIFS(RAB!$F$14:$F$82,RAB!$C$14:$C$82,C812)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SUMIFS(RAB!$F$14:$F$82,RAB!$C$14:$C$82,C813)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SUMIFS(RAB!$F$14:$F$82,RAB!$C$14:$C$82,C814)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SUMIFS(RAB!$F$14:$F$82,RAB!$C$14:$C$82,C815)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SUMIFS(RAB!$F$14:$F$82,RAB!$C$14:$C$82,C816)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SUMIFS(RAB!$F$14:$F$82,RAB!$C$14:$C$82,C817)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SUMIFS(RAB!$F$14:$F$82,RAB!$C$14:$C$82,C818)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SUMIFS(RAB!$F$14:$F$82,RAB!$C$14:$C$82,C819)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SUMIFS(RAB!$F$14:$F$82,RAB!$C$14:$C$82,C820)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SUMIFS(RAB!$F$14:$F$82,RAB!$C$14:$C$82,C821)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SUMIFS(RAB!$F$14:$F$82,RAB!$C$14:$C$82,C822)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SUMIFS(RAB!$F$14:$F$82,RAB!$C$14:$C$82,C823)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SUMIFS(RAB!$F$14:$F$82,RAB!$C$14:$C$82,C824)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SUMIFS(RAB!$F$14:$F$82,RAB!$C$14:$C$82,C825)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SUMIFS(RAB!$F$14:$F$82,RAB!$C$14:$C$82,C826)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SUMIFS(RAB!$F$14:$F$82,RAB!$C$14:$C$82,C827)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SUMIFS(RAB!$F$14:$F$82,RAB!$C$14:$C$82,C828)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SUMIFS(RAB!$F$14:$F$82,RAB!$C$14:$C$82,C829)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SUMIFS(RAB!$F$14:$F$82,RAB!$C$14:$C$82,C830)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SUMIFS(RAB!$F$14:$F$82,RAB!$C$14:$C$82,C831)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SUMIFS(RAB!$F$14:$F$82,RAB!$C$14:$C$82,C832)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SUMIFS(RAB!$F$14:$F$82,RAB!$C$14:$C$82,C833)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SUMIFS(RAB!$F$14:$F$82,RAB!$C$14:$C$82,C834)</f>
        <v>100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SUMIFS(RAB!$F$14:$F$82,RAB!$C$14:$C$82,C835)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SUMIFS(RAB!$F$14:$F$82,RAB!$C$14:$C$82,C836)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SUMIFS(RAB!$F$14:$F$82,RAB!$C$14:$C$82,C837)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SUMIFS(RAB!$F$14:$F$82,RAB!$C$14:$C$82,C838)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SUMIFS(RAB!$F$14:$F$82,RAB!$C$14:$C$82,C839)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SUMIFS(RAB!$F$14:$F$82,RAB!$C$14:$C$82,C840)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SUMIFS(RAB!$F$14:$F$82,RAB!$C$14:$C$82,C841)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SUMIFS(RAB!$F$14:$F$82,RAB!$C$14:$C$82,C842)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SUMIFS(RAB!$F$14:$F$82,RAB!$C$14:$C$82,C843)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SUMIFS(RAB!$F$14:$F$82,RAB!$C$14:$C$82,C844)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SUMIFS(RAB!$F$14:$F$82,RAB!$C$14:$C$82,C845)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SUMIFS(RAB!$F$14:$F$82,RAB!$C$14:$C$82,C846)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SUMIFS(RAB!$F$14:$F$82,RAB!$C$14:$C$82,C847)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SUMIFS(RAB!$F$14:$F$82,RAB!$C$14:$C$82,C848)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SUMIFS(RAB!$F$14:$F$82,RAB!$C$14:$C$82,C849)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SUMIFS(RAB!$F$14:$F$82,RAB!$C$14:$C$82,C850)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SUMIFS(RAB!$F$14:$F$82,RAB!$C$14:$C$82,C851)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SUMIFS(RAB!$F$14:$F$82,RAB!$C$14:$C$82,C852)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SUMIFS(RAB!$F$14:$F$82,RAB!$C$14:$C$82,C853)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SUMIFS(RAB!$F$14:$F$82,RAB!$C$14:$C$82,C854)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SUMIFS(RAB!$F$14:$F$82,RAB!$C$14:$C$82,C855)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SUMIFS(RAB!$F$14:$F$82,RAB!$C$14:$C$82,C856)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SUMIFS(RAB!$F$14:$F$82,RAB!$C$14:$C$82,C857)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SUMIFS(RAB!$F$14:$F$82,RAB!$C$14:$C$82,C858)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SUMIFS(RAB!$F$14:$F$82,RAB!$C$14:$C$82,C859)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SUMIFS(RAB!$F$14:$F$82,RAB!$C$14:$C$82,C860)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SUMIFS(RAB!$F$14:$F$82,RAB!$C$14:$C$82,C861)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SUMIFS(RAB!$F$14:$F$82,RAB!$C$14:$C$82,C862)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SUMIFS(RAB!$F$14:$F$82,RAB!$C$14:$C$82,C863)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SUMIFS(RAB!$F$14:$F$82,RAB!$C$14:$C$82,C864)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SUMIFS(RAB!$F$14:$F$82,RAB!$C$14:$C$82,C865)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SUMIFS(RAB!$F$14:$F$82,RAB!$C$14:$C$82,C866)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SUMIFS(RAB!$F$14:$F$82,RAB!$C$14:$C$82,C867)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SUMIFS(RAB!$F$14:$F$82,RAB!$C$14:$C$82,C868)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SUMIFS(RAB!$F$14:$F$82,RAB!$C$14:$C$82,C869)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SUMIFS(RAB!$F$14:$F$82,RAB!$C$14:$C$82,C870)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SUMIFS(RAB!$F$14:$F$82,RAB!$C$14:$C$82,C871)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SUMIFS(RAB!$F$14:$F$82,RAB!$C$14:$C$82,C872)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SUMIFS(RAB!$F$14:$F$82,RAB!$C$14:$C$82,C873)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SUMIFS(RAB!$F$14:$F$82,RAB!$C$14:$C$82,C874)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SUMIFS(RAB!$F$14:$F$82,RAB!$C$14:$C$82,C875)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SUMIFS(RAB!$F$14:$F$82,RAB!$C$14:$C$82,C876)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SUMIFS(RAB!$F$14:$F$82,RAB!$C$14:$C$82,C877)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SUMIFS(RAB!$F$14:$F$82,RAB!$C$14:$C$82,C878)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SUMIFS(RAB!$F$14:$F$82,RAB!$C$14:$C$82,C879)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SUMIFS(RAB!$F$14:$F$82,RAB!$C$14:$C$82,C880)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SUMIFS(RAB!$F$14:$F$82,RAB!$C$14:$C$82,C881)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SUMIFS(RAB!$F$14:$F$82,RAB!$C$14:$C$82,C882)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SUMIFS(RAB!$F$14:$F$82,RAB!$C$14:$C$82,C883)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SUMIFS(RAB!$F$14:$F$82,RAB!$C$14:$C$82,C884)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SUMIFS(RAB!$F$14:$F$82,RAB!$C$14:$C$82,C885)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SUMIFS(RAB!$F$14:$F$82,RAB!$C$14:$C$82,C886)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SUMIFS(RAB!$F$14:$F$82,RAB!$C$14:$C$82,C887)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SUMIFS(RAB!$F$14:$F$82,RAB!$C$14:$C$82,C888)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SUMIFS(RAB!$F$14:$F$82,RAB!$C$14:$C$82,C889)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SUMIFS(RAB!$F$14:$F$82,RAB!$C$14:$C$82,C890)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SUMIFS(RAB!$F$14:$F$82,RAB!$C$14:$C$82,C891)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SUMIFS(RAB!$F$14:$F$82,RAB!$C$14:$C$82,C892)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SUMIFS(RAB!$F$14:$F$82,RAB!$C$14:$C$82,C893)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SUMIFS(RAB!$F$14:$F$82,RAB!$C$14:$C$82,C894)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SUMIFS(RAB!$F$14:$F$82,RAB!$C$14:$C$82,C895)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SUMIFS(RAB!$F$14:$F$82,RAB!$C$14:$C$82,C896)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SUMIFS(RAB!$F$14:$F$82,RAB!$C$14:$C$82,C897)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SUMIFS(RAB!$F$14:$F$82,RAB!$C$14:$C$82,C898)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SUMIFS(RAB!$F$14:$F$82,RAB!$C$14:$C$82,C899)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SUMIFS(RAB!$F$14:$F$82,RAB!$C$14:$C$82,C900)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SUMIFS(RAB!$F$14:$F$82,RAB!$C$14:$C$82,C901)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SUMIFS(RAB!$F$14:$F$82,RAB!$C$14:$C$82,C902)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SUMIFS(RAB!$F$14:$F$82,RAB!$C$14:$C$82,C903)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SUMIFS(RAB!$F$14:$F$82,RAB!$C$14:$C$82,C904)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SUMIFS(RAB!$F$14:$F$82,RAB!$C$14:$C$82,C905)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SUMIFS(RAB!$F$14:$F$82,RAB!$C$14:$C$82,C906)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SUMIFS(RAB!$F$14:$F$82,RAB!$C$14:$C$82,C907)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SUMIFS(RAB!$F$14:$F$82,RAB!$C$14:$C$82,C908)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SUMIFS(RAB!$F$14:$F$82,RAB!$C$14:$C$82,C909)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SUMIFS(RAB!$F$14:$F$82,RAB!$C$14:$C$82,C910)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SUMIFS(RAB!$F$14:$F$82,RAB!$C$14:$C$82,C911)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SUMIFS(RAB!$F$14:$F$82,RAB!$C$14:$C$82,C912)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SUMIFS(RAB!$F$14:$F$82,RAB!$C$14:$C$82,C913)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SUMIFS(RAB!$F$14:$F$82,RAB!$C$14:$C$82,C914)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SUMIFS(RAB!$F$14:$F$82,RAB!$C$14:$C$82,C915)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SUMIFS(RAB!$F$14:$F$82,RAB!$C$14:$C$82,C916)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SUMIFS(RAB!$F$14:$F$82,RAB!$C$14:$C$82,C917)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SUMIFS(RAB!$F$14:$F$82,RAB!$C$14:$C$82,C918)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SUMIFS(RAB!$F$14:$F$82,RAB!$C$14:$C$82,C919)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SUMIFS(RAB!$F$14:$F$82,RAB!$C$14:$C$82,C920)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SUMIFS(RAB!$F$14:$F$82,RAB!$C$14:$C$82,C921)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SUMIFS(RAB!$F$14:$F$82,RAB!$C$14:$C$82,C922)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SUMIFS(RAB!$F$14:$F$82,RAB!$C$14:$C$82,C923)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SUMIFS(RAB!$F$14:$F$82,RAB!$C$14:$C$82,C924)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SUMIFS(RAB!$F$14:$F$82,RAB!$C$14:$C$82,C925)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SUMIFS(RAB!$F$14:$F$82,RAB!$C$14:$C$82,C926)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SUMIFS(RAB!$F$14:$F$82,RAB!$C$14:$C$82,C927)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SUMIFS(RAB!$F$14:$F$82,RAB!$C$14:$C$82,C928)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SUMIFS(RAB!$F$14:$F$82,RAB!$C$14:$C$82,C929)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SUMIFS(RAB!$F$14:$F$82,RAB!$C$14:$C$82,C930)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SUMIFS(RAB!$F$14:$F$82,RAB!$C$14:$C$82,C931)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SUMIFS(RAB!$F$14:$F$82,RAB!$C$14:$C$82,C932)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SUMIFS(RAB!$F$14:$F$82,RAB!$C$14:$C$82,C933)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SUMIFS(RAB!$F$14:$F$82,RAB!$C$14:$C$82,C934)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SUMIFS(RAB!$F$14:$F$82,RAB!$C$14:$C$82,C935)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SUMIFS(RAB!$F$14:$F$82,RAB!$C$14:$C$82,C936)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SUMIFS(RAB!$F$14:$F$82,RAB!$C$14:$C$82,C937)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SUMIFS(RAB!$F$14:$F$82,RAB!$C$14:$C$82,C938)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SUMIFS(RAB!$F$14:$F$82,RAB!$C$14:$C$82,C939)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SUMIFS(RAB!$F$14:$F$82,RAB!$C$14:$C$82,C940)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SUMIFS(RAB!$F$14:$F$82,RAB!$C$14:$C$82,C941)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SUMIFS(RAB!$F$14:$F$82,RAB!$C$14:$C$82,C942)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SUMIFS(RAB!$F$14:$F$82,RAB!$C$14:$C$82,C943)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SUMIFS(RAB!$F$14:$F$82,RAB!$C$14:$C$82,C944)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SUMIFS(RAB!$F$14:$F$82,RAB!$C$14:$C$82,C945)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SUMIFS(RAB!$F$14:$F$82,RAB!$C$14:$C$82,C946)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SUMIFS(RAB!$F$14:$F$82,RAB!$C$14:$C$82,C947)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SUMIFS(RAB!$F$14:$F$82,RAB!$C$14:$C$82,C948)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SUMIFS(RAB!$F$14:$F$82,RAB!$C$14:$C$82,C949)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SUMIFS(RAB!$F$14:$F$82,RAB!$C$14:$C$82,C950)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SUMIFS(RAB!$F$14:$F$82,RAB!$C$14:$C$82,C951)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SUMIFS(RAB!$F$14:$F$82,RAB!$C$14:$C$82,C952)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SUMIFS(RAB!$F$14:$F$82,RAB!$C$14:$C$82,C953)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SUMIFS(RAB!$F$14:$F$82,RAB!$C$14:$C$82,C954)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SUMIFS(RAB!$F$14:$F$82,RAB!$C$14:$C$82,C955)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SUMIFS(RAB!$F$14:$F$82,RAB!$C$14:$C$82,C956)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SUMIFS(RAB!$F$14:$F$82,RAB!$C$14:$C$82,C957)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SUMIFS(RAB!$F$14:$F$82,RAB!$C$14:$C$82,C958)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SUMIFS(RAB!$F$14:$F$82,RAB!$C$14:$C$82,C959)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SUMIFS(RAB!$F$14:$F$82,RAB!$C$14:$C$82,C960)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SUMIFS(RAB!$F$14:$F$82,RAB!$C$14:$C$82,C961)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SUMIFS(RAB!$F$14:$F$82,RAB!$C$14:$C$82,C962)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SUMIFS(RAB!$F$14:$F$82,RAB!$C$14:$C$82,C963)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SUMIFS(RAB!$F$14:$F$82,RAB!$C$14:$C$82,C964)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SUMIFS(RAB!$F$14:$F$82,RAB!$C$14:$C$82,C965)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SUMIFS(RAB!$F$14:$F$82,RAB!$C$14:$C$82,C966)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SUMIFS(RAB!$F$14:$F$82,RAB!$C$14:$C$82,C967)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SUMIFS(RAB!$F$14:$F$82,RAB!$C$14:$C$82,C968)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SUMIFS(RAB!$F$14:$F$82,RAB!$C$14:$C$82,C969)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SUMIFS(RAB!$F$14:$F$82,RAB!$C$14:$C$82,C970)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SUMIFS(RAB!$F$14:$F$82,RAB!$C$14:$C$82,C971)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SUMIFS(RAB!$F$14:$F$82,RAB!$C$14:$C$82,C972)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SUMIFS(RAB!$F$14:$F$82,RAB!$C$14:$C$82,C973)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SUMIFS(RAB!$F$14:$F$82,RAB!$C$14:$C$82,C974)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SUMIFS(RAB!$F$14:$F$82,RAB!$C$14:$C$82,C975)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SUMIFS(RAB!$F$14:$F$82,RAB!$C$14:$C$82,C976)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SUMIFS(RAB!$F$14:$F$82,RAB!$C$14:$C$82,C977)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SUMIFS(RAB!$F$14:$F$82,RAB!$C$14:$C$82,C978)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SUMIFS(RAB!$F$14:$F$82,RAB!$C$14:$C$82,C979)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SUMIFS(RAB!$F$14:$F$82,RAB!$C$14:$C$82,C980)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SUMIFS(RAB!$F$14:$F$82,RAB!$C$14:$C$82,C981)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SUMIFS(RAB!$F$14:$F$82,RAB!$C$14:$C$82,C982)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SUMIFS(RAB!$F$14:$F$82,RAB!$C$14:$C$82,C983)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SUMIFS(RAB!$F$14:$F$82,RAB!$C$14:$C$82,C984)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SUMIFS(RAB!$F$14:$F$82,RAB!$C$14:$C$82,C985)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SUMIFS(RAB!$F$14:$F$82,RAB!$C$14:$C$82,C986)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SUMIFS(RAB!$F$14:$F$82,RAB!$C$14:$C$82,C987)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SUMIFS(RAB!$F$14:$F$82,RAB!$C$14:$C$82,C988)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SUMIFS(RAB!$F$14:$F$82,RAB!$C$14:$C$82,C989)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SUMIFS(RAB!$F$14:$F$82,RAB!$C$14:$C$82,C990)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SUMIFS(RAB!$F$14:$F$82,RAB!$C$14:$C$82,C991)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SUMIFS(RAB!$F$14:$F$82,RAB!$C$14:$C$82,C992)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SUMIFS(RAB!$F$14:$F$82,RAB!$C$14:$C$82,C993)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SUMIFS(RAB!$F$14:$F$82,RAB!$C$14:$C$82,C994)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SUMIFS(RAB!$F$14:$F$82,RAB!$C$14:$C$82,C995)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SUMIFS(RAB!$F$14:$F$82,RAB!$C$14:$C$82,C996)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SUMIFS(RAB!$F$14:$F$82,RAB!$C$14:$C$82,C997)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SUMIFS(RAB!$F$14:$F$82,RAB!$C$14:$C$82,C998)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SUMIFS(RAB!$F$14:$F$82,RAB!$C$14:$C$82,C999)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SUMIFS(RAB!$F$14:$F$82,RAB!$C$14:$C$82,C1000)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SUMIFS(RAB!$F$14:$F$82,RAB!$C$14:$C$82,C1001)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SUMIFS(RAB!$F$14:$F$82,RAB!$C$14:$C$82,C1002)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SUMIFS(RAB!$F$14:$F$82,RAB!$C$14:$C$82,C1003)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SUMIFS(RAB!$F$14:$F$82,RAB!$C$14:$C$82,C1004)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SUMIFS(RAB!$F$14:$F$82,RAB!$C$14:$C$82,C1005)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SUMIFS(RAB!$F$14:$F$82,RAB!$C$14:$C$82,C1006)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SUMIFS(RAB!$F$14:$F$82,RAB!$C$14:$C$82,C1007)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SUMIFS(RAB!$F$14:$F$82,RAB!$C$14:$C$82,C1008)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SUMIFS(RAB!$F$14:$F$82,RAB!$C$14:$C$82,C1009)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SUMIFS(RAB!$F$14:$F$82,RAB!$C$14:$C$82,C1010)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SUMIFS(RAB!$F$14:$F$82,RAB!$C$14:$C$82,C1011)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SUMIFS(RAB!$F$14:$F$82,RAB!$C$14:$C$82,C1012)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SUMIFS(RAB!$F$14:$F$82,RAB!$C$14:$C$82,C1013)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SUMIFS(RAB!$F$14:$F$82,RAB!$C$14:$C$82,C1014)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SUMIFS(RAB!$F$14:$F$82,RAB!$C$14:$C$82,C1015)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SUMIFS(RAB!$F$14:$F$82,RAB!$C$14:$C$82,C1016)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SUMIFS(RAB!$F$14:$F$82,RAB!$C$14:$C$82,C1017)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SUMIFS(RAB!$F$14:$F$82,RAB!$C$14:$C$82,C1018)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SUMIFS(RAB!$F$14:$F$82,RAB!$C$14:$C$82,C1019)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SUMIFS(RAB!$F$14:$F$82,RAB!$C$14:$C$82,C1020)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SUMIFS(RAB!$F$14:$F$82,RAB!$C$14:$C$82,C1021)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SUMIFS(RAB!$F$14:$F$82,RAB!$C$14:$C$82,C1022)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SUMIFS(RAB!$F$14:$F$82,RAB!$C$14:$C$82,C1023)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SUMIFS(RAB!$F$14:$F$82,RAB!$C$14:$C$82,C1024)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SUMIFS(RAB!$F$14:$F$82,RAB!$C$14:$C$82,C1025)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SUMIFS(RAB!$F$14:$F$82,RAB!$C$14:$C$82,C1026)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SUMIFS(RAB!$F$14:$F$82,RAB!$C$14:$C$82,C1027)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SUMIFS(RAB!$F$14:$F$82,RAB!$C$14:$C$82,C1028)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SUMIFS(RAB!$F$14:$F$82,RAB!$C$14:$C$82,C1029)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SUMIFS(RAB!$F$14:$F$82,RAB!$C$14:$C$82,C1030)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SUMIFS(RAB!$F$14:$F$82,RAB!$C$14:$C$82,C1031)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SUMIFS(RAB!$F$14:$F$82,RAB!$C$14:$C$82,C1032)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SUMIFS(RAB!$F$14:$F$82,RAB!$C$14:$C$82,C1033)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SUMIFS(RAB!$F$14:$F$82,RAB!$C$14:$C$82,C1034)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SUMIFS(RAB!$F$14:$F$82,RAB!$C$14:$C$82,C1035)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SUMIFS(RAB!$F$14:$F$82,RAB!$C$14:$C$82,C1036)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SUMIFS(RAB!$F$14:$F$82,RAB!$C$14:$C$82,C1037)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SUMIFS(RAB!$F$14:$F$82,RAB!$C$14:$C$82,C1038)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SUMIFS(RAB!$F$14:$F$82,RAB!$C$14:$C$82,C1039)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SUMIFS(RAB!$F$14:$F$82,RAB!$C$14:$C$82,C1040)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SUMIFS(RAB!$F$14:$F$82,RAB!$C$14:$C$82,C1041)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SUMIFS(RAB!$F$14:$F$82,RAB!$C$14:$C$82,C1042)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SUMIFS(RAB!$F$14:$F$82,RAB!$C$14:$C$82,C1043)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SUMIFS(RAB!$F$14:$F$82,RAB!$C$14:$C$82,C1044)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SUMIFS(RAB!$F$14:$F$82,RAB!$C$14:$C$82,C1045)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SUMIFS(RAB!$F$14:$F$82,RAB!$C$14:$C$82,C1046)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SUMIFS(RAB!$F$14:$F$82,RAB!$C$14:$C$82,C1047)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SUMIFS(RAB!$F$14:$F$82,RAB!$C$14:$C$82,C1048)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SUMIFS(RAB!$F$14:$F$82,RAB!$C$14:$C$82,C1049)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SUMIFS(RAB!$F$14:$F$82,RAB!$C$14:$C$82,C1050)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SUMIFS(RAB!$F$14:$F$82,RAB!$C$14:$C$82,C1051)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SUMIFS(RAB!$F$14:$F$82,RAB!$C$14:$C$82,C1052)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SUMIFS(RAB!$F$14:$F$82,RAB!$C$14:$C$82,C1053)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SUMIFS(RAB!$F$14:$F$82,RAB!$C$14:$C$82,C1054)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SUMIFS(RAB!$F$14:$F$82,RAB!$C$14:$C$82,C1055)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SUMIFS(RAB!$F$14:$F$82,RAB!$C$14:$C$82,C1056)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SUMIFS(RAB!$F$14:$F$82,RAB!$C$14:$C$82,C1057)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SUMIFS(RAB!$F$14:$F$82,RAB!$C$14:$C$82,C1058)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SUMIFS(RAB!$F$14:$F$82,RAB!$C$14:$C$82,C1059)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SUMIFS(RAB!$F$14:$F$82,RAB!$C$14:$C$82,C1060)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SUMIFS(RAB!$F$14:$F$82,RAB!$C$14:$C$82,C1061)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SUMIFS(RAB!$F$14:$F$82,RAB!$C$14:$C$82,C1062)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SUMIFS(RAB!$F$14:$F$82,RAB!$C$14:$C$82,C1063)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SUMIFS(RAB!$F$14:$F$82,RAB!$C$14:$C$82,C1064)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SUMIFS(RAB!$F$14:$F$82,RAB!$C$14:$C$82,C1065)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SUMIFS(RAB!$F$14:$F$82,RAB!$C$14:$C$82,C1066)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SUMIFS(RAB!$F$14:$F$82,RAB!$C$14:$C$82,C1067)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SUMIFS(RAB!$F$14:$F$82,RAB!$C$14:$C$82,C1068)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SUMIFS(RAB!$F$14:$F$82,RAB!$C$14:$C$82,C1069)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SUMIFS(RAB!$F$14:$F$82,RAB!$C$14:$C$82,C1070)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SUMIFS(RAB!$F$14:$F$82,RAB!$C$14:$C$82,C1071)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SUMIFS(RAB!$F$14:$F$82,RAB!$C$14:$C$82,C1072)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SUMIFS(RAB!$F$14:$F$82,RAB!$C$14:$C$82,C1073)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SUMIFS(RAB!$F$14:$F$82,RAB!$C$14:$C$82,C1074)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SUMIFS(RAB!$F$14:$F$82,RAB!$C$14:$C$82,C1075)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SUMIFS(RAB!$F$14:$F$82,RAB!$C$14:$C$82,C1076)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SUMIFS(RAB!$F$14:$F$82,RAB!$C$14:$C$82,C1077)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SUMIFS(RAB!$F$14:$F$82,RAB!$C$14:$C$82,C1078)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SUMIFS(RAB!$F$14:$F$82,RAB!$C$14:$C$82,C1079)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SUMIFS(RAB!$F$14:$F$82,RAB!$C$14:$C$82,C1080)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SUMIFS(RAB!$F$14:$F$82,RAB!$C$14:$C$82,C1081)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SUMIFS(RAB!$F$14:$F$82,RAB!$C$14:$C$82,C1082)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SUMIFS(RAB!$F$14:$F$82,RAB!$C$14:$C$82,C1083)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SUMIFS(RAB!$F$14:$F$82,RAB!$C$14:$C$82,C1084)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SUMIFS(RAB!$F$14:$F$82,RAB!$C$14:$C$82,C1085)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SUMIFS(RAB!$F$14:$F$82,RAB!$C$14:$C$82,C1086)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SUMIFS(RAB!$F$14:$F$82,RAB!$C$14:$C$82,C1087)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SUMIFS(RAB!$F$14:$F$82,RAB!$C$14:$C$82,C1088)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SUMIFS(RAB!$F$14:$F$82,RAB!$C$14:$C$82,C1089)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SUMIFS(RAB!$F$14:$F$82,RAB!$C$14:$C$82,C1090)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SUMIFS(RAB!$F$14:$F$82,RAB!$C$14:$C$82,C1091)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SUMIFS(RAB!$F$14:$F$82,RAB!$C$14:$C$82,C1092)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SUMIFS(RAB!$F$14:$F$82,RAB!$C$14:$C$82,C1093)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SUMIFS(RAB!$F$14:$F$82,RAB!$C$14:$C$82,C1094)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SUMIFS(RAB!$F$14:$F$82,RAB!$C$14:$C$82,C1095)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SUMIFS(RAB!$F$14:$F$82,RAB!$C$14:$C$82,C1096)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SUMIFS(RAB!$F$14:$F$82,RAB!$C$14:$C$82,C1097)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SUMIFS(RAB!$F$14:$F$82,RAB!$C$14:$C$82,C1098)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SUMIFS(RAB!$F$14:$F$82,RAB!$C$14:$C$82,C1099)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SUMIFS(RAB!$F$14:$F$82,RAB!$C$14:$C$82,C1100)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SUMIFS(RAB!$F$14:$F$82,RAB!$C$14:$C$82,C1101)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SUMIFS(RAB!$F$14:$F$82,RAB!$C$14:$C$82,C1102)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SUMIFS(RAB!$F$14:$F$82,RAB!$C$14:$C$82,C1103)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SUMIFS(RAB!$F$14:$F$82,RAB!$C$14:$C$82,C1104)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SUMIFS(RAB!$F$14:$F$82,RAB!$C$14:$C$82,C1105)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SUMIFS(RAB!$F$14:$F$82,RAB!$C$14:$C$82,C1106)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SUMIFS(RAB!$F$14:$F$82,RAB!$C$14:$C$82,C1107)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SUMIFS(RAB!$F$14:$F$82,RAB!$C$14:$C$82,C1108)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SUMIFS(RAB!$F$14:$F$82,RAB!$C$14:$C$82,C1109)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SUMIFS(RAB!$F$14:$F$82,RAB!$C$14:$C$82,C1110)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SUMIFS(RAB!$F$14:$F$82,RAB!$C$14:$C$82,C1111)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SUMIFS(RAB!$F$14:$F$82,RAB!$C$14:$C$82,C1112)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SUMIFS(RAB!$F$14:$F$82,RAB!$C$14:$C$82,C1113)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SUMIFS(RAB!$F$14:$F$82,RAB!$C$14:$C$82,C1114)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SUMIFS(RAB!$F$14:$F$82,RAB!$C$14:$C$82,C1115)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SUMIFS(RAB!$F$14:$F$82,RAB!$C$14:$C$82,C1116)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SUMIFS(RAB!$F$14:$F$82,RAB!$C$14:$C$82,C1117)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SUMIFS(RAB!$F$14:$F$82,RAB!$C$14:$C$82,C1118)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SUMIFS(RAB!$F$14:$F$82,RAB!$C$14:$C$82,C1119)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SUMIFS(RAB!$F$14:$F$82,RAB!$C$14:$C$82,C1120)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SUMIFS(RAB!$F$14:$F$82,RAB!$C$14:$C$82,C1121)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SUMIFS(RAB!$F$14:$F$82,RAB!$C$14:$C$82,C1122)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SUMIFS(RAB!$F$14:$F$82,RAB!$C$14:$C$82,C1123)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SUMIFS(RAB!$F$14:$F$82,RAB!$C$14:$C$82,C1124)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SUMIFS(RAB!$F$14:$F$82,RAB!$C$14:$C$82,C1125)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SUMIFS(RAB!$F$14:$F$82,RAB!$C$14:$C$82,C1126)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SUMIFS(RAB!$F$14:$F$82,RAB!$C$14:$C$82,C1127)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SUMIFS(RAB!$F$14:$F$82,RAB!$C$14:$C$82,C1128)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SUMIFS(RAB!$F$14:$F$82,RAB!$C$14:$C$82,C1129)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SUMIFS(RAB!$F$14:$F$82,RAB!$C$14:$C$82,C1130)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SUMIFS(RAB!$F$14:$F$82,RAB!$C$14:$C$82,C1131)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SUMIFS(RAB!$F$14:$F$82,RAB!$C$14:$C$82,C1132)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SUMIFS(RAB!$F$14:$F$82,RAB!$C$14:$C$82,C1133)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SUMIFS(RAB!$F$14:$F$82,RAB!$C$14:$C$82,C1134)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SUMIFS(RAB!$F$14:$F$82,RAB!$C$14:$C$82,C1135)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SUMIFS(RAB!$F$14:$F$82,RAB!$C$14:$C$82,C1136)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SUMIFS(RAB!$F$14:$F$82,RAB!$C$14:$C$82,C1137)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SUMIFS(RAB!$F$14:$F$82,RAB!$C$14:$C$82,C1138)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SUMIFS(RAB!$F$14:$F$82,RAB!$C$14:$C$82,C1139)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SUMIFS(RAB!$F$14:$F$82,RAB!$C$14:$C$82,C1140)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SUMIFS(RAB!$F$14:$F$82,RAB!$C$14:$C$82,C1141)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SUMIFS(RAB!$F$14:$F$82,RAB!$C$14:$C$82,C1142)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SUMIFS(RAB!$F$14:$F$82,RAB!$C$14:$C$82,C1143)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SUMIFS(RAB!$F$14:$F$82,RAB!$C$14:$C$82,C1144)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SUMIFS(RAB!$F$14:$F$82,RAB!$C$14:$C$82,C1145)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SUMIFS(RAB!$F$14:$F$82,RAB!$C$14:$C$82,C1146)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SUMIFS(RAB!$F$14:$F$82,RAB!$C$14:$C$82,C1147)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SUMIFS(RAB!$F$14:$F$82,RAB!$C$14:$C$82,C1148)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SUMIFS(RAB!$F$14:$F$82,RAB!$C$14:$C$82,C1149)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SUMIFS(RAB!$F$14:$F$82,RAB!$C$14:$C$82,C1150)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SUMIFS(RAB!$F$14:$F$82,RAB!$C$14:$C$82,C1151)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SUMIFS(RAB!$F$14:$F$82,RAB!$C$14:$C$82,C1152)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SUMIFS(RAB!$F$14:$F$82,RAB!$C$14:$C$82,C1153)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SUMIFS(RAB!$F$14:$F$82,RAB!$C$14:$C$82,C1154)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SUMIFS(RAB!$F$14:$F$82,RAB!$C$14:$C$82,C1155)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SUMIFS(RAB!$F$14:$F$82,RAB!$C$14:$C$82,C1156)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SUMIFS(RAB!$F$14:$F$82,RAB!$C$14:$C$82,C1157)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SUMIFS(RAB!$F$14:$F$82,RAB!$C$14:$C$82,C1158)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SUMIFS(RAB!$F$14:$F$82,RAB!$C$14:$C$82,C1159)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SUMIFS(RAB!$F$14:$F$82,RAB!$C$14:$C$82,C1160)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SUMIFS(RAB!$F$14:$F$82,RAB!$C$14:$C$82,C1161)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SUMIFS(RAB!$F$14:$F$82,RAB!$C$14:$C$82,C1162)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SUMIFS(RAB!$F$14:$F$82,RAB!$C$14:$C$82,C1163)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SUMIFS(RAB!$F$14:$F$82,RAB!$C$14:$C$82,C1164)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SUMIFS(RAB!$F$14:$F$82,RAB!$C$14:$C$82,C1165)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SUMIFS(RAB!$F$14:$F$82,RAB!$C$14:$C$82,C1166)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SUMIFS(RAB!$F$14:$F$82,RAB!$C$14:$C$82,C1167)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SUMIFS(RAB!$F$14:$F$82,RAB!$C$14:$C$82,C1168)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SUMIFS(RAB!$F$14:$F$82,RAB!$C$14:$C$82,C1169)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SUMIFS(RAB!$F$14:$F$82,RAB!$C$14:$C$82,C1170)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SUMIFS(RAB!$F$14:$F$82,RAB!$C$14:$C$82,C1171)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SUMIFS(RAB!$F$14:$F$82,RAB!$C$14:$C$82,C1172)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SUMIFS(RAB!$F$14:$F$82,RAB!$C$14:$C$82,C1173)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SUMIFS(RAB!$F$14:$F$82,RAB!$C$14:$C$82,C1174)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SUMIFS(RAB!$F$14:$F$82,RAB!$C$14:$C$82,C1175)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SUMIFS(RAB!$F$14:$F$82,RAB!$C$14:$C$82,C1176)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SUMIFS(RAB!$F$14:$F$82,RAB!$C$14:$C$82,C1177)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SUMIFS(RAB!$F$14:$F$82,RAB!$C$14:$C$82,C1178)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SUMIFS(RAB!$F$14:$F$82,RAB!$C$14:$C$82,C1179)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SUMIFS(RAB!$F$14:$F$82,RAB!$C$14:$C$82,C1180)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SUMIFS(RAB!$F$14:$F$82,RAB!$C$14:$C$82,C1181)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SUMIFS(RAB!$F$14:$F$82,RAB!$C$14:$C$82,C1182)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SUMIFS(RAB!$F$14:$F$82,RAB!$C$14:$C$82,C1183)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SUMIFS(RAB!$F$14:$F$82,RAB!$C$14:$C$82,C1184)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SUMIFS(RAB!$F$14:$F$82,RAB!$C$14:$C$82,C1185)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SUMIFS(RAB!$F$14:$F$82,RAB!$C$14:$C$82,C1186)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SUMIFS(RAB!$F$14:$F$82,RAB!$C$14:$C$82,C1187)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SUMIFS(RAB!$F$14:$F$82,RAB!$C$14:$C$82,C1188)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SUMIFS(RAB!$F$14:$F$82,RAB!$C$14:$C$82,C1189)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SUMIFS(RAB!$F$14:$F$82,RAB!$C$14:$C$82,C1190)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SUMIFS(RAB!$F$14:$F$82,RAB!$C$14:$C$82,C1191)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SUMIFS(RAB!$F$14:$F$82,RAB!$C$14:$C$82,C1192)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SUMIFS(RAB!$F$14:$F$82,RAB!$C$14:$C$82,C1193)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SUMIFS(RAB!$F$14:$F$82,RAB!$C$14:$C$82,C1194)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SUMIFS(RAB!$F$14:$F$82,RAB!$C$14:$C$82,C1195)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SUMIFS(RAB!$F$14:$F$82,RAB!$C$14:$C$82,C1196)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SUMIFS(RAB!$F$14:$F$82,RAB!$C$14:$C$82,C1197)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SUMIFS(RAB!$F$14:$F$82,RAB!$C$14:$C$82,C1198)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SUMIFS(RAB!$F$14:$F$82,RAB!$C$14:$C$82,C1199)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SUMIFS(RAB!$F$14:$F$82,RAB!$C$14:$C$82,C1200)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SUMIFS(RAB!$F$14:$F$82,RAB!$C$14:$C$82,C1201)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SUMIFS(RAB!$F$14:$F$82,RAB!$C$14:$C$82,C1202)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SUMIFS(RAB!$F$14:$F$82,RAB!$C$14:$C$82,C1203)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SUMIFS(RAB!$F$14:$F$82,RAB!$C$14:$C$82,C1204)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SUMIFS(RAB!$F$14:$F$82,RAB!$C$14:$C$82,C1205)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SUMIFS(RAB!$F$14:$F$82,RAB!$C$14:$C$82,C1206)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SUMIFS(RAB!$F$14:$F$82,RAB!$C$14:$C$82,C1207)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SUMIFS(RAB!$F$14:$F$82,RAB!$C$14:$C$82,C1208)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SUMIFS(RAB!$F$14:$F$82,RAB!$C$14:$C$82,C1209)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SUMIFS(RAB!$F$14:$F$82,RAB!$C$14:$C$82,C1210)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SUMIFS(RAB!$F$14:$F$82,RAB!$C$14:$C$82,C1211)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SUMIFS(RAB!$F$14:$F$82,RAB!$C$14:$C$82,C1212)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SUMIFS(RAB!$F$14:$F$82,RAB!$C$14:$C$82,C1213)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SUMIFS(RAB!$F$14:$F$82,RAB!$C$14:$C$82,C1214)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SUMIFS(RAB!$F$14:$F$82,RAB!$C$14:$C$82,C1215)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SUMIFS(RAB!$F$14:$F$82,RAB!$C$14:$C$82,C1216)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SUMIFS(RAB!$F$14:$F$82,RAB!$C$14:$C$82,C1217)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SUMIFS(RAB!$F$14:$F$82,RAB!$C$14:$C$82,C1218)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SUMIFS(RAB!$F$14:$F$82,RAB!$C$14:$C$82,C1219)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SUMIFS(RAB!$F$14:$F$82,RAB!$C$14:$C$82,C1220)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SUMIFS(RAB!$F$14:$F$82,RAB!$C$14:$C$82,C1221)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SUMIFS(RAB!$F$14:$F$82,RAB!$C$14:$C$82,C1222)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SUMIFS(RAB!$F$14:$F$82,RAB!$C$14:$C$82,C1223)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SUMIFS(RAB!$F$14:$F$82,RAB!$C$14:$C$82,C1224)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SUMIFS(RAB!$F$14:$F$82,RAB!$C$14:$C$82,C1225)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SUMIFS(RAB!$F$14:$F$82,RAB!$C$14:$C$82,C1226)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SUMIFS(RAB!$F$14:$F$82,RAB!$C$14:$C$82,C1227)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SUMIFS(RAB!$F$14:$F$82,RAB!$C$14:$C$82,C1228)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SUMIFS(RAB!$F$14:$F$82,RAB!$C$14:$C$82,C1229)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SUMIFS(RAB!$F$14:$F$82,RAB!$C$14:$C$82,C1230)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SUMIFS(RAB!$F$14:$F$82,RAB!$C$14:$C$82,C1231)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SUMIFS(RAB!$F$14:$F$82,RAB!$C$14:$C$82,C1232)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SUMIFS(RAB!$F$14:$F$82,RAB!$C$14:$C$82,C1233)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SUMIFS(RAB!$F$14:$F$82,RAB!$C$14:$C$82,C1234)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SUMIFS(RAB!$F$14:$F$82,RAB!$C$14:$C$82,C1235)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SUMIFS(RAB!$F$14:$F$82,RAB!$C$14:$C$82,C1236)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SUMIFS(RAB!$F$14:$F$82,RAB!$C$14:$C$82,C1237)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SUMIFS(RAB!$F$14:$F$82,RAB!$C$14:$C$82,C1238)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SUMIFS(RAB!$F$14:$F$82,RAB!$C$14:$C$82,C1239)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SUMIFS(RAB!$F$14:$F$82,RAB!$C$14:$C$82,C1240)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SUMIFS(RAB!$F$14:$F$82,RAB!$C$14:$C$82,C1241)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SUMIFS(RAB!$F$14:$F$82,RAB!$C$14:$C$82,C1242)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SUMIFS(RAB!$F$14:$F$82,RAB!$C$14:$C$82,C1243)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SUMIFS(RAB!$F$14:$F$82,RAB!$C$14:$C$82,C1244)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SUMIFS(RAB!$F$14:$F$82,RAB!$C$14:$C$82,C1245)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SUMIFS(RAB!$F$14:$F$82,RAB!$C$14:$C$82,C1246)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SUMIFS(RAB!$F$14:$F$82,RAB!$C$14:$C$82,C1247)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SUMIFS(RAB!$F$14:$F$82,RAB!$C$14:$C$82,C1248)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SUMIFS(RAB!$F$14:$F$82,RAB!$C$14:$C$82,C1249)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SUMIFS(RAB!$F$14:$F$82,RAB!$C$14:$C$82,C1250)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SUMIFS(RAB!$F$14:$F$82,RAB!$C$14:$C$82,C1251)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SUMIFS(RAB!$F$14:$F$82,RAB!$C$14:$C$82,C1252)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SUMIFS(RAB!$F$14:$F$82,RAB!$C$14:$C$82,C1253)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SUMIFS(RAB!$F$14:$F$82,RAB!$C$14:$C$82,C1254)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SUMIFS(RAB!$F$14:$F$82,RAB!$C$14:$C$82,C1255)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SUMIFS(RAB!$F$14:$F$82,RAB!$C$14:$C$82,C1256)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SUMIFS(RAB!$F$14:$F$82,RAB!$C$14:$C$82,C1257)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SUMIFS(RAB!$F$14:$F$82,RAB!$C$14:$C$82,C1258)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SUMIFS(RAB!$F$14:$F$82,RAB!$C$14:$C$82,C1259)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SUMIFS(RAB!$F$14:$F$82,RAB!$C$14:$C$82,C1260)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SUMIFS(RAB!$F$14:$F$82,RAB!$C$14:$C$82,C1261)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SUMIFS(RAB!$F$14:$F$82,RAB!$C$14:$C$82,C1262)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SUMIFS(RAB!$F$14:$F$82,RAB!$C$14:$C$82,C1263)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SUMIFS(RAB!$F$14:$F$82,RAB!$C$14:$C$82,C1264)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SUMIFS(RAB!$F$14:$F$82,RAB!$C$14:$C$82,C1265)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SUMIFS(RAB!$F$14:$F$82,RAB!$C$14:$C$82,C1266)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SUMIFS(RAB!$F$14:$F$82,RAB!$C$14:$C$82,C1267)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SUMIFS(RAB!$F$14:$F$82,RAB!$C$14:$C$82,C1268)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SUMIFS(RAB!$F$14:$F$82,RAB!$C$14:$C$82,C1269)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SUMIFS(RAB!$F$14:$F$82,RAB!$C$14:$C$82,C1270)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SUMIFS(RAB!$F$14:$F$82,RAB!$C$14:$C$82,C1271)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SUMIFS(RAB!$F$14:$F$82,RAB!$C$14:$C$82,C1272)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SUMIFS(RAB!$F$14:$F$82,RAB!$C$14:$C$82,C1273)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SUMIFS(RAB!$F$14:$F$82,RAB!$C$14:$C$82,C1274)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SUMIFS(RAB!$F$14:$F$82,RAB!$C$14:$C$82,C1275)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SUMIFS(RAB!$F$14:$F$82,RAB!$C$14:$C$82,C1276)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SUMIFS(RAB!$F$14:$F$82,RAB!$C$14:$C$82,C1277)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SUMIFS(RAB!$F$14:$F$82,RAB!$C$14:$C$82,C1278)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SUMIFS(RAB!$F$14:$F$82,RAB!$C$14:$C$82,C1279)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SUMIFS(RAB!$F$14:$F$82,RAB!$C$14:$C$82,C1280)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SUMIFS(RAB!$F$14:$F$82,RAB!$C$14:$C$82,C1281)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SUMIFS(RAB!$F$14:$F$82,RAB!$C$14:$C$82,C1282)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SUMIFS(RAB!$F$14:$F$82,RAB!$C$14:$C$82,C1283)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SUMIFS(RAB!$F$14:$F$82,RAB!$C$14:$C$82,C1284)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SUMIFS(RAB!$F$14:$F$82,RAB!$C$14:$C$82,C1285)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SUMIFS(RAB!$F$14:$F$82,RAB!$C$14:$C$82,C1286)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SUMIFS(RAB!$F$14:$F$82,RAB!$C$14:$C$82,C1287)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SUMIFS(RAB!$F$14:$F$82,RAB!$C$14:$C$82,C1288)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SUMIFS(RAB!$F$14:$F$82,RAB!$C$14:$C$82,C1289)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SUMIFS(RAB!$F$14:$F$82,RAB!$C$14:$C$82,C1290)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SUMIFS(RAB!$F$14:$F$82,RAB!$C$14:$C$82,C1291)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SUMIFS(RAB!$F$14:$F$82,RAB!$C$14:$C$82,C1292)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SUMIFS(RAB!$F$14:$F$82,RAB!$C$14:$C$82,C1293)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SUMIFS(RAB!$F$14:$F$82,RAB!$C$14:$C$82,C1294)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SUMIFS(RAB!$F$14:$F$82,RAB!$C$14:$C$82,C1295)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SUMIFS(RAB!$F$14:$F$82,RAB!$C$14:$C$82,C1296)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SUMIFS(RAB!$F$14:$F$82,RAB!$C$14:$C$82,C1297)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SUMIFS(RAB!$F$14:$F$82,RAB!$C$14:$C$82,C1298)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SUMIFS(RAB!$F$14:$F$82,RAB!$C$14:$C$82,C1299)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SUMIFS(RAB!$F$14:$F$82,RAB!$C$14:$C$82,C1300)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SUMIFS(RAB!$F$14:$F$82,RAB!$C$14:$C$82,C1301)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SUMIFS(RAB!$F$14:$F$82,RAB!$C$14:$C$82,C1302)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SUMIFS(RAB!$F$14:$F$82,RAB!$C$14:$C$82,C1303)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SUMIFS(RAB!$F$14:$F$82,RAB!$C$14:$C$82,C1304)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SUMIFS(RAB!$F$14:$F$82,RAB!$C$14:$C$82,C1305)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SUMIFS(RAB!$F$14:$F$82,RAB!$C$14:$C$82,C1306)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SUMIFS(RAB!$F$14:$F$82,RAB!$C$14:$C$82,C1307)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SUMIFS(RAB!$F$14:$F$82,RAB!$C$14:$C$82,C1308)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SUMIFS(RAB!$F$14:$F$82,RAB!$C$14:$C$82,C1309)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SUMIFS(RAB!$F$14:$F$82,RAB!$C$14:$C$82,C1310)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SUMIFS(RAB!$F$14:$F$82,RAB!$C$14:$C$82,C1311)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SUMIFS(RAB!$F$14:$F$82,RAB!$C$14:$C$82,C1312)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SUMIFS(RAB!$F$14:$F$82,RAB!$C$14:$C$82,C1313)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SUMIFS(RAB!$F$14:$F$82,RAB!$C$14:$C$82,C1314)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SUMIFS(RAB!$F$14:$F$82,RAB!$C$14:$C$82,C1315)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SUMIFS(RAB!$F$14:$F$82,RAB!$C$14:$C$82,C1316)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SUMIFS(RAB!$F$14:$F$82,RAB!$C$14:$C$82,C1317)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SUMIFS(RAB!$F$14:$F$82,RAB!$C$14:$C$82,C1318)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SUMIFS(RAB!$F$14:$F$82,RAB!$C$14:$C$82,C1319)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SUMIFS(RAB!$F$14:$F$82,RAB!$C$14:$C$82,C1320)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1127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3" t="str">
        <f>RAB!G6</f>
        <v>MUSHOLA MIFTAHUL JANNAH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DEMPET,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7" t="s">
        <v>41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46</v>
      </c>
      <c r="I12" s="544" t="s">
        <v>5</v>
      </c>
      <c r="J12" s="536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4" t="s">
        <v>1008</v>
      </c>
      <c r="D38" s="554"/>
      <c r="E38" s="554"/>
      <c r="F38" s="554"/>
      <c r="G38" s="77" t="s">
        <v>9</v>
      </c>
      <c r="H38" s="55">
        <f ca="1">SUM(H14:H37)</f>
        <v>0</v>
      </c>
      <c r="I38" s="55">
        <f ca="1">SUM(I14:I37)</f>
        <v>12565200</v>
      </c>
      <c r="J38" s="55">
        <f ca="1">SUM(J14:J37)</f>
        <v>0</v>
      </c>
      <c r="K38" s="55">
        <f ca="1">SUM(K14:K37)</f>
        <v>12565200</v>
      </c>
      <c r="L38" s="44"/>
      <c r="R38" s="99"/>
      <c r="S38" s="99"/>
      <c r="T38" s="99"/>
    </row>
    <row r="39" spans="1:20" s="36" customFormat="1">
      <c r="A39" s="30"/>
      <c r="B39" s="56"/>
      <c r="C39" s="555" t="s">
        <v>462</v>
      </c>
      <c r="D39" s="555"/>
      <c r="E39" s="555"/>
      <c r="F39" s="555"/>
      <c r="G39" s="59" t="s">
        <v>9</v>
      </c>
      <c r="H39" s="60">
        <f ca="1">H38*0.1</f>
        <v>0</v>
      </c>
      <c r="I39" s="60">
        <f ca="1">I38*0.1</f>
        <v>1256520</v>
      </c>
      <c r="J39" s="60">
        <f ca="1">J38*0.1</f>
        <v>0</v>
      </c>
      <c r="K39" s="60">
        <f ca="1">K38*0.1</f>
        <v>1256520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6" t="s">
        <v>463</v>
      </c>
      <c r="D40" s="546"/>
      <c r="E40" s="546"/>
      <c r="F40" s="546"/>
      <c r="G40" s="61" t="s">
        <v>9</v>
      </c>
      <c r="H40" s="78">
        <f ca="1">SUM(H38:H39)</f>
        <v>0</v>
      </c>
      <c r="I40" s="78">
        <f ca="1">SUM(I38:I39)</f>
        <v>13821720</v>
      </c>
      <c r="J40" s="61">
        <f ca="1">SUM(J38:J39)</f>
        <v>0</v>
      </c>
      <c r="K40" s="61">
        <f ca="1">SUM(K38:K39)</f>
        <v>13821720</v>
      </c>
      <c r="L40" s="44"/>
      <c r="R40" s="99"/>
      <c r="S40" s="99"/>
      <c r="T40" s="99"/>
    </row>
    <row r="41" spans="1:20" s="36" customFormat="1">
      <c r="A41" s="30"/>
      <c r="B41" s="547" t="e">
        <f ca="1">"Terbilang : ( "&amp;L42&amp;" Rupiah )"</f>
        <v>#NAME?</v>
      </c>
      <c r="C41" s="548"/>
      <c r="D41" s="548"/>
      <c r="E41" s="548"/>
      <c r="F41" s="548"/>
      <c r="G41" s="548"/>
      <c r="H41" s="548"/>
      <c r="I41" s="548"/>
      <c r="J41" s="548"/>
      <c r="K41" s="549"/>
      <c r="L41" s="44"/>
      <c r="R41" s="58"/>
      <c r="S41" s="58"/>
      <c r="T41" s="58"/>
    </row>
    <row r="42" spans="1:20" s="36" customFormat="1">
      <c r="A42" s="30"/>
      <c r="B42" s="550"/>
      <c r="C42" s="551"/>
      <c r="D42" s="551"/>
      <c r="E42" s="551"/>
      <c r="F42" s="551"/>
      <c r="G42" s="551"/>
      <c r="H42" s="551"/>
      <c r="I42" s="551"/>
      <c r="J42" s="551"/>
      <c r="K42" s="55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SUMIFS(RAB!$F$14:$F$82,RAB!$C$14:$C$82,'REKAP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SUMIFS(RAB!$F$14:$F$82,RAB!$C$14:$C$82,'REKAP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SUMIFS(RAB!$F$14:$F$82,RAB!$C$14:$C$82,'REKAP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SUMIFS(RAB!$F$14:$F$82,RAB!$C$14:$C$82,'REKAP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SUMIFS(RAB!$F$14:$F$82,RAB!$C$14:$C$82,'REKAP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SUMIFS(RAB!$F$14:$F$82,RAB!$C$14:$C$82,'REKAP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SUMIFS(RAB!$F$14:$F$82,RAB!$C$14:$C$82,'REKAP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SUMIFS(RAB!$F$14:$F$82,RAB!$C$14:$C$82,'REKAP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SUMIFS(RAB!$F$14:$F$82,RAB!$C$14:$C$82,'REKAP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SUMIFS(RAB!$F$14:$F$82,RAB!$C$14:$C$82,'REKAP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SUMIFS(RAB!$F$14:$F$82,RAB!$C$14:$C$82,'REKAP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SUMIFS(RAB!$F$14:$F$82,RAB!$C$14:$C$82,'REKAP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SUMIFS(RAB!$F$14:$F$82,RAB!$C$14:$C$82,'REKAP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SUMIFS(RAB!$F$14:$F$82,RAB!$C$14:$C$82,'REKAP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SUMIFS(RAB!$F$14:$F$82,RAB!$C$14:$C$82,'REKAP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SUMIFS(RAB!$F$14:$F$82,RAB!$C$14:$C$82,'REKAP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SUMIFS(RAB!$F$14:$F$82,RAB!$C$14:$C$82,'REKAP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SUMIFS(RAB!$F$14:$F$82,RAB!$C$14:$C$82,'REKAP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SUMIFS(RAB!$F$14:$F$82,RAB!$C$14:$C$82,'REKAP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SUMIFS(RAB!$F$14:$F$82,RAB!$C$14:$C$82,'REKAP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1034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3" t="str">
        <f>RAB!G6</f>
        <v>MUSHOLA MIFTAHUL JANNAH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DEMPET,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7" t="s">
        <v>41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46</v>
      </c>
      <c r="I12" s="544" t="s">
        <v>5</v>
      </c>
      <c r="J12" s="536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100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5330000</v>
      </c>
      <c r="I18" s="42">
        <f t="shared" ca="1" si="2"/>
        <v>0</v>
      </c>
      <c r="J18" s="42">
        <f t="shared" ca="1" si="3"/>
        <v>0</v>
      </c>
      <c r="K18" s="43">
        <f t="shared" ca="1" si="0"/>
        <v>5330000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4" t="s">
        <v>1008</v>
      </c>
      <c r="D168" s="554"/>
      <c r="E168" s="554"/>
      <c r="F168" s="554"/>
      <c r="G168" s="77" t="s">
        <v>9</v>
      </c>
      <c r="H168" s="55">
        <f ca="1">SUM(H14:H167)</f>
        <v>7340750</v>
      </c>
      <c r="I168" s="55">
        <f ca="1">SUM(I14:I167)</f>
        <v>0</v>
      </c>
      <c r="J168" s="55">
        <f ca="1">SUM(J14:J167)</f>
        <v>0</v>
      </c>
      <c r="K168" s="55">
        <f ca="1">SUM(K14:K167)</f>
        <v>7340750</v>
      </c>
      <c r="L168" s="44"/>
      <c r="R168" s="99"/>
      <c r="S168" s="99"/>
      <c r="T168" s="99"/>
    </row>
    <row r="169" spans="1:20" s="36" customFormat="1">
      <c r="A169" s="30"/>
      <c r="B169" s="56"/>
      <c r="C169" s="555" t="s">
        <v>462</v>
      </c>
      <c r="D169" s="555"/>
      <c r="E169" s="555"/>
      <c r="F169" s="555"/>
      <c r="G169" s="59" t="s">
        <v>9</v>
      </c>
      <c r="H169" s="60">
        <f ca="1">H168*0.1</f>
        <v>734075</v>
      </c>
      <c r="I169" s="60">
        <f ca="1">I168*0.1</f>
        <v>0</v>
      </c>
      <c r="J169" s="60">
        <f ca="1">J168*0.1</f>
        <v>0</v>
      </c>
      <c r="K169" s="60">
        <f ca="1">K168*0.1</f>
        <v>734075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6" t="s">
        <v>463</v>
      </c>
      <c r="D170" s="546"/>
      <c r="E170" s="546"/>
      <c r="F170" s="546"/>
      <c r="G170" s="61" t="s">
        <v>9</v>
      </c>
      <c r="H170" s="78">
        <f ca="1">SUM(H168:H169)</f>
        <v>8074825</v>
      </c>
      <c r="I170" s="78">
        <f ca="1">SUM(I168:I169)</f>
        <v>0</v>
      </c>
      <c r="J170" s="61">
        <f ca="1">SUM(J168:J169)</f>
        <v>0</v>
      </c>
      <c r="K170" s="61">
        <f ca="1">SUM(K168:K169)</f>
        <v>8074825</v>
      </c>
      <c r="L170" s="44"/>
      <c r="R170" s="99"/>
      <c r="S170" s="99"/>
      <c r="T170" s="99"/>
    </row>
    <row r="171" spans="1:20" s="36" customFormat="1">
      <c r="A171" s="30"/>
      <c r="B171" s="547" t="e">
        <f ca="1">"Terbilang : ( "&amp;L172&amp;" Rupiah )"</f>
        <v>#NAME?</v>
      </c>
      <c r="C171" s="548"/>
      <c r="D171" s="548"/>
      <c r="E171" s="548"/>
      <c r="F171" s="548"/>
      <c r="G171" s="548"/>
      <c r="H171" s="548"/>
      <c r="I171" s="548"/>
      <c r="J171" s="548"/>
      <c r="K171" s="549"/>
      <c r="L171" s="44"/>
      <c r="R171" s="58"/>
      <c r="S171" s="58"/>
      <c r="T171" s="58"/>
    </row>
    <row r="172" spans="1:20" s="36" customFormat="1">
      <c r="A172" s="30"/>
      <c r="B172" s="550"/>
      <c r="C172" s="551"/>
      <c r="D172" s="551"/>
      <c r="E172" s="551"/>
      <c r="F172" s="551"/>
      <c r="G172" s="551"/>
      <c r="H172" s="551"/>
      <c r="I172" s="551"/>
      <c r="J172" s="551"/>
      <c r="K172" s="55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SUMIFS(RAB!$F$14:$F$82,RAB!$C$14:$C$82,C224)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SUMIFS(RAB!$F$14:$F$82,RAB!$C$14:$C$82,C225)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SUMIFS(RAB!$F$14:$F$82,RAB!$C$14:$C$82,C226)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SUMIFS(RAB!$F$14:$F$82,RAB!$C$14:$C$82,C227)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SUMIFS(RAB!$F$14:$F$82,RAB!$C$14:$C$82,C228)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SUMIFS(RAB!$F$14:$F$82,RAB!$C$14:$C$82,C229)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SUMIFS(RAB!$F$14:$F$82,RAB!$C$14:$C$82,C230)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SUMIFS(RAB!$F$14:$F$82,RAB!$C$14:$C$82,C231)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SUMIFS(RAB!$F$14:$F$82,RAB!$C$14:$C$82,C232)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SUMIFS(RAB!$F$14:$F$82,RAB!$C$14:$C$82,C233)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SUMIFS(RAB!$F$14:$F$82,RAB!$C$14:$C$82,C234)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SUMIFS(RAB!$F$14:$F$82,RAB!$C$14:$C$82,C235)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SUMIFS(RAB!$F$14:$F$82,RAB!$C$14:$C$82,C236)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SUMIFS(RAB!$F$14:$F$82,RAB!$C$14:$C$82,C237)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SUMIFS(RAB!$F$14:$F$82,RAB!$C$14:$C$82,C238)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SUMIFS(RAB!$F$14:$F$82,RAB!$C$14:$C$82,C239)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SUMIFS(RAB!$F$14:$F$82,RAB!$C$14:$C$82,C240)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SUMIFS(RAB!$F$14:$F$82,RAB!$C$14:$C$82,C241)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SUMIFS(RAB!$F$14:$F$82,RAB!$C$14:$C$82,C242)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SUMIFS(RAB!$F$14:$F$82,RAB!$C$14:$C$82,C243)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SUMIFS(RAB!$F$14:$F$82,RAB!$C$14:$C$82,C244)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SUMIFS(RAB!$F$14:$F$82,RAB!$C$14:$C$82,C245)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SUMIFS(RAB!$F$14:$F$82,RAB!$C$14:$C$82,C246)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SUMIFS(RAB!$F$14:$F$82,RAB!$C$14:$C$82,C247)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SUMIFS(RAB!$F$14:$F$82,RAB!$C$14:$C$82,C248)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SUMIFS(RAB!$F$14:$F$82,RAB!$C$14:$C$82,C249)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SUMIFS(RAB!$F$14:$F$82,RAB!$C$14:$C$82,C250)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SUMIFS(RAB!$F$14:$F$82,RAB!$C$14:$C$82,C251)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SUMIFS(RAB!$F$14:$F$82,RAB!$C$14:$C$82,C252)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SUMIFS(RAB!$F$14:$F$82,RAB!$C$14:$C$82,C253)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SUMIFS(RAB!$F$14:$F$82,RAB!$C$14:$C$82,C254)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SUMIFS(RAB!$F$14:$F$82,RAB!$C$14:$C$82,C255)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SUMIFS(RAB!$F$14:$F$82,RAB!$C$14:$C$82,C256)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SUMIFS(RAB!$F$14:$F$82,RAB!$C$14:$C$82,C257)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SUMIFS(RAB!$F$14:$F$82,RAB!$C$14:$C$82,C258)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SUMIFS(RAB!$F$14:$F$82,RAB!$C$14:$C$82,C259)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SUMIFS(RAB!$F$14:$F$82,RAB!$C$14:$C$82,C260)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SUMIFS(RAB!$F$14:$F$82,RAB!$C$14:$C$82,C261)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SUMIFS(RAB!$F$14:$F$82,RAB!$C$14:$C$82,C262)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SUMIFS(RAB!$F$14:$F$82,RAB!$C$14:$C$82,C263)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SUMIFS(RAB!$F$14:$F$82,RAB!$C$14:$C$82,C264)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SUMIFS(RAB!$F$14:$F$82,RAB!$C$14:$C$82,C265)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SUMIFS(RAB!$F$14:$F$82,RAB!$C$14:$C$82,C266)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SUMIFS(RAB!$F$14:$F$82,RAB!$C$14:$C$82,C267)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SUMIFS(RAB!$F$14:$F$82,RAB!$C$14:$C$82,C268)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SUMIFS(RAB!$F$14:$F$82,RAB!$C$14:$C$82,C269)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SUMIFS(RAB!$F$14:$F$82,RAB!$C$14:$C$82,C270)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SUMIFS(RAB!$F$14:$F$82,RAB!$C$14:$C$82,C271)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SUMIFS(RAB!$F$14:$F$82,RAB!$C$14:$C$82,C272)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SUMIFS(RAB!$F$14:$F$82,RAB!$C$14:$C$82,C273)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SUMIFS(RAB!$F$14:$F$82,RAB!$C$14:$C$82,C274)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SUMIFS(RAB!$F$14:$F$82,RAB!$C$14:$C$82,C275)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SUMIFS(RAB!$F$14:$F$82,RAB!$C$14:$C$82,C276)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SUMIFS(RAB!$F$14:$F$82,RAB!$C$14:$C$82,C277)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SUMIFS(RAB!$F$14:$F$82,RAB!$C$14:$C$82,C278)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SUMIFS(RAB!$F$14:$F$82,RAB!$C$14:$C$82,C279)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SUMIFS(RAB!$F$14:$F$82,RAB!$C$14:$C$82,C280)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SUMIFS(RAB!$F$14:$F$82,RAB!$C$14:$C$82,C281)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SUMIFS(RAB!$F$14:$F$82,RAB!$C$14:$C$82,C282)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SUMIFS(RAB!$F$14:$F$82,RAB!$C$14:$C$82,C283)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SUMIFS(RAB!$F$14:$F$82,RAB!$C$14:$C$82,C284)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SUMIFS(RAB!$F$14:$F$82,RAB!$C$14:$C$82,C285)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SUMIFS(RAB!$F$14:$F$82,RAB!$C$14:$C$82,C286)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SUMIFS(RAB!$F$14:$F$82,RAB!$C$14:$C$82,C287)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SUMIFS(RAB!$F$14:$F$82,RAB!$C$14:$C$82,C288)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SUMIFS(RAB!$F$14:$F$82,RAB!$C$14:$C$82,C289)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SUMIFS(RAB!$F$14:$F$82,RAB!$C$14:$C$82,C290)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SUMIFS(RAB!$F$14:$F$82,RAB!$C$14:$C$82,C291)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SUMIFS(RAB!$F$14:$F$82,RAB!$C$14:$C$82,C292)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SUMIFS(RAB!$F$14:$F$82,RAB!$C$14:$C$82,C293)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SUMIFS(RAB!$F$14:$F$82,RAB!$C$14:$C$82,C294)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SUMIFS(RAB!$F$14:$F$82,RAB!$C$14:$C$82,C295)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SUMIFS(RAB!$F$14:$F$82,RAB!$C$14:$C$82,C296)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SUMIFS(RAB!$F$14:$F$82,RAB!$C$14:$C$82,C297)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SUMIFS(RAB!$F$14:$F$82,RAB!$C$14:$C$82,C298)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SUMIFS(RAB!$F$14:$F$82,RAB!$C$14:$C$82,C299)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SUMIFS(RAB!$F$14:$F$82,RAB!$C$14:$C$82,C300)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SUMIFS(RAB!$F$14:$F$82,RAB!$C$14:$C$82,C301)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SUMIFS(RAB!$F$14:$F$82,RAB!$C$14:$C$82,C302)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SUMIFS(RAB!$F$14:$F$82,RAB!$C$14:$C$82,C303)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SUMIFS(RAB!$F$14:$F$82,RAB!$C$14:$C$82,C304)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SUMIFS(RAB!$F$14:$F$82,RAB!$C$14:$C$82,C305)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SUMIFS(RAB!$F$14:$F$82,RAB!$C$14:$C$82,C306)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SUMIFS(RAB!$F$14:$F$82,RAB!$C$14:$C$82,C307)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SUMIFS(RAB!$F$14:$F$82,RAB!$C$14:$C$82,C308)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SUMIFS(RAB!$F$14:$F$82,RAB!$C$14:$C$82,C309)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SUMIFS(RAB!$F$14:$F$82,RAB!$C$14:$C$82,C310)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SUMIFS(RAB!$F$14:$F$82,RAB!$C$14:$C$82,C311)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SUMIFS(RAB!$F$14:$F$82,RAB!$C$14:$C$82,C312)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SUMIFS(RAB!$F$14:$F$82,RAB!$C$14:$C$82,C313)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SUMIFS(RAB!$F$14:$F$82,RAB!$C$14:$C$82,C314)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SUMIFS(RAB!$F$14:$F$82,RAB!$C$14:$C$82,C315)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SUMIFS(RAB!$F$14:$F$82,RAB!$C$14:$C$82,C316)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SUMIFS(RAB!$F$14:$F$82,RAB!$C$14:$C$82,C317)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SUMIFS(RAB!$F$14:$F$82,RAB!$C$14:$C$82,C318)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SUMIFS(RAB!$F$14:$F$82,RAB!$C$14:$C$82,C319)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SUMIFS(RAB!$F$14:$F$82,RAB!$C$14:$C$82,C320)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SUMIFS(RAB!$F$14:$F$82,RAB!$C$14:$C$82,C321)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SUMIFS(RAB!$F$14:$F$82,RAB!$C$14:$C$82,C322)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SUMIFS(RAB!$F$14:$F$82,RAB!$C$14:$C$82,C323)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SUMIFS(RAB!$F$14:$F$82,RAB!$C$14:$C$82,C324)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SUMIFS(RAB!$F$14:$F$82,RAB!$C$14:$C$82,C325)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SUMIFS(RAB!$F$14:$F$82,RAB!$C$14:$C$82,C326)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SUMIFS(RAB!$F$14:$F$82,RAB!$C$14:$C$82,C327)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SUMIFS(RAB!$F$14:$F$82,RAB!$C$14:$C$82,C328)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SUMIFS(RAB!$F$14:$F$82,RAB!$C$14:$C$82,C329)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SUMIFS(RAB!$F$14:$F$82,RAB!$C$14:$C$82,C330)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SUMIFS(RAB!$F$14:$F$82,RAB!$C$14:$C$82,C331)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SUMIFS(RAB!$F$14:$F$82,RAB!$C$14:$C$82,C332)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SUMIFS(RAB!$F$14:$F$82,RAB!$C$14:$C$82,C333)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SUMIFS(RAB!$F$14:$F$82,RAB!$C$14:$C$82,C334)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SUMIFS(RAB!$F$14:$F$82,RAB!$C$14:$C$82,C335)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SUMIFS(RAB!$F$14:$F$82,RAB!$C$14:$C$82,C336)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SUMIFS(RAB!$F$14:$F$82,RAB!$C$14:$C$82,C337)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SUMIFS(RAB!$F$14:$F$82,RAB!$C$14:$C$82,C338)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SUMIFS(RAB!$F$14:$F$82,RAB!$C$14:$C$82,C339)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SUMIFS(RAB!$F$14:$F$82,RAB!$C$14:$C$82,C340)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SUMIFS(RAB!$F$14:$F$82,RAB!$C$14:$C$82,C341)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SUMIFS(RAB!$F$14:$F$82,RAB!$C$14:$C$82,C342)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SUMIFS(RAB!$F$14:$F$82,RAB!$C$14:$C$82,C343)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SUMIFS(RAB!$F$14:$F$82,RAB!$C$14:$C$82,C344)</f>
        <v>100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SUMIFS(RAB!$F$14:$F$82,RAB!$C$14:$C$82,C345)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SUMIFS(RAB!$F$14:$F$82,RAB!$C$14:$C$82,C346)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SUMIFS(RAB!$F$14:$F$82,RAB!$C$14:$C$82,C347)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SUMIFS(RAB!$F$14:$F$82,RAB!$C$14:$C$82,C348)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SUMIFS(RAB!$F$14:$F$82,RAB!$C$14:$C$82,C349)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SUMIFS(RAB!$F$14:$F$82,RAB!$C$14:$C$82,C350)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SUMIFS(RAB!$F$14:$F$82,RAB!$C$14:$C$82,C351)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SUMIFS(RAB!$F$14:$F$82,RAB!$C$14:$C$82,C352)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SUMIFS(RAB!$F$14:$F$82,RAB!$C$14:$C$82,C353)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SUMIFS(RAB!$F$14:$F$82,RAB!$C$14:$C$82,C354)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SUMIFS(RAB!$F$14:$F$82,RAB!$C$14:$C$82,C355)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SUMIFS(RAB!$F$14:$F$82,RAB!$C$14:$C$82,C356)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SUMIFS(RAB!$F$14:$F$82,RAB!$C$14:$C$82,C357)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SUMIFS(RAB!$F$14:$F$82,RAB!$C$14:$C$82,C358)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SUMIFS(RAB!$F$14:$F$82,RAB!$C$14:$C$82,C359)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SUMIFS(RAB!$F$14:$F$82,RAB!$C$14:$C$82,C360)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SUMIFS(RAB!$F$14:$F$82,RAB!$C$14:$C$82,C361)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SUMIFS(RAB!$F$14:$F$82,RAB!$C$14:$C$82,C362)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SUMIFS(RAB!$F$14:$F$82,RAB!$C$14:$C$82,C363)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SUMIFS(RAB!$F$14:$F$82,RAB!$C$14:$C$82,C364)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SUMIFS(RAB!$F$14:$F$82,RAB!$C$14:$C$82,C365)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SUMIFS(RAB!$F$14:$F$82,RAB!$C$14:$C$82,C366)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SUMIFS(RAB!$F$14:$F$82,RAB!$C$14:$C$82,C367)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SUMIFS(RAB!$F$14:$F$82,RAB!$C$14:$C$82,C368)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SUMIFS(RAB!$F$14:$F$82,RAB!$C$14:$C$82,C369)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SUMIFS(RAB!$F$14:$F$82,RAB!$C$14:$C$82,C370)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SUMIFS(RAB!$F$14:$F$82,RAB!$C$14:$C$82,C371)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SUMIFS(RAB!$F$14:$F$82,RAB!$C$14:$C$82,C372)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SUMIFS(RAB!$F$14:$F$82,RAB!$C$14:$C$82,C373)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1609</v>
      </c>
      <c r="G4" s="108" t="s">
        <v>1608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1" t="s">
        <v>1454</v>
      </c>
      <c r="C2" s="591"/>
      <c r="D2" s="591"/>
      <c r="E2" s="59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6" t="s">
        <v>1532</v>
      </c>
      <c r="C4" s="597"/>
      <c r="D4" s="597"/>
      <c r="E4" s="598"/>
      <c r="F4" s="442"/>
      <c r="G4" s="442"/>
      <c r="H4" s="443"/>
      <c r="I4" s="560" t="s">
        <v>1533</v>
      </c>
      <c r="J4" s="561"/>
      <c r="K4" s="561"/>
      <c r="L4" s="562"/>
    </row>
    <row r="5" spans="1:12" ht="34.5" customHeight="1">
      <c r="A5" s="204"/>
      <c r="B5" s="445" t="s">
        <v>1379</v>
      </c>
      <c r="C5" s="277" t="s">
        <v>9</v>
      </c>
      <c r="D5" s="592" t="str">
        <f>DATA!D14</f>
        <v>MUSHOLA MIFTAHUL JANNAH</v>
      </c>
      <c r="E5" s="593"/>
      <c r="F5" s="208"/>
      <c r="G5" s="208"/>
      <c r="I5" s="446" t="s">
        <v>1379</v>
      </c>
      <c r="J5" s="277" t="s">
        <v>9</v>
      </c>
      <c r="K5" s="563" t="str">
        <f>D5</f>
        <v>MUSHOLA MIFTAHUL JANNAH</v>
      </c>
      <c r="L5" s="564"/>
    </row>
    <row r="6" spans="1:12" ht="31.5" customHeight="1">
      <c r="A6" s="204"/>
      <c r="B6" s="445" t="s">
        <v>1529</v>
      </c>
      <c r="C6" s="277" t="s">
        <v>9</v>
      </c>
      <c r="D6" s="601">
        <f>DATA!D17*1000</f>
        <v>0</v>
      </c>
      <c r="E6" s="602"/>
      <c r="F6" s="208"/>
      <c r="G6" s="208"/>
      <c r="I6" s="446" t="s">
        <v>1530</v>
      </c>
      <c r="J6" s="277" t="s">
        <v>9</v>
      </c>
      <c r="K6" s="565">
        <f>DATA!D20*1000</f>
        <v>11000</v>
      </c>
      <c r="L6" s="566"/>
    </row>
    <row r="7" spans="1:12" ht="30.75" customHeight="1">
      <c r="A7" s="204"/>
      <c r="B7" s="445" t="s">
        <v>1441</v>
      </c>
      <c r="C7" s="277" t="s">
        <v>9</v>
      </c>
      <c r="D7" s="599">
        <f>DATA!D18</f>
        <v>1</v>
      </c>
      <c r="E7" s="600"/>
      <c r="F7" s="444" t="s">
        <v>1453</v>
      </c>
      <c r="I7" s="446" t="s">
        <v>1441</v>
      </c>
      <c r="J7" s="277" t="s">
        <v>9</v>
      </c>
      <c r="K7" s="567">
        <f>DATA!D21</f>
        <v>1</v>
      </c>
      <c r="L7" s="568"/>
    </row>
    <row r="8" spans="1:12" ht="51" customHeight="1">
      <c r="A8" s="204"/>
      <c r="B8" s="445" t="s">
        <v>1442</v>
      </c>
      <c r="C8" s="277" t="s">
        <v>9</v>
      </c>
      <c r="D8" s="599">
        <f>DATA!D19</f>
        <v>220</v>
      </c>
      <c r="E8" s="600"/>
      <c r="F8" s="444" t="s">
        <v>1453</v>
      </c>
      <c r="G8" s="439">
        <v>220</v>
      </c>
      <c r="I8" s="446" t="s">
        <v>1442</v>
      </c>
      <c r="J8" s="277" t="s">
        <v>9</v>
      </c>
      <c r="K8" s="567">
        <f>DATA!D22</f>
        <v>220</v>
      </c>
      <c r="L8" s="568"/>
    </row>
    <row r="9" spans="1:12" ht="30" customHeight="1" thickBot="1">
      <c r="A9" s="204"/>
      <c r="B9" s="451" t="s">
        <v>1541</v>
      </c>
      <c r="C9" s="441" t="s">
        <v>9</v>
      </c>
      <c r="D9" s="594">
        <f>IF(D7=1,D6/(380/3^0.5),(D6/(380*3^0.5)))</f>
        <v>0</v>
      </c>
      <c r="E9" s="595"/>
      <c r="F9" s="207"/>
      <c r="G9" s="440">
        <v>380</v>
      </c>
      <c r="I9" s="452" t="s">
        <v>1541</v>
      </c>
      <c r="J9" s="441" t="s">
        <v>9</v>
      </c>
      <c r="K9" s="571">
        <f>IF(K7=1,K6/(380/3^0.5),(K6/(380*3^0.5)))</f>
        <v>50.138312850678027</v>
      </c>
      <c r="L9" s="57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3"/>
      <c r="E12" s="604"/>
      <c r="F12" s="208"/>
      <c r="G12" s="208"/>
      <c r="I12" s="468" t="s">
        <v>1534</v>
      </c>
      <c r="J12" s="469" t="s">
        <v>9</v>
      </c>
      <c r="K12" s="603"/>
      <c r="L12" s="604"/>
    </row>
    <row r="13" spans="1:12" ht="31.5" customHeight="1">
      <c r="A13" s="204"/>
      <c r="B13" s="476" t="s">
        <v>1380</v>
      </c>
      <c r="C13" s="456" t="s">
        <v>9</v>
      </c>
      <c r="D13" s="569"/>
      <c r="E13" s="570"/>
      <c r="F13" s="208"/>
      <c r="G13" s="208"/>
      <c r="I13" s="470" t="s">
        <v>1380</v>
      </c>
      <c r="J13" s="456" t="s">
        <v>9</v>
      </c>
      <c r="K13" s="569"/>
      <c r="L13" s="570"/>
    </row>
    <row r="14" spans="1:12" ht="30.75" customHeight="1">
      <c r="A14" s="204"/>
      <c r="B14" s="476" t="s">
        <v>1535</v>
      </c>
      <c r="C14" s="456" t="s">
        <v>9</v>
      </c>
      <c r="D14" s="573"/>
      <c r="E14" s="574"/>
      <c r="F14" s="444" t="s">
        <v>1453</v>
      </c>
      <c r="G14" s="448">
        <v>50</v>
      </c>
      <c r="I14" s="470" t="s">
        <v>1535</v>
      </c>
      <c r="J14" s="456" t="s">
        <v>9</v>
      </c>
      <c r="K14" s="575"/>
      <c r="L14" s="576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7">
        <v>0</v>
      </c>
      <c r="E16" s="578"/>
      <c r="F16" s="444"/>
      <c r="G16" s="448">
        <v>160</v>
      </c>
      <c r="I16" s="470" t="s">
        <v>1537</v>
      </c>
      <c r="J16" s="456" t="s">
        <v>9</v>
      </c>
      <c r="K16" s="581">
        <f>K9</f>
        <v>50.138312850678027</v>
      </c>
      <c r="L16" s="582"/>
    </row>
    <row r="17" spans="1:12" ht="34.5" customHeight="1">
      <c r="A17" s="204"/>
      <c r="B17" s="476" t="s">
        <v>1538</v>
      </c>
      <c r="C17" s="456" t="s">
        <v>9</v>
      </c>
      <c r="D17" s="579">
        <f>IF(D15=1,D14/(20/3^0.5),(D14/(20*3^0.5)))</f>
        <v>0</v>
      </c>
      <c r="E17" s="580"/>
      <c r="F17" s="444" t="s">
        <v>1453</v>
      </c>
      <c r="G17" s="449">
        <v>200</v>
      </c>
      <c r="I17" s="470" t="s">
        <v>1538</v>
      </c>
      <c r="J17" s="456" t="s">
        <v>9</v>
      </c>
      <c r="K17" s="585">
        <f>IF(K15=1,K14/(20/3^0.5),(K14/(20*3^0.5)))</f>
        <v>0</v>
      </c>
      <c r="L17" s="586"/>
    </row>
    <row r="18" spans="1:12" ht="34.5" customHeight="1">
      <c r="A18" s="204"/>
      <c r="B18" s="476" t="s">
        <v>1539</v>
      </c>
      <c r="C18" s="456" t="s">
        <v>9</v>
      </c>
      <c r="D18" s="579">
        <f>IF(D15=1,D14/(380/3^0.5),(D14/(380*3^0.5)))*1000</f>
        <v>0</v>
      </c>
      <c r="E18" s="580"/>
      <c r="F18" s="444" t="s">
        <v>1453</v>
      </c>
      <c r="G18" s="449">
        <v>250</v>
      </c>
      <c r="I18" s="470" t="s">
        <v>1539</v>
      </c>
      <c r="J18" s="456" t="s">
        <v>9</v>
      </c>
      <c r="K18" s="585">
        <f>IF(K15=1,K14/(380/3^0.5),(K14/(380*3^0.5)))*1000</f>
        <v>0</v>
      </c>
      <c r="L18" s="586"/>
    </row>
    <row r="19" spans="1:12" ht="30" customHeight="1">
      <c r="A19" s="204"/>
      <c r="B19" s="477" t="s">
        <v>1531</v>
      </c>
      <c r="C19" s="455" t="s">
        <v>9</v>
      </c>
      <c r="D19" s="579">
        <f>IF(D15=1,D14/(380/3^0.5),(D14/(380*3^0.5)))</f>
        <v>0</v>
      </c>
      <c r="E19" s="580"/>
      <c r="F19" s="207"/>
      <c r="G19" s="440"/>
      <c r="I19" s="472" t="s">
        <v>1531</v>
      </c>
      <c r="J19" s="455" t="s">
        <v>9</v>
      </c>
      <c r="K19" s="585">
        <f>IF(K15=1,K14/(380/3^0.5),(K14/(380*3^0.5)))</f>
        <v>0</v>
      </c>
      <c r="L19" s="586"/>
    </row>
    <row r="20" spans="1:12" ht="30" customHeight="1" thickBot="1">
      <c r="A20" s="204"/>
      <c r="B20" s="478" t="s">
        <v>1540</v>
      </c>
      <c r="C20" s="474" t="s">
        <v>9</v>
      </c>
      <c r="D20" s="605" t="e">
        <f>D16/D18</f>
        <v>#DIV/0!</v>
      </c>
      <c r="E20" s="606"/>
      <c r="F20" s="207"/>
      <c r="G20" s="440"/>
      <c r="I20" s="473" t="s">
        <v>1531</v>
      </c>
      <c r="J20" s="474" t="s">
        <v>9</v>
      </c>
      <c r="K20" s="583" t="e">
        <f>K16/K18</f>
        <v>#DIV/0!</v>
      </c>
      <c r="L20" s="584"/>
    </row>
    <row r="21" spans="1:12" ht="9.75" customHeight="1">
      <c r="A21" s="204"/>
      <c r="B21" s="463" t="s">
        <v>1540</v>
      </c>
      <c r="C21" s="464" t="s">
        <v>9</v>
      </c>
      <c r="D21" s="590">
        <v>1</v>
      </c>
      <c r="E21" s="590"/>
      <c r="F21" s="465"/>
      <c r="G21" s="466"/>
      <c r="H21" s="467"/>
      <c r="I21" s="463" t="s">
        <v>1531</v>
      </c>
      <c r="J21" s="464" t="s">
        <v>9</v>
      </c>
      <c r="K21" s="590">
        <v>1</v>
      </c>
      <c r="L21" s="59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7"/>
      <c r="C24" s="588"/>
      <c r="D24" s="588"/>
      <c r="E24" s="589"/>
      <c r="I24" s="587"/>
      <c r="J24" s="588"/>
      <c r="K24" s="588"/>
      <c r="L24" s="589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Normal="100" workbookViewId="0">
      <selection activeCell="F23" sqref="F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7"/>
      <c r="C1" s="607"/>
      <c r="D1" s="60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RAB!K88</f>
        <v>24805481.91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496109.63819999999</v>
      </c>
    </row>
    <row r="12" spans="2:11" ht="9" customHeight="1">
      <c r="B12" s="608"/>
      <c r="C12" s="608"/>
      <c r="D12" s="60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1639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1626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5" t="s">
        <v>1357</v>
      </c>
      <c r="C3" s="615"/>
      <c r="D3" s="615"/>
      <c r="E3" s="615"/>
      <c r="F3" s="305" t="str">
        <f>DATA!D14</f>
        <v>MUSHOLA MIFTAHUL JANNAH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4" t="s">
        <v>1359</v>
      </c>
      <c r="E5" s="614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2" t="s">
        <v>1363</v>
      </c>
      <c r="O5" s="614" t="s">
        <v>1364</v>
      </c>
      <c r="P5" s="614" t="s">
        <v>1365</v>
      </c>
      <c r="Q5" s="614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24.805481910000001</v>
      </c>
      <c r="G7" s="318">
        <f ca="1">DATA!$D$11/1000000</f>
        <v>0.49610963819999998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29.203574413354993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-13.459230413354991</v>
      </c>
      <c r="O7" s="314">
        <v>1</v>
      </c>
      <c r="P7" s="316">
        <f ca="1">O7*N7</f>
        <v>-13.459230413354991</v>
      </c>
      <c r="Q7" s="316">
        <f ca="1">P7</f>
        <v>-13.459230413354991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0.49610963819999998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6.34908393593249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1.2789320640675097</v>
      </c>
      <c r="O8" s="315">
        <f>1/(1+'[93]Asumsi I'!$C$3)^(KKF!A8)</f>
        <v>0.89285714285714279</v>
      </c>
      <c r="P8" s="316">
        <f ca="1">O8*N8</f>
        <v>1.141903628631705</v>
      </c>
      <c r="Q8" s="316">
        <f ca="1">Q7+P8</f>
        <v>-12.317326784723285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0.49610963819999998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6.34908393593249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1.2789320640675097</v>
      </c>
      <c r="O9" s="322">
        <f>1/(1+'[93]Asumsi I'!$C$3)^(KKF!A9)</f>
        <v>0.79719387755102034</v>
      </c>
      <c r="P9" s="316">
        <f t="shared" ref="P9:P32" ca="1" si="7">O9*N9</f>
        <v>1.019556811278308</v>
      </c>
      <c r="Q9" s="316">
        <f ca="1">Q8+P9</f>
        <v>-11.297769973444977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0.49610963819999998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6.34908393593249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1.2789320640675097</v>
      </c>
      <c r="O10" s="315">
        <f>1/(1+'[93]Asumsi I'!$C$3)^(KKF!A10)</f>
        <v>0.71178024781341087</v>
      </c>
      <c r="P10" s="316">
        <f t="shared" ca="1" si="7"/>
        <v>0.9103185814984891</v>
      </c>
      <c r="Q10" s="316">
        <f t="shared" ref="Q10:Q30" ca="1" si="9">Q9+P10</f>
        <v>-10.387451391946488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0.49610963819999998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6.34908393593249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1.2789320640675097</v>
      </c>
      <c r="O11" s="315">
        <f>1/(1+'[93]Asumsi I'!$C$3)^(KKF!A11)</f>
        <v>0.63551807840483121</v>
      </c>
      <c r="P11" s="316">
        <f t="shared" ca="1" si="7"/>
        <v>0.81278444776650827</v>
      </c>
      <c r="Q11" s="316">
        <f t="shared" ca="1" si="9"/>
        <v>-9.5746669441799792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0.49610963819999998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6.34908393593249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1.2789320640675097</v>
      </c>
      <c r="O12" s="315">
        <f>1/(1+'[93]Asumsi I'!$C$3)^(KKF!A12)</f>
        <v>0.56742685571859919</v>
      </c>
      <c r="P12" s="316">
        <f t="shared" ca="1" si="7"/>
        <v>0.72570039979152512</v>
      </c>
      <c r="Q12" s="316">
        <f t="shared" ca="1" si="9"/>
        <v>-8.8489665443884533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0.49610963819999998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6.34908393593249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1.2789320640675097</v>
      </c>
      <c r="O13" s="315">
        <f>1/(1+'[93]Asumsi I'!$C$3)^(KKF!A13)</f>
        <v>0.50663112117732068</v>
      </c>
      <c r="P13" s="316">
        <f t="shared" ca="1" si="7"/>
        <v>0.64794678552814733</v>
      </c>
      <c r="Q13" s="316">
        <f t="shared" ca="1" si="9"/>
        <v>-8.2010197588603067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0.49610963819999998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6.34908393593249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1.2789320640675097</v>
      </c>
      <c r="O14" s="315">
        <f>1/(1+'[93]Asumsi I'!$C$3)^(KKF!A14)</f>
        <v>0.45234921533689343</v>
      </c>
      <c r="P14" s="316">
        <f t="shared" ca="1" si="7"/>
        <v>0.5785239156501315</v>
      </c>
      <c r="Q14" s="316">
        <f t="shared" ca="1" si="9"/>
        <v>-7.6224958432101753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0.49610963819999998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6.34908393593249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1.2789320640675097</v>
      </c>
      <c r="O15" s="315">
        <f>1/(1+'[93]Asumsi I'!$C$3)^(KKF!A15)</f>
        <v>0.4038832279793691</v>
      </c>
      <c r="P15" s="316">
        <f t="shared" ca="1" si="7"/>
        <v>0.51653921040190309</v>
      </c>
      <c r="Q15" s="316">
        <f t="shared" ca="1" si="9"/>
        <v>-7.1059566328082724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0.49610963819999998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6.34908393593249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1.2789320640675097</v>
      </c>
      <c r="O16" s="315">
        <f>1/(1+'[93]Asumsi I'!$C$3)^(KKF!A16)</f>
        <v>0.36061002498157957</v>
      </c>
      <c r="P16" s="316">
        <f t="shared" ca="1" si="7"/>
        <v>0.46119572357312777</v>
      </c>
      <c r="Q16" s="316">
        <f t="shared" ca="1" si="9"/>
        <v>-6.6447609092351447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0.49610963819999998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6.34908393593249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1.2789320640675097</v>
      </c>
      <c r="O17" s="315">
        <f>1/(1+'[93]Asumsi I'!$C$3)^(KKF!A17)</f>
        <v>0.32197323659069599</v>
      </c>
      <c r="P17" s="316">
        <f t="shared" ca="1" si="7"/>
        <v>0.41178189604743548</v>
      </c>
      <c r="Q17" s="316">
        <f t="shared" ca="1" si="9"/>
        <v>-6.232979013187709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0.49610963819999998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6.34908393593249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1.2789320640675097</v>
      </c>
      <c r="O18" s="315">
        <f>1/(1+'[93]Asumsi I'!$C$3)^(KKF!A18)</f>
        <v>0.28747610409883567</v>
      </c>
      <c r="P18" s="316">
        <f t="shared" ca="1" si="7"/>
        <v>0.3676624071852102</v>
      </c>
      <c r="Q18" s="316">
        <f t="shared" ca="1" si="9"/>
        <v>-5.8653166060024988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0.49610963819999998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6.34908393593249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1.2789320640675097</v>
      </c>
      <c r="O19" s="315">
        <f>1/(1+'[93]Asumsi I'!$C$3)^(KKF!A19)</f>
        <v>0.25667509294538904</v>
      </c>
      <c r="P19" s="316">
        <f t="shared" ca="1" si="7"/>
        <v>0.3282700064153663</v>
      </c>
      <c r="Q19" s="316">
        <f t="shared" ca="1" si="9"/>
        <v>-5.5370465995871321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0.49610963819999998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6.34908393593249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1.2789320640675097</v>
      </c>
      <c r="O20" s="315">
        <f>1/(1+'[93]Asumsi I'!$C$3)^(KKF!A20)</f>
        <v>0.22917419012981158</v>
      </c>
      <c r="P20" s="316">
        <f t="shared" ca="1" si="7"/>
        <v>0.29309822001371982</v>
      </c>
      <c r="Q20" s="316">
        <f t="shared" ca="1" si="9"/>
        <v>-5.2439483795734123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0.49610963819999998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6.34908393593249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1.2789320640675097</v>
      </c>
      <c r="O21" s="315">
        <f>1/(1+'[93]Asumsi I'!$C$3)^(KKF!A21)</f>
        <v>0.20461981261590317</v>
      </c>
      <c r="P21" s="316">
        <f t="shared" ca="1" si="7"/>
        <v>0.26169483929796411</v>
      </c>
      <c r="Q21" s="316">
        <f t="shared" ca="1" si="9"/>
        <v>-4.9822535402754484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0.49610963819999998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6.34908393593249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1.2789320640675097</v>
      </c>
      <c r="O22" s="315">
        <f>1/(1+'[93]Asumsi I'!$C$3)^(KKF!A22)</f>
        <v>0.18269626126419927</v>
      </c>
      <c r="P22" s="316">
        <f t="shared" ca="1" si="7"/>
        <v>0.23365610651603941</v>
      </c>
      <c r="Q22" s="316">
        <f t="shared" ca="1" si="9"/>
        <v>-4.748597433759409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0.49610963819999998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6.34908393593249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1.2789320640675097</v>
      </c>
      <c r="O23" s="315">
        <f>1/(1+'[93]Asumsi I'!$C$3)^(KKF!A23)</f>
        <v>0.16312166184303503</v>
      </c>
      <c r="P23" s="316">
        <f t="shared" ca="1" si="7"/>
        <v>0.20862152367503514</v>
      </c>
      <c r="Q23" s="316">
        <f t="shared" ca="1" si="9"/>
        <v>-4.5399759100843742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0.49610963819999998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6.34908393593249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1.2789320640675097</v>
      </c>
      <c r="O24" s="315">
        <f>1/(1+'[93]Asumsi I'!$C$3)^(KKF!A24)</f>
        <v>0.14564434093128129</v>
      </c>
      <c r="P24" s="316">
        <f t="shared" ca="1" si="7"/>
        <v>0.18626921756699566</v>
      </c>
      <c r="Q24" s="316">
        <f t="shared" ca="1" si="9"/>
        <v>-4.3537066925173784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0.49610963819999998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6.34908393593249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1.2789320640675097</v>
      </c>
      <c r="O25" s="315">
        <f>1/(1+'[93]Asumsi I'!$C$3)^(KKF!A25)</f>
        <v>0.13003959011721541</v>
      </c>
      <c r="P25" s="316">
        <f t="shared" ca="1" si="7"/>
        <v>0.16631180139910323</v>
      </c>
      <c r="Q25" s="316">
        <f t="shared" ca="1" si="9"/>
        <v>-4.1873948911182755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0.49610963819999998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6.34908393593249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1.2789320640675097</v>
      </c>
      <c r="O26" s="315">
        <f>1/(1+'[93]Asumsi I'!$C$3)^(KKF!A26)</f>
        <v>0.1161067768903709</v>
      </c>
      <c r="P26" s="316">
        <f t="shared" ca="1" si="7"/>
        <v>0.14849267982062789</v>
      </c>
      <c r="Q26" s="316">
        <f t="shared" ca="1" si="9"/>
        <v>-4.0389022112976471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0.49610963819999998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6.34908393593249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1.2789320640675097</v>
      </c>
      <c r="O27" s="315">
        <f>1/(1+'[93]Asumsi I'!$C$3)^(KKF!A27)</f>
        <v>0.1036667650806883</v>
      </c>
      <c r="P27" s="316">
        <f t="shared" ca="1" si="7"/>
        <v>0.13258274983984633</v>
      </c>
      <c r="Q27" s="316">
        <f t="shared" ca="1" si="9"/>
        <v>-3.9063194614578007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0.49610963819999998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6.34908393593249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1.2789320640675097</v>
      </c>
      <c r="O28" s="315">
        <f>1/(1+'[93]Asumsi I'!$C$3)^(KKF!A28)</f>
        <v>9.2559611679185971E-2</v>
      </c>
      <c r="P28" s="316">
        <f t="shared" ca="1" si="7"/>
        <v>0.1183774552141485</v>
      </c>
      <c r="Q28" s="316">
        <f t="shared" ca="1" si="9"/>
        <v>-3.7879420062436524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0.49610963819999998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6.34908393593249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1.2789320640675097</v>
      </c>
      <c r="O29" s="315">
        <f>1/(1+'[93]Asumsi I'!$C$3)^(KKF!A29)</f>
        <v>8.2642510427844609E-2</v>
      </c>
      <c r="P29" s="316">
        <f t="shared" ca="1" si="7"/>
        <v>0.105694156441204</v>
      </c>
      <c r="Q29" s="316">
        <f t="shared" ca="1" si="9"/>
        <v>-3.6822478498024482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0.49610963819999998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6.34908393593249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1.2789320640675097</v>
      </c>
      <c r="O30" s="315">
        <f>1/(1+'[93]Asumsi I'!$C$3)^(KKF!A30)</f>
        <v>7.3787955739146982E-2</v>
      </c>
      <c r="P30" s="316">
        <f t="shared" ca="1" si="7"/>
        <v>9.4369782536789293E-2</v>
      </c>
      <c r="Q30" s="316">
        <f t="shared" ca="1" si="9"/>
        <v>-3.5878780672656587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0.49610963819999998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6.34908393593249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1.2789320640675097</v>
      </c>
      <c r="O31" s="315">
        <f>1/(1+'[93]Asumsi I'!$C$3)^(KKF!A31)</f>
        <v>6.5882103338524081E-2</v>
      </c>
      <c r="P31" s="316">
        <f t="shared" ca="1" si="7"/>
        <v>8.4258734407847577E-2</v>
      </c>
      <c r="Q31" s="316">
        <f ca="1">Q30+P31</f>
        <v>-3.5036193328578111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0.49610963819999998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6.34908393593249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1.2789320640675097</v>
      </c>
      <c r="O32" s="315">
        <f>1/(1+'[93]Asumsi I'!$C$3)^(KKF!A32)</f>
        <v>5.8823306552253637E-2</v>
      </c>
      <c r="P32" s="316">
        <f t="shared" ca="1" si="7"/>
        <v>7.5231012864149613E-2</v>
      </c>
      <c r="Q32" s="316">
        <f ca="1">Q31+P32</f>
        <v>-3.4283883199936613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187.93067281166725</v>
      </c>
      <c r="K33" s="611" t="s">
        <v>1375</v>
      </c>
      <c r="L33" s="611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22.83434377309775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1.0985154307774254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-3.0610609999943459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8.167491781227687E-2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3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I8" sqref="I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4" t="s">
        <v>1036</v>
      </c>
      <c r="P3" s="634"/>
      <c r="Q3" s="346"/>
      <c r="T3" s="344"/>
      <c r="U3" s="345" t="s">
        <v>1041</v>
      </c>
      <c r="V3" s="344"/>
    </row>
    <row r="4" spans="1:22" ht="15.75" customHeight="1">
      <c r="B4" s="635" t="s">
        <v>1023</v>
      </c>
      <c r="C4" s="635"/>
      <c r="D4" s="635"/>
      <c r="E4" s="635"/>
      <c r="F4" s="635"/>
      <c r="G4" s="635"/>
      <c r="H4" s="635"/>
      <c r="I4" s="635"/>
      <c r="J4" s="635"/>
      <c r="K4" s="635"/>
      <c r="O4" s="634"/>
      <c r="P4" s="63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8" t="str">
        <f>DATA!D14</f>
        <v>MUSHOLA MIFTAHUL JANNAH</v>
      </c>
      <c r="H6" s="618"/>
      <c r="I6" s="618"/>
      <c r="J6" s="618"/>
      <c r="K6" s="61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7" t="s">
        <v>0</v>
      </c>
      <c r="C11" s="639" t="s">
        <v>1</v>
      </c>
      <c r="D11" s="628" t="s">
        <v>42</v>
      </c>
      <c r="E11" s="628" t="s">
        <v>43</v>
      </c>
      <c r="F11" s="628" t="s">
        <v>2</v>
      </c>
      <c r="G11" s="642" t="s">
        <v>41</v>
      </c>
      <c r="H11" s="628" t="s">
        <v>3</v>
      </c>
      <c r="I11" s="628"/>
      <c r="J11" s="628"/>
      <c r="K11" s="62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8"/>
      <c r="C12" s="640"/>
      <c r="D12" s="632"/>
      <c r="E12" s="632"/>
      <c r="F12" s="632"/>
      <c r="G12" s="643"/>
      <c r="H12" s="630" t="s">
        <v>46</v>
      </c>
      <c r="I12" s="630" t="s">
        <v>5</v>
      </c>
      <c r="J12" s="632" t="s">
        <v>47</v>
      </c>
      <c r="K12" s="63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8"/>
      <c r="C13" s="641"/>
      <c r="D13" s="632"/>
      <c r="E13" s="632"/>
      <c r="F13" s="632"/>
      <c r="G13" s="644"/>
      <c r="H13" s="631"/>
      <c r="I13" s="631"/>
      <c r="J13" s="632"/>
      <c r="K13" s="63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20" ca="1" si="8">IF(OR(D17="MDU",D17="MDU-KD"),(IF($O$3="RAB NON MDU","PLN KD",G17*F17)),0)</f>
        <v>0</v>
      </c>
      <c r="I17" s="361">
        <f t="shared" ref="I17:I20" ca="1" si="9">IF(D17="HDW",G17*F17,0)</f>
        <v>5800000</v>
      </c>
      <c r="J17" s="361">
        <f t="shared" ref="J17:J20" ca="1" si="10">IF(D17="JASA",G17*F17,0)</f>
        <v>0</v>
      </c>
      <c r="K17" s="362">
        <f t="shared" ref="K17:K20" ca="1" si="11">SUM(H17:J17)</f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6765200</v>
      </c>
      <c r="J18" s="361">
        <f t="shared" ref="J18" ca="1" si="14">IF(D18="JASA",G18*F18,0)</f>
        <v>0</v>
      </c>
      <c r="K18" s="362">
        <f t="shared" ref="K18" ca="1" si="15">SUM(H18:J18)</f>
        <v>6765200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1632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511"/>
      <c r="C21" s="512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" ca="1" si="16">IF(OR(D21="MDU",D21="MDU-KD"),(IF($O$3="RAB NON MDU","PLN KD",G21*F21)),0)</f>
        <v>0</v>
      </c>
      <c r="I21" s="361">
        <f t="shared" ref="I21" ca="1" si="17">IF(D21="HDW",G21*F21,0)</f>
        <v>0</v>
      </c>
      <c r="J21" s="361">
        <f t="shared" ref="J21" ca="1" si="18">IF(D21="JASA",G21*F21,0)</f>
        <v>0</v>
      </c>
      <c r="K21" s="362">
        <f t="shared" ref="K21" ca="1" si="19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1" t="s">
        <v>1035</v>
      </c>
      <c r="C22" s="512" t="s">
        <v>1620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4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1">
        <v>1</v>
      </c>
      <c r="C23" s="512" t="s">
        <v>595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4</v>
      </c>
      <c r="G23" s="360">
        <f ca="1">IF(ISERROR(OFFSET('HARGA SATUAN'!$I$6,MATCH(RAB!C23,'HARGA SATUAN'!$C$7:$C$1492,0),0)),0,OFFSET('HARGA SATUAN'!$I$6,MATCH(RAB!C23,'HARGA SATUAN'!$C$7:$C$1492,0),0))</f>
        <v>78500</v>
      </c>
      <c r="H23" s="361">
        <f t="shared" ca="1" si="20"/>
        <v>0</v>
      </c>
      <c r="I23" s="361">
        <f t="shared" ca="1" si="21"/>
        <v>314000</v>
      </c>
      <c r="J23" s="361">
        <f t="shared" ca="1" si="22"/>
        <v>0</v>
      </c>
      <c r="K23" s="362">
        <f t="shared" ca="1" si="23"/>
        <v>314000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1">
        <v>2</v>
      </c>
      <c r="C24" s="512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F22*1</f>
        <v>4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20"/>
        <v>0</v>
      </c>
      <c r="I24" s="361">
        <f t="shared" ca="1" si="21"/>
        <v>16848</v>
      </c>
      <c r="J24" s="361">
        <f t="shared" ca="1" si="22"/>
        <v>0</v>
      </c>
      <c r="K24" s="362">
        <f t="shared" ca="1" si="23"/>
        <v>16848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1">
        <v>3</v>
      </c>
      <c r="C25" s="512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F22*1</f>
        <v>4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20"/>
        <v>0</v>
      </c>
      <c r="I25" s="361">
        <f t="shared" ca="1" si="21"/>
        <v>93240</v>
      </c>
      <c r="J25" s="361">
        <f t="shared" ca="1" si="22"/>
        <v>0</v>
      </c>
      <c r="K25" s="362">
        <f t="shared" ca="1" si="23"/>
        <v>93240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1">
        <v>4</v>
      </c>
      <c r="C26" s="512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4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20"/>
        <v>0</v>
      </c>
      <c r="I26" s="361">
        <f t="shared" ca="1" si="21"/>
        <v>9200</v>
      </c>
      <c r="J26" s="361">
        <f t="shared" ca="1" si="22"/>
        <v>0</v>
      </c>
      <c r="K26" s="362">
        <f t="shared" ca="1" si="23"/>
        <v>9200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1">
        <v>5</v>
      </c>
      <c r="C27" s="512" t="s">
        <v>630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4</v>
      </c>
      <c r="G27" s="360">
        <f ca="1">IF(ISERROR(OFFSET('HARGA SATUAN'!$I$6,MATCH(RAB!C27,'HARGA SATUAN'!$C$7:$C$1492,0),0)),0,OFFSET('HARGA SATUAN'!$I$6,MATCH(RAB!C27,'HARGA SATUAN'!$C$7:$C$1492,0),0))</f>
        <v>35700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142800</v>
      </c>
      <c r="K27" s="362">
        <f t="shared" ca="1" si="23"/>
        <v>142800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1"/>
      <c r="C28" s="512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4" t="s">
        <v>1035</v>
      </c>
      <c r="C29" s="515" t="s">
        <v>1624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35" ca="1" si="24">IF(OR(D29="MDU",D29="MDU-KD"),(IF($O$3="RAB NON MDU","PLN KD",G29*F29)),0)</f>
        <v>0</v>
      </c>
      <c r="I29" s="361">
        <f t="shared" ref="I29:I35" ca="1" si="25">IF(D29="HDW",G29*F29,0)</f>
        <v>0</v>
      </c>
      <c r="J29" s="361">
        <f t="shared" ref="J29:J35" ca="1" si="26">IF(D29="JASA",G29*F29,0)</f>
        <v>0</v>
      </c>
      <c r="K29" s="362">
        <f t="shared" ref="K29:K35" ca="1" si="27">SUM(H29:J29)</f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4">
        <v>1</v>
      </c>
      <c r="C30" s="515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1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24"/>
        <v>0</v>
      </c>
      <c r="I30" s="361">
        <f t="shared" ca="1" si="25"/>
        <v>4212</v>
      </c>
      <c r="J30" s="361">
        <f t="shared" ca="1" si="26"/>
        <v>0</v>
      </c>
      <c r="K30" s="362">
        <f t="shared" ca="1" si="27"/>
        <v>4212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4">
        <v>2</v>
      </c>
      <c r="C31" s="515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501">
        <f>F29*1</f>
        <v>1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24"/>
        <v>0</v>
      </c>
      <c r="I31" s="361">
        <f t="shared" ca="1" si="25"/>
        <v>23310</v>
      </c>
      <c r="J31" s="361">
        <f t="shared" ca="1" si="26"/>
        <v>0</v>
      </c>
      <c r="K31" s="362">
        <f t="shared" ca="1" si="27"/>
        <v>23310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4">
        <v>3</v>
      </c>
      <c r="C32" s="515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F29*1</f>
        <v>1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24"/>
        <v>0</v>
      </c>
      <c r="I32" s="361">
        <f t="shared" ca="1" si="25"/>
        <v>2300</v>
      </c>
      <c r="J32" s="361">
        <f t="shared" ca="1" si="26"/>
        <v>0</v>
      </c>
      <c r="K32" s="362">
        <f t="shared" ca="1" si="27"/>
        <v>2300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4">
        <v>4</v>
      </c>
      <c r="C33" s="515" t="s">
        <v>609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1</v>
      </c>
      <c r="G33" s="360">
        <f ca="1">IF(ISERROR(OFFSET('HARGA SATUAN'!$I$6,MATCH(RAB!C33,'HARGA SATUAN'!$C$7:$C$1492,0),0)),0,OFFSET('HARGA SATUAN'!$I$6,MATCH(RAB!C33,'HARGA SATUAN'!$C$7:$C$1492,0),0))</f>
        <v>71000</v>
      </c>
      <c r="H33" s="361">
        <f t="shared" ca="1" si="24"/>
        <v>0</v>
      </c>
      <c r="I33" s="361">
        <f t="shared" ca="1" si="25"/>
        <v>71000</v>
      </c>
      <c r="J33" s="361">
        <f t="shared" ca="1" si="26"/>
        <v>0</v>
      </c>
      <c r="K33" s="362">
        <f t="shared" ca="1" si="27"/>
        <v>71000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4">
        <v>5</v>
      </c>
      <c r="C34" s="515" t="s">
        <v>629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1</v>
      </c>
      <c r="G34" s="360">
        <f ca="1">IF(ISERROR(OFFSET('HARGA SATUAN'!$I$6,MATCH(RAB!C34,'HARGA SATUAN'!$C$7:$C$1492,0),0)),0,OFFSET('HARGA SATUAN'!$I$6,MATCH(RAB!C34,'HARGA SATUAN'!$C$7:$C$1492,0),0))</f>
        <v>29400</v>
      </c>
      <c r="H34" s="361">
        <f t="shared" ca="1" si="24"/>
        <v>0</v>
      </c>
      <c r="I34" s="361">
        <f t="shared" ca="1" si="25"/>
        <v>0</v>
      </c>
      <c r="J34" s="361">
        <f t="shared" ca="1" si="26"/>
        <v>29400</v>
      </c>
      <c r="K34" s="362">
        <f t="shared" ca="1" si="27"/>
        <v>29400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1"/>
      <c r="C35" s="512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4"/>
        <v>0</v>
      </c>
      <c r="I35" s="361">
        <f t="shared" ca="1" si="25"/>
        <v>0</v>
      </c>
      <c r="J35" s="361">
        <f t="shared" ca="1" si="26"/>
        <v>0</v>
      </c>
      <c r="K35" s="362">
        <f t="shared" ca="1" si="27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7"/>
      <c r="C36" s="507" t="s">
        <v>1636</v>
      </c>
      <c r="D36" s="358"/>
      <c r="E36" s="359"/>
      <c r="F36" s="501"/>
      <c r="G36" s="360"/>
      <c r="H36" s="361"/>
      <c r="I36" s="361"/>
      <c r="J36" s="361"/>
      <c r="K36" s="362"/>
      <c r="L36" s="342"/>
      <c r="M36" s="342"/>
      <c r="N36" s="369"/>
      <c r="O36" s="344"/>
      <c r="P36" s="397"/>
      <c r="Q36" s="344"/>
    </row>
    <row r="37" spans="1:17" s="365" customFormat="1">
      <c r="A37" s="336"/>
      <c r="B37" s="514" t="s">
        <v>1035</v>
      </c>
      <c r="C37" s="515" t="s">
        <v>1633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57" ca="1" si="28">IF(OR(D37="MDU",D37="MDU-KD"),(IF($O$3="RAB NON MDU","PLN KD",G37*F37)),0)</f>
        <v>0</v>
      </c>
      <c r="I37" s="361">
        <f t="shared" ref="I37:I57" ca="1" si="29">IF(D37="HDW",G37*F37,0)</f>
        <v>0</v>
      </c>
      <c r="J37" s="361">
        <f t="shared" ref="J37:J57" ca="1" si="30">IF(D37="JASA",G37*F37,0)</f>
        <v>0</v>
      </c>
      <c r="K37" s="362">
        <f t="shared" ref="K37:K57" ca="1" si="31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4">
        <v>1</v>
      </c>
      <c r="C38" s="515" t="s">
        <v>28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26500</v>
      </c>
      <c r="H38" s="361">
        <f t="shared" ca="1" si="28"/>
        <v>0</v>
      </c>
      <c r="I38" s="361">
        <f t="shared" ca="1" si="29"/>
        <v>26500</v>
      </c>
      <c r="J38" s="361">
        <f t="shared" ca="1" si="30"/>
        <v>0</v>
      </c>
      <c r="K38" s="362">
        <f t="shared" ca="1" si="31"/>
        <v>26500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4">
        <v>2</v>
      </c>
      <c r="C39" s="515" t="s">
        <v>203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12500</v>
      </c>
      <c r="H39" s="361">
        <f t="shared" ca="1" si="28"/>
        <v>0</v>
      </c>
      <c r="I39" s="361">
        <f t="shared" ca="1" si="29"/>
        <v>12500</v>
      </c>
      <c r="J39" s="361">
        <f t="shared" ca="1" si="30"/>
        <v>0</v>
      </c>
      <c r="K39" s="362">
        <f t="shared" ca="1" si="31"/>
        <v>12500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4">
        <v>3</v>
      </c>
      <c r="C40" s="515" t="s">
        <v>206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F37*12</f>
        <v>12</v>
      </c>
      <c r="G40" s="360">
        <f ca="1">IF(ISERROR(OFFSET('HARGA SATUAN'!$I$6,MATCH(RAB!C40,'HARGA SATUAN'!$C$7:$C$1492,0),0)),0,OFFSET('HARGA SATUAN'!$I$6,MATCH(RAB!C40,'HARGA SATUAN'!$C$7:$C$1492,0),0))</f>
        <v>39204</v>
      </c>
      <c r="H40" s="361">
        <f t="shared" ca="1" si="28"/>
        <v>0</v>
      </c>
      <c r="I40" s="361">
        <f t="shared" ca="1" si="29"/>
        <v>470448</v>
      </c>
      <c r="J40" s="361">
        <f t="shared" ca="1" si="30"/>
        <v>0</v>
      </c>
      <c r="K40" s="362">
        <f t="shared" ca="1" si="31"/>
        <v>470448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4">
        <v>4</v>
      </c>
      <c r="C41" s="515" t="s">
        <v>287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F37*2</f>
        <v>2</v>
      </c>
      <c r="G41" s="360">
        <f ca="1">IF(ISERROR(OFFSET('HARGA SATUAN'!$I$6,MATCH(RAB!C41,'HARGA SATUAN'!$C$7:$C$1492,0),0)),0,OFFSET('HARGA SATUAN'!$I$6,MATCH(RAB!C41,'HARGA SATUAN'!$C$7:$C$1492,0),0))</f>
        <v>40000</v>
      </c>
      <c r="H41" s="361">
        <f t="shared" ca="1" si="28"/>
        <v>0</v>
      </c>
      <c r="I41" s="361">
        <f t="shared" ca="1" si="29"/>
        <v>80000</v>
      </c>
      <c r="J41" s="361">
        <f t="shared" ca="1" si="30"/>
        <v>0</v>
      </c>
      <c r="K41" s="362">
        <f t="shared" ca="1" si="31"/>
        <v>80000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4">
        <v>5</v>
      </c>
      <c r="C42" s="515" t="s">
        <v>26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2500</v>
      </c>
      <c r="H42" s="361">
        <f t="shared" ca="1" si="28"/>
        <v>0</v>
      </c>
      <c r="I42" s="361">
        <f t="shared" ca="1" si="29"/>
        <v>2500</v>
      </c>
      <c r="J42" s="361">
        <f t="shared" ca="1" si="30"/>
        <v>0</v>
      </c>
      <c r="K42" s="362">
        <f t="shared" ca="1" si="31"/>
        <v>2500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4">
        <v>6</v>
      </c>
      <c r="C43" s="515" t="s">
        <v>760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f>F37*1</f>
        <v>1</v>
      </c>
      <c r="G43" s="360">
        <f ca="1">IF(ISERROR(OFFSET('HARGA SATUAN'!$I$6,MATCH(RAB!C43,'HARGA SATUAN'!$C$7:$C$1492,0),0)),0,OFFSET('HARGA SATUAN'!$I$6,MATCH(RAB!C43,'HARGA SATUAN'!$C$7:$C$1492,0),0))</f>
        <v>36600</v>
      </c>
      <c r="H43" s="361">
        <f t="shared" ca="1" si="28"/>
        <v>0</v>
      </c>
      <c r="I43" s="361">
        <f t="shared" ca="1" si="29"/>
        <v>0</v>
      </c>
      <c r="J43" s="361">
        <f t="shared" ca="1" si="30"/>
        <v>36600</v>
      </c>
      <c r="K43" s="362">
        <f t="shared" ca="1" si="31"/>
        <v>36600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4"/>
      <c r="C44" s="515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16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4" t="s">
        <v>1035</v>
      </c>
      <c r="C45" s="515" t="s">
        <v>1634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f>F37</f>
        <v>1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28"/>
        <v>0</v>
      </c>
      <c r="I45" s="361">
        <f t="shared" ca="1" si="29"/>
        <v>0</v>
      </c>
      <c r="J45" s="361">
        <f t="shared" ca="1" si="30"/>
        <v>0</v>
      </c>
      <c r="K45" s="362">
        <f t="shared" ca="1" si="31"/>
        <v>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4">
        <v>1</v>
      </c>
      <c r="C46" s="515" t="s">
        <v>597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F45*1</f>
        <v>1</v>
      </c>
      <c r="G46" s="360">
        <f ca="1">IF(ISERROR(OFFSET('HARGA SATUAN'!$I$6,MATCH(RAB!C46,'HARGA SATUAN'!$C$7:$C$1492,0),0)),0,OFFSET('HARGA SATUAN'!$I$6,MATCH(RAB!C46,'HARGA SATUAN'!$C$7:$C$1492,0),0))</f>
        <v>120900</v>
      </c>
      <c r="H46" s="361">
        <f t="shared" ca="1" si="28"/>
        <v>0</v>
      </c>
      <c r="I46" s="361">
        <f t="shared" ca="1" si="29"/>
        <v>120900</v>
      </c>
      <c r="J46" s="361">
        <f t="shared" ca="1" si="30"/>
        <v>0</v>
      </c>
      <c r="K46" s="362">
        <f t="shared" ca="1" si="31"/>
        <v>120900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4">
        <v>2</v>
      </c>
      <c r="C47" s="515" t="s">
        <v>261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F45*1</f>
        <v>1</v>
      </c>
      <c r="G47" s="360">
        <f ca="1">IF(ISERROR(OFFSET('HARGA SATUAN'!$I$6,MATCH(RAB!C47,'HARGA SATUAN'!$C$7:$C$1492,0),0)),0,OFFSET('HARGA SATUAN'!$I$6,MATCH(RAB!C47,'HARGA SATUAN'!$C$7:$C$1492,0),0))</f>
        <v>135800</v>
      </c>
      <c r="H47" s="361">
        <f t="shared" ca="1" si="28"/>
        <v>0</v>
      </c>
      <c r="I47" s="361">
        <f t="shared" ca="1" si="29"/>
        <v>135800</v>
      </c>
      <c r="J47" s="361">
        <f t="shared" ca="1" si="30"/>
        <v>0</v>
      </c>
      <c r="K47" s="362">
        <f t="shared" ca="1" si="31"/>
        <v>135800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4">
        <v>3</v>
      </c>
      <c r="C48" s="515" t="s">
        <v>214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6">
        <f>F45*1</f>
        <v>1</v>
      </c>
      <c r="G48" s="360">
        <f ca="1">IF(ISERROR(OFFSET('HARGA SATUAN'!$I$6,MATCH(RAB!C48,'HARGA SATUAN'!$C$7:$C$1492,0),0)),0,OFFSET('HARGA SATUAN'!$I$6,MATCH(RAB!C48,'HARGA SATUAN'!$C$7:$C$1492,0),0))</f>
        <v>4500</v>
      </c>
      <c r="H48" s="361">
        <f t="shared" ca="1" si="28"/>
        <v>0</v>
      </c>
      <c r="I48" s="361">
        <f t="shared" ca="1" si="29"/>
        <v>4500</v>
      </c>
      <c r="J48" s="361">
        <f t="shared" ca="1" si="30"/>
        <v>0</v>
      </c>
      <c r="K48" s="362">
        <f t="shared" ca="1" si="31"/>
        <v>4500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4">
        <v>4</v>
      </c>
      <c r="C49" s="515" t="s">
        <v>768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f>F45*1</f>
        <v>1</v>
      </c>
      <c r="G49" s="360">
        <f ca="1">IF(ISERROR(OFFSET('HARGA SATUAN'!$I$6,MATCH(RAB!C49,'HARGA SATUAN'!$C$7:$C$1492,0),0)),0,OFFSET('HARGA SATUAN'!$I$6,MATCH(RAB!C49,'HARGA SATUAN'!$C$7:$C$1492,0),0))</f>
        <v>55500</v>
      </c>
      <c r="H49" s="361">
        <f t="shared" ca="1" si="28"/>
        <v>0</v>
      </c>
      <c r="I49" s="361">
        <f t="shared" ca="1" si="29"/>
        <v>0</v>
      </c>
      <c r="J49" s="361">
        <f t="shared" ca="1" si="30"/>
        <v>55500</v>
      </c>
      <c r="K49" s="362">
        <f t="shared" ca="1" si="31"/>
        <v>55500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4"/>
      <c r="C50" s="515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16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8"/>
        <v>0</v>
      </c>
      <c r="I50" s="361">
        <f t="shared" ca="1" si="29"/>
        <v>0</v>
      </c>
      <c r="J50" s="361">
        <f t="shared" ca="1" si="30"/>
        <v>0</v>
      </c>
      <c r="K50" s="362">
        <f t="shared" ca="1" si="31"/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4" t="s">
        <v>1035</v>
      </c>
      <c r="C51" s="515" t="s">
        <v>1635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f>F37</f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4">
        <v>1</v>
      </c>
      <c r="C52" s="515" t="s">
        <v>30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F51*1</f>
        <v>1</v>
      </c>
      <c r="G52" s="360">
        <f ca="1">IF(ISERROR(OFFSET('HARGA SATUAN'!$I$6,MATCH(RAB!C52,'HARGA SATUAN'!$C$7:$C$1492,0),0)),0,OFFSET('HARGA SATUAN'!$I$6,MATCH(RAB!C52,'HARGA SATUAN'!$C$7:$C$1492,0),0))</f>
        <v>47459</v>
      </c>
      <c r="H52" s="361">
        <f t="shared" ca="1" si="28"/>
        <v>0</v>
      </c>
      <c r="I52" s="361">
        <f t="shared" ca="1" si="29"/>
        <v>47459</v>
      </c>
      <c r="J52" s="361">
        <f t="shared" ca="1" si="30"/>
        <v>0</v>
      </c>
      <c r="K52" s="362">
        <f t="shared" ca="1" si="31"/>
        <v>47459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4">
        <v>2</v>
      </c>
      <c r="C53" s="515" t="s">
        <v>32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f>F51*0.8</f>
        <v>0.8</v>
      </c>
      <c r="G53" s="360">
        <f ca="1">IF(ISERROR(OFFSET('HARGA SATUAN'!$I$6,MATCH(RAB!C53,'HARGA SATUAN'!$C$7:$C$1492,0),0)),0,OFFSET('HARGA SATUAN'!$I$6,MATCH(RAB!C53,'HARGA SATUAN'!$C$7:$C$1492,0),0))</f>
        <v>30000</v>
      </c>
      <c r="H53" s="361">
        <f t="shared" ca="1" si="28"/>
        <v>0</v>
      </c>
      <c r="I53" s="361">
        <f t="shared" ca="1" si="29"/>
        <v>24000</v>
      </c>
      <c r="J53" s="361">
        <f t="shared" ca="1" si="30"/>
        <v>0</v>
      </c>
      <c r="K53" s="362">
        <f t="shared" ca="1" si="31"/>
        <v>24000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4">
        <v>3</v>
      </c>
      <c r="C54" s="515" t="s">
        <v>33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F51*1</f>
        <v>1</v>
      </c>
      <c r="G54" s="360">
        <f ca="1">IF(ISERROR(OFFSET('HARGA SATUAN'!$I$6,MATCH(RAB!C54,'HARGA SATUAN'!$C$7:$C$1492,0),0)),0,OFFSET('HARGA SATUAN'!$I$6,MATCH(RAB!C54,'HARGA SATUAN'!$C$7:$C$1492,0),0))</f>
        <v>9500</v>
      </c>
      <c r="H54" s="361">
        <f t="shared" ca="1" si="28"/>
        <v>0</v>
      </c>
      <c r="I54" s="361">
        <f t="shared" ca="1" si="29"/>
        <v>9500</v>
      </c>
      <c r="J54" s="361">
        <f t="shared" ca="1" si="30"/>
        <v>0</v>
      </c>
      <c r="K54" s="362">
        <f t="shared" ca="1" si="31"/>
        <v>9500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4">
        <v>4</v>
      </c>
      <c r="C55" s="515" t="s">
        <v>738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F51*1</f>
        <v>1</v>
      </c>
      <c r="G55" s="360">
        <f ca="1">IF(ISERROR(OFFSET('HARGA SATUAN'!$I$6,MATCH(RAB!C55,'HARGA SATUAN'!$C$7:$C$1492,0),0)),0,OFFSET('HARGA SATUAN'!$I$6,MATCH(RAB!C55,'HARGA SATUAN'!$C$7:$C$1492,0),0))</f>
        <v>21200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21200</v>
      </c>
      <c r="K55" s="362">
        <f t="shared" ca="1" si="31"/>
        <v>21200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1"/>
      <c r="C56" s="512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498"/>
      <c r="C57" s="507" t="s">
        <v>1621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498">
        <v>1</v>
      </c>
      <c r="C58" s="109" t="s">
        <v>1402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v>100</v>
      </c>
      <c r="G58" s="360">
        <f ca="1">IF(ISERROR(OFFSET('HARGA SATUAN'!$I$6,MATCH(RAB!C58,'HARGA SATUAN'!$C$7:$C$1492,0),0)),0,OFFSET('HARGA SATUAN'!$I$6,MATCH(RAB!C58,'HARGA SATUAN'!$C$7:$C$1492,0),0))</f>
        <v>53300</v>
      </c>
      <c r="H58" s="361">
        <f t="shared" ref="H58:H59" ca="1" si="32">IF(OR(D58="MDU",D58="MDU-KD"),(IF($O$3="RAB NON MDU","PLN KD",G58*F58)),0)</f>
        <v>5330000</v>
      </c>
      <c r="I58" s="361">
        <f t="shared" ref="I58:I59" ca="1" si="33">IF(D58="HDW",G58*F58,0)</f>
        <v>0</v>
      </c>
      <c r="J58" s="361">
        <f t="shared" ref="J58:J59" ca="1" si="34">IF(D58="JASA",G58*F58,0)</f>
        <v>0</v>
      </c>
      <c r="K58" s="362">
        <f t="shared" ref="K58:K59" ca="1" si="35">SUM(H58:J58)</f>
        <v>5330000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498">
        <v>2</v>
      </c>
      <c r="C59" s="109" t="s">
        <v>347</v>
      </c>
      <c r="D59" s="504" t="s">
        <v>47</v>
      </c>
      <c r="E59" s="505" t="s">
        <v>297</v>
      </c>
      <c r="F59" s="505">
        <f>F58/50</f>
        <v>2</v>
      </c>
      <c r="G59" s="506">
        <v>85000</v>
      </c>
      <c r="H59" s="361">
        <f t="shared" si="32"/>
        <v>0</v>
      </c>
      <c r="I59" s="361">
        <f t="shared" si="33"/>
        <v>0</v>
      </c>
      <c r="J59" s="361">
        <f t="shared" si="34"/>
        <v>170000</v>
      </c>
      <c r="K59" s="362">
        <f t="shared" si="35"/>
        <v>170000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498"/>
      <c r="C60" s="499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1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62" ca="1" si="36">IF(OR(D60="MDU",D60="MDU-KD"),(IF($O$3="RAB NON MDU","PLN KD",G60*F60)),0)</f>
        <v>0</v>
      </c>
      <c r="I60" s="361">
        <f t="shared" ref="I60:I62" ca="1" si="37">IF(D60="HDW",G60*F60,0)</f>
        <v>0</v>
      </c>
      <c r="J60" s="361">
        <f t="shared" ref="J60:J62" ca="1" si="38">IF(D60="JASA",G60*F60,0)</f>
        <v>0</v>
      </c>
      <c r="K60" s="362">
        <f t="shared" ref="K60:K62" ca="1" si="39">SUM(H60:J60)</f>
        <v>0</v>
      </c>
      <c r="L60" s="342"/>
      <c r="M60" s="342"/>
      <c r="N60" s="369"/>
      <c r="O60" s="344"/>
      <c r="P60" s="397"/>
      <c r="Q60" s="344"/>
    </row>
    <row r="61" spans="1:17">
      <c r="B61" s="366" t="s">
        <v>1614</v>
      </c>
      <c r="C61" s="367" t="s">
        <v>1616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</row>
    <row r="62" spans="1:17">
      <c r="B62" s="494"/>
      <c r="C62" s="497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</row>
    <row r="63" spans="1:17">
      <c r="B63" s="495" t="s">
        <v>1615</v>
      </c>
      <c r="C63" s="500" t="s">
        <v>1619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36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:H69" ca="1" si="40">IF(OR(D63="MDU",D63="MDU-KD"),(IF($O$3="RAB NON MDU","PLN KD",G63*F63)),0)</f>
        <v>0</v>
      </c>
      <c r="I63" s="361">
        <f t="shared" ref="I63:I69" ca="1" si="41">IF(D63="HDW",G63*F63,0)</f>
        <v>0</v>
      </c>
      <c r="J63" s="361">
        <f t="shared" ref="J63:J69" ca="1" si="42">IF(D63="JASA",G63*F63,0)</f>
        <v>0</v>
      </c>
      <c r="K63" s="362">
        <f t="shared" ref="K63:K69" ca="1" si="43">SUM(H63:J63)</f>
        <v>0</v>
      </c>
    </row>
    <row r="64" spans="1:17">
      <c r="B64" s="495"/>
      <c r="C64" s="496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3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40"/>
        <v>0</v>
      </c>
      <c r="I64" s="361">
        <f t="shared" ca="1" si="41"/>
        <v>0</v>
      </c>
      <c r="J64" s="361">
        <f t="shared" ca="1" si="42"/>
        <v>0</v>
      </c>
      <c r="K64" s="362">
        <f t="shared" ca="1" si="43"/>
        <v>0</v>
      </c>
    </row>
    <row r="65" spans="2:11">
      <c r="B65" s="495" t="s">
        <v>1035</v>
      </c>
      <c r="C65" s="496" t="s">
        <v>1623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10">
        <v>1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40"/>
        <v>0</v>
      </c>
      <c r="I65" s="361">
        <f t="shared" ca="1" si="41"/>
        <v>0</v>
      </c>
      <c r="J65" s="361">
        <f t="shared" ca="1" si="42"/>
        <v>0</v>
      </c>
      <c r="K65" s="362">
        <f t="shared" ca="1" si="43"/>
        <v>0</v>
      </c>
    </row>
    <row r="66" spans="2:11" ht="30">
      <c r="B66" s="508">
        <v>1</v>
      </c>
      <c r="C66" s="109" t="s">
        <v>1141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0">
        <f>F65*1</f>
        <v>1</v>
      </c>
      <c r="G66" s="360">
        <f ca="1">IF(ISERROR(OFFSET('HARGA SATUAN'!$I$6,MATCH(RAB!C66,'HARGA SATUAN'!$C$7:$C$1492,0),0)),0,OFFSET('HARGA SATUAN'!$I$6,MATCH(RAB!C66,'HARGA SATUAN'!$C$7:$C$1492,0),0))</f>
        <v>1740750</v>
      </c>
      <c r="H66" s="361">
        <f t="shared" ca="1" si="40"/>
        <v>1740750</v>
      </c>
      <c r="I66" s="361">
        <f t="shared" ca="1" si="41"/>
        <v>0</v>
      </c>
      <c r="J66" s="361">
        <f t="shared" ca="1" si="42"/>
        <v>0</v>
      </c>
      <c r="K66" s="362">
        <f t="shared" ca="1" si="43"/>
        <v>1740750</v>
      </c>
    </row>
    <row r="67" spans="2:11">
      <c r="B67" s="508">
        <v>2</v>
      </c>
      <c r="C67" s="509" t="s">
        <v>493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10">
        <f>F65*1</f>
        <v>1</v>
      </c>
      <c r="G67" s="360">
        <f ca="1">IF(ISERROR(OFFSET('HARGA SATUAN'!$I$6,MATCH(RAB!C67,'HARGA SATUAN'!$C$7:$C$1492,0),0)),0,OFFSET('HARGA SATUAN'!$I$6,MATCH(RAB!C67,'HARGA SATUAN'!$C$7:$C$1492,0),0))</f>
        <v>39000</v>
      </c>
      <c r="H67" s="361">
        <f t="shared" ca="1" si="40"/>
        <v>39000</v>
      </c>
      <c r="I67" s="361">
        <f t="shared" ca="1" si="41"/>
        <v>0</v>
      </c>
      <c r="J67" s="361">
        <f t="shared" ca="1" si="42"/>
        <v>0</v>
      </c>
      <c r="K67" s="362">
        <f t="shared" ca="1" si="43"/>
        <v>39000</v>
      </c>
    </row>
    <row r="68" spans="2:11">
      <c r="B68" s="508">
        <v>3</v>
      </c>
      <c r="C68" s="509" t="s">
        <v>74</v>
      </c>
      <c r="D68" s="358" t="str">
        <f ca="1">IF(ISERROR(OFFSET('HARGA SATUAN'!$D$6,MATCH(RAB!C68,'HARGA SATUAN'!$C$7:$C$1492,0),0)),"",OFFSET('HARGA SATUAN'!$D$6,MATCH(RAB!C68,'HARGA SATUAN'!$C$7:$C$1492,0),0))</f>
        <v>MDU-KD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10">
        <f>F65*35</f>
        <v>35</v>
      </c>
      <c r="G68" s="360">
        <f ca="1">IF(ISERROR(OFFSET('HARGA SATUAN'!$I$6,MATCH(RAB!C68,'HARGA SATUAN'!$C$7:$C$1492,0),0)),0,OFFSET('HARGA SATUAN'!$I$6,MATCH(RAB!C68,'HARGA SATUAN'!$C$7:$C$1492,0),0))</f>
        <v>6600</v>
      </c>
      <c r="H68" s="361">
        <f t="shared" ca="1" si="40"/>
        <v>231000</v>
      </c>
      <c r="I68" s="361">
        <f t="shared" ca="1" si="41"/>
        <v>0</v>
      </c>
      <c r="J68" s="361">
        <f t="shared" ca="1" si="42"/>
        <v>0</v>
      </c>
      <c r="K68" s="362">
        <f t="shared" ca="1" si="43"/>
        <v>231000</v>
      </c>
    </row>
    <row r="69" spans="2:11">
      <c r="B69" s="508">
        <v>4</v>
      </c>
      <c r="C69" s="509" t="s">
        <v>798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10">
        <f>F65*1</f>
        <v>1</v>
      </c>
      <c r="G69" s="360">
        <f ca="1">IF(ISERROR(OFFSET('HARGA SATUAN'!$I$6,MATCH(RAB!C69,'HARGA SATUAN'!$C$7:$C$1492,0),0)),0,OFFSET('HARGA SATUAN'!$I$6,MATCH(RAB!C69,'HARGA SATUAN'!$C$7:$C$1492,0),0))</f>
        <v>54400</v>
      </c>
      <c r="H69" s="361">
        <f t="shared" ca="1" si="40"/>
        <v>0</v>
      </c>
      <c r="I69" s="361">
        <f t="shared" ca="1" si="41"/>
        <v>0</v>
      </c>
      <c r="J69" s="361">
        <f t="shared" ca="1" si="42"/>
        <v>54400</v>
      </c>
      <c r="K69" s="362">
        <f t="shared" ca="1" si="43"/>
        <v>54400</v>
      </c>
    </row>
    <row r="70" spans="2:11">
      <c r="B70" s="374"/>
      <c r="C70" s="502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82" ca="1" si="44">IF(OR(D70="MDU",D70="MDU-KD"),(IF($O$3="RAB NON MDU","PLN KD",G70*F70)),0)</f>
        <v>0</v>
      </c>
      <c r="I70" s="361">
        <f t="shared" ref="I70:I82" ca="1" si="45">IF(D70="HDW",G70*F70,0)</f>
        <v>0</v>
      </c>
      <c r="J70" s="361">
        <f t="shared" ref="J70:J82" ca="1" si="46">IF(D70="JASA",G70*F70,0)</f>
        <v>0</v>
      </c>
      <c r="K70" s="362">
        <f t="shared" ref="K70:K82" ca="1" si="47">SUM(H70:J70)</f>
        <v>0</v>
      </c>
    </row>
    <row r="71" spans="2:11">
      <c r="B71" s="508" t="s">
        <v>1035</v>
      </c>
      <c r="C71" s="509" t="s">
        <v>1622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10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4"/>
        <v>0</v>
      </c>
      <c r="I71" s="361">
        <f t="shared" ca="1" si="45"/>
        <v>0</v>
      </c>
      <c r="J71" s="361">
        <f t="shared" ca="1" si="46"/>
        <v>0</v>
      </c>
      <c r="K71" s="362">
        <f t="shared" ca="1" si="47"/>
        <v>0</v>
      </c>
    </row>
    <row r="72" spans="2:11">
      <c r="B72" s="508">
        <v>1</v>
      </c>
      <c r="C72" s="509" t="s">
        <v>115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510">
        <f>F71*1</f>
        <v>1</v>
      </c>
      <c r="G72" s="360">
        <f ca="1">IF(ISERROR(OFFSET('HARGA SATUAN'!$I$6,MATCH(RAB!C72,'HARGA SATUAN'!$C$7:$C$1492,0),0)),0,OFFSET('HARGA SATUAN'!$I$6,MATCH(RAB!C72,'HARGA SATUAN'!$C$7:$C$1492,0),0))</f>
        <v>11500</v>
      </c>
      <c r="H72" s="361">
        <f t="shared" ca="1" si="44"/>
        <v>0</v>
      </c>
      <c r="I72" s="361">
        <f t="shared" ca="1" si="45"/>
        <v>11500</v>
      </c>
      <c r="J72" s="361">
        <f t="shared" ca="1" si="46"/>
        <v>0</v>
      </c>
      <c r="K72" s="362">
        <f t="shared" ca="1" si="47"/>
        <v>11500</v>
      </c>
    </row>
    <row r="73" spans="2:11">
      <c r="B73" s="508">
        <v>2</v>
      </c>
      <c r="C73" s="509" t="s">
        <v>145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Set</v>
      </c>
      <c r="F73" s="510">
        <f>F71*1</f>
        <v>1</v>
      </c>
      <c r="G73" s="360">
        <f ca="1">IF(ISERROR(OFFSET('HARGA SATUAN'!$I$6,MATCH(RAB!C73,'HARGA SATUAN'!$C$7:$C$1492,0),0)),0,OFFSET('HARGA SATUAN'!$I$6,MATCH(RAB!C73,'HARGA SATUAN'!$C$7:$C$1492,0),0))</f>
        <v>6200</v>
      </c>
      <c r="H73" s="361">
        <f t="shared" ca="1" si="44"/>
        <v>0</v>
      </c>
      <c r="I73" s="361">
        <f t="shared" ca="1" si="45"/>
        <v>6200</v>
      </c>
      <c r="J73" s="361">
        <f t="shared" ca="1" si="46"/>
        <v>0</v>
      </c>
      <c r="K73" s="362">
        <f t="shared" ca="1" si="47"/>
        <v>6200</v>
      </c>
    </row>
    <row r="74" spans="2:11">
      <c r="B74" s="508">
        <v>3</v>
      </c>
      <c r="C74" s="509" t="s">
        <v>587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Btg</v>
      </c>
      <c r="F74" s="510">
        <f>F71*1</f>
        <v>1</v>
      </c>
      <c r="G74" s="360">
        <f ca="1">IF(ISERROR(OFFSET('HARGA SATUAN'!$I$6,MATCH(RAB!C74,'HARGA SATUAN'!$C$7:$C$1492,0),0)),0,OFFSET('HARGA SATUAN'!$I$6,MATCH(RAB!C74,'HARGA SATUAN'!$C$7:$C$1492,0),0))</f>
        <v>45796</v>
      </c>
      <c r="H74" s="361">
        <f t="shared" ca="1" si="44"/>
        <v>0</v>
      </c>
      <c r="I74" s="361">
        <f t="shared" ca="1" si="45"/>
        <v>45796</v>
      </c>
      <c r="J74" s="361">
        <f t="shared" ca="1" si="46"/>
        <v>0</v>
      </c>
      <c r="K74" s="362">
        <f t="shared" ca="1" si="47"/>
        <v>45796</v>
      </c>
    </row>
    <row r="75" spans="2:11">
      <c r="B75" s="508">
        <v>4</v>
      </c>
      <c r="C75" s="509" t="s">
        <v>118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10">
        <f>F71*1</f>
        <v>1</v>
      </c>
      <c r="G75" s="360">
        <f ca="1">IF(ISERROR(OFFSET('HARGA SATUAN'!$I$6,MATCH(RAB!C75,'HARGA SATUAN'!$C$7:$C$1492,0),0)),0,OFFSET('HARGA SATUAN'!$I$6,MATCH(RAB!C75,'HARGA SATUAN'!$C$7:$C$1492,0),0))</f>
        <v>5300</v>
      </c>
      <c r="H75" s="361">
        <f t="shared" ca="1" si="44"/>
        <v>0</v>
      </c>
      <c r="I75" s="361">
        <f t="shared" ca="1" si="45"/>
        <v>5300</v>
      </c>
      <c r="J75" s="361">
        <f t="shared" ca="1" si="46"/>
        <v>0</v>
      </c>
      <c r="K75" s="362">
        <f t="shared" ca="1" si="47"/>
        <v>5300</v>
      </c>
    </row>
    <row r="76" spans="2:11">
      <c r="B76" s="508">
        <v>5</v>
      </c>
      <c r="C76" s="509" t="s">
        <v>117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10">
        <f>F71*1</f>
        <v>1</v>
      </c>
      <c r="G76" s="360">
        <f ca="1">IF(ISERROR(OFFSET('HARGA SATUAN'!$I$6,MATCH(RAB!C76,'HARGA SATUAN'!$C$7:$C$1492,0),0)),0,OFFSET('HARGA SATUAN'!$I$6,MATCH(RAB!C76,'HARGA SATUAN'!$C$7:$C$1492,0),0))</f>
        <v>58600</v>
      </c>
      <c r="H76" s="361">
        <f t="shared" ca="1" si="44"/>
        <v>0</v>
      </c>
      <c r="I76" s="361">
        <f t="shared" ca="1" si="45"/>
        <v>58600</v>
      </c>
      <c r="J76" s="361">
        <f t="shared" ca="1" si="46"/>
        <v>0</v>
      </c>
      <c r="K76" s="362">
        <f t="shared" ca="1" si="47"/>
        <v>58600</v>
      </c>
    </row>
    <row r="77" spans="2:11">
      <c r="B77" s="508">
        <v>6</v>
      </c>
      <c r="C77" s="109" t="s">
        <v>1154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Set</v>
      </c>
      <c r="F77" s="510">
        <f>F71*1</f>
        <v>1</v>
      </c>
      <c r="G77" s="360">
        <f ca="1">IF(ISERROR(OFFSET('HARGA SATUAN'!$I$6,MATCH(RAB!C77,'HARGA SATUAN'!$C$7:$C$1492,0),0)),0,OFFSET('HARGA SATUAN'!$I$6,MATCH(RAB!C77,'HARGA SATUAN'!$C$7:$C$1492,0),0))</f>
        <v>3888</v>
      </c>
      <c r="H77" s="361">
        <f t="shared" ca="1" si="44"/>
        <v>0</v>
      </c>
      <c r="I77" s="361">
        <f t="shared" ca="1" si="45"/>
        <v>3888</v>
      </c>
      <c r="J77" s="361">
        <f t="shared" ca="1" si="46"/>
        <v>0</v>
      </c>
      <c r="K77" s="362">
        <f t="shared" ca="1" si="47"/>
        <v>3888</v>
      </c>
    </row>
    <row r="78" spans="2:11">
      <c r="B78" s="508">
        <v>7</v>
      </c>
      <c r="C78" s="509" t="s">
        <v>119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Set</v>
      </c>
      <c r="F78" s="510">
        <f>F71*2</f>
        <v>2</v>
      </c>
      <c r="G78" s="360">
        <f ca="1">IF(ISERROR(OFFSET('HARGA SATUAN'!$I$6,MATCH(RAB!C78,'HARGA SATUAN'!$C$7:$C$1492,0),0)),0,OFFSET('HARGA SATUAN'!$I$6,MATCH(RAB!C78,'HARGA SATUAN'!$C$7:$C$1492,0),0))</f>
        <v>8900</v>
      </c>
      <c r="H78" s="361">
        <f t="shared" ca="1" si="44"/>
        <v>0</v>
      </c>
      <c r="I78" s="361">
        <f t="shared" ca="1" si="45"/>
        <v>17800</v>
      </c>
      <c r="J78" s="361">
        <f t="shared" ca="1" si="46"/>
        <v>0</v>
      </c>
      <c r="K78" s="362">
        <f t="shared" ca="1" si="47"/>
        <v>17800</v>
      </c>
    </row>
    <row r="79" spans="2:11">
      <c r="B79" s="374"/>
      <c r="C79" s="502"/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44"/>
        <v>0</v>
      </c>
      <c r="I79" s="361">
        <f t="shared" ca="1" si="45"/>
        <v>0</v>
      </c>
      <c r="J79" s="361">
        <f t="shared" ca="1" si="46"/>
        <v>0</v>
      </c>
      <c r="K79" s="362">
        <f t="shared" ca="1" si="47"/>
        <v>0</v>
      </c>
    </row>
    <row r="80" spans="2:11">
      <c r="B80" s="366" t="s">
        <v>22</v>
      </c>
      <c r="C80" s="367" t="s">
        <v>1617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4"/>
        <v>0</v>
      </c>
      <c r="I80" s="361">
        <f t="shared" ca="1" si="45"/>
        <v>0</v>
      </c>
      <c r="J80" s="361">
        <f t="shared" ca="1" si="46"/>
        <v>0</v>
      </c>
      <c r="K80" s="362">
        <f t="shared" ca="1" si="47"/>
        <v>0</v>
      </c>
    </row>
    <row r="81" spans="2:13">
      <c r="B81" s="374"/>
      <c r="C81" s="373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36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44"/>
        <v>0</v>
      </c>
      <c r="I81" s="361">
        <f t="shared" ca="1" si="45"/>
        <v>0</v>
      </c>
      <c r="J81" s="361">
        <f t="shared" ca="1" si="46"/>
        <v>0</v>
      </c>
      <c r="K81" s="362">
        <f t="shared" ca="1" si="47"/>
        <v>0</v>
      </c>
    </row>
    <row r="82" spans="2:13">
      <c r="B82" s="375"/>
      <c r="C82" s="376" t="s">
        <v>475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4"/>
        <v>0</v>
      </c>
      <c r="I82" s="361">
        <f t="shared" ca="1" si="45"/>
        <v>0</v>
      </c>
      <c r="J82" s="361">
        <f t="shared" ca="1" si="46"/>
        <v>0</v>
      </c>
      <c r="K82" s="362">
        <f t="shared" ca="1" si="47"/>
        <v>0</v>
      </c>
    </row>
    <row r="83" spans="2:13">
      <c r="B83" s="378">
        <v>1</v>
      </c>
      <c r="C83" s="379" t="s">
        <v>1091</v>
      </c>
      <c r="D83" s="380" t="str">
        <f ca="1">IF(ISERROR(OFFSET('HARGA SATUAN'!$D$6,MATCH(RAB!C83,'HARGA SATUAN'!$C$7:$C$1492,0),0)),"",OFFSET('HARGA SATUAN'!$D$6,MATCH(RAB!C83,'HARGA SATUAN'!$C$7:$C$1492,0),0))</f>
        <v>JASA</v>
      </c>
      <c r="E83" s="381" t="str">
        <f ca="1">IF(ISERROR(OFFSET('HARGA SATUAN'!$E$6,MATCH(RAB!C83,'HARGA SATUAN'!$C$7:$C$1492,0),0)),"",OFFSET('HARGA SATUAN'!$E$6,MATCH(RAB!C83,'HARGA SATUAN'!$C$7:$C$1492,0),0))</f>
        <v>Lot</v>
      </c>
      <c r="F83" s="382">
        <v>1</v>
      </c>
      <c r="G83" s="383">
        <f ca="1">IF(ISERROR(OFFSET('HARGA SATUAN'!$I$6,MATCH(RAB!C83,'HARGA SATUAN'!$C$7:$C$1492,0),0)),0,OFFSET('HARGA SATUAN'!$I$6,MATCH(RAB!C83,'HARGA SATUAN'!$C$7:$C$1492,0),0))</f>
        <v>2.5000000000000001E-2</v>
      </c>
      <c r="H83" s="384"/>
      <c r="I83" s="384"/>
      <c r="J83" s="384">
        <f ca="1">SUM(K15:K20)*G83</f>
        <v>314130</v>
      </c>
      <c r="K83" s="385">
        <f ca="1">SUM(H83:J83)</f>
        <v>314130</v>
      </c>
    </row>
    <row r="84" spans="2:13">
      <c r="B84" s="386"/>
      <c r="C84" s="387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IF(ISERROR(OFFSET('HARGA SATUAN'!$E$6,MATCH(RAB!C84,'HARGA SATUAN'!$C$7:$C$1492,0),0)),"",OFFSET('HARGA SATUAN'!$E$6,MATCH(RAB!C84,'HARGA SATUAN'!$C$7:$C$1492,0),0))</f>
        <v/>
      </c>
      <c r="F84" s="377"/>
      <c r="G84" s="360" t="str">
        <f ca="1">IF(ISERROR(OFFSET('HARGA SATUAN'!$I$6,MATCH(RAB!C84,'HARGA SATUAN'!$C$7:$C$1492,0),0)),"",OFFSET('HARGA SATUAN'!$I$6,MATCH(RAB!C84,'HARGA SATUAN'!$C$7:$C$1492,0),0))</f>
        <v/>
      </c>
      <c r="H84" s="361">
        <f ca="1">IF(OR(D84="MDU",D84="MDU-KD"),IF(G84="PLN",0,G84*F84),0)</f>
        <v>0</v>
      </c>
      <c r="I84" s="361">
        <f ca="1">IF(D84="HDW",IF(G84="PLN",0,G84*F84),0)</f>
        <v>0</v>
      </c>
      <c r="J84" s="361">
        <f ca="1">IF(D84="JASA",IF(G84="PLN",0,G84*F84),0)</f>
        <v>0</v>
      </c>
      <c r="K84" s="362">
        <f ca="1">SUM(H84:J84)</f>
        <v>0</v>
      </c>
    </row>
    <row r="85" spans="2:13" ht="15.75" thickBot="1">
      <c r="B85" s="388"/>
      <c r="C85" s="389"/>
      <c r="D85" s="390"/>
      <c r="E85" s="391"/>
      <c r="F85" s="391"/>
      <c r="G85" s="391"/>
      <c r="H85" s="392"/>
      <c r="I85" s="392"/>
      <c r="J85" s="392"/>
      <c r="K85" s="393"/>
    </row>
    <row r="86" spans="2:13">
      <c r="B86" s="394"/>
      <c r="C86" s="636" t="s">
        <v>1008</v>
      </c>
      <c r="D86" s="636"/>
      <c r="E86" s="636"/>
      <c r="F86" s="636"/>
      <c r="G86" s="395" t="s">
        <v>9</v>
      </c>
      <c r="H86" s="396">
        <f ca="1">SUM(H14:H84)</f>
        <v>7340750</v>
      </c>
      <c r="I86" s="396">
        <f ca="1">SUM(I14:I84)</f>
        <v>14182501</v>
      </c>
      <c r="J86" s="396">
        <f ca="1">SUM(J14:J84)</f>
        <v>824030</v>
      </c>
      <c r="K86" s="396">
        <f ca="1">SUM(K14:K84)</f>
        <v>22347281</v>
      </c>
    </row>
    <row r="87" spans="2:13">
      <c r="B87" s="398"/>
      <c r="C87" s="619" t="s">
        <v>1457</v>
      </c>
      <c r="D87" s="619"/>
      <c r="E87" s="619"/>
      <c r="F87" s="619"/>
      <c r="G87" s="399" t="s">
        <v>9</v>
      </c>
      <c r="H87" s="400">
        <f ca="1">H86*0.11</f>
        <v>807482.5</v>
      </c>
      <c r="I87" s="400">
        <f ca="1">I86*0.11</f>
        <v>1560075.11</v>
      </c>
      <c r="J87" s="400">
        <f ca="1">J86*0.11</f>
        <v>90643.3</v>
      </c>
      <c r="K87" s="400">
        <f ca="1">K86*0.11</f>
        <v>2458200.91</v>
      </c>
    </row>
    <row r="88" spans="2:13" ht="15.75" thickBot="1">
      <c r="B88" s="398"/>
      <c r="C88" s="617" t="s">
        <v>463</v>
      </c>
      <c r="D88" s="617"/>
      <c r="E88" s="617"/>
      <c r="F88" s="617"/>
      <c r="G88" s="401" t="s">
        <v>9</v>
      </c>
      <c r="H88" s="402">
        <f ca="1">SUM(H86:H87)</f>
        <v>8148232.5</v>
      </c>
      <c r="I88" s="402">
        <f ca="1">SUM(I86:I87)</f>
        <v>15742576.109999999</v>
      </c>
      <c r="J88" s="401">
        <f ca="1">SUM(J86:J87)</f>
        <v>914673.3</v>
      </c>
      <c r="K88" s="401">
        <f ca="1">SUM(K86:K87)</f>
        <v>24805481.91</v>
      </c>
      <c r="M88" s="484"/>
    </row>
    <row r="89" spans="2:13">
      <c r="B89" s="620" t="str">
        <f ca="1">"Terbilang : "&amp;PROPER(IF(K88=0,"nol",IF(K88&lt;0,"minus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IF(--MID(TEXT(ABS(K88),"000000000000000"),1,3)=0,"",MID(TEXT(ABS(K88),"000000000000000"),1,1)&amp;" ratus "&amp;MID(TEXT(ABS(K88),"000000000000000"),2,1)&amp;" puluh "&amp;MID(TEXT(ABS(K88),"000000000000000"),3,1)&amp;" trilyun ")&amp; IF(--MID(TEXT(ABS(K88),"000000000000000"),4,3)=0,"",MID(TEXT(ABS(K88),"000000000000000"),4,1)&amp;" ratus "&amp;MID(TEXT(ABS(K88),"000000000000000"),5,1)&amp;" puluh "&amp;MID(TEXT(ABS(K88),"000000000000000"),6,1)&amp;" milyar ")&amp; IF(--MID(TEXT(ABS(K88),"000000000000000"),7,3)=0,"",MID(TEXT(ABS(K88),"000000000000000"),7,1)&amp;" ratus "&amp;MID(TEXT(ABS(K88),"000000000000000"),8,1)&amp;" puluh "&amp;MID(TEXT(ABS(K88),"000000000000000"),9,1)&amp;" juta ")&amp; 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 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Empat Juta Delapan Ratus Lima Ribu Empat Ratus Delapan Puluh Dua Rupiah</v>
      </c>
      <c r="C89" s="621"/>
      <c r="D89" s="621"/>
      <c r="E89" s="621"/>
      <c r="F89" s="621"/>
      <c r="G89" s="621"/>
      <c r="H89" s="621"/>
      <c r="I89" s="621"/>
      <c r="J89" s="621"/>
      <c r="K89" s="622"/>
    </row>
    <row r="90" spans="2:13">
      <c r="B90" s="623"/>
      <c r="C90" s="624"/>
      <c r="D90" s="624"/>
      <c r="E90" s="624"/>
      <c r="F90" s="624"/>
      <c r="G90" s="624"/>
      <c r="H90" s="624"/>
      <c r="I90" s="624"/>
      <c r="J90" s="624"/>
      <c r="K90" s="625"/>
    </row>
    <row r="91" spans="2:13" ht="15.75" thickBot="1">
      <c r="B91" s="403" t="str">
        <f>"Harga yang dipakai adalah "&amp;'HARGA SATUAN'!I5&amp;""</f>
        <v>Harga yang dipakai adalah RAB HSS 2023</v>
      </c>
      <c r="C91" s="404"/>
      <c r="D91" s="405"/>
      <c r="E91" s="405"/>
      <c r="F91" s="405"/>
      <c r="G91" s="406"/>
      <c r="H91" s="406"/>
      <c r="I91" s="406"/>
      <c r="J91" s="406"/>
      <c r="K91" s="407"/>
    </row>
    <row r="92" spans="2:13">
      <c r="C92" s="408"/>
      <c r="E92" s="410"/>
      <c r="F92" s="410"/>
      <c r="G92" s="410"/>
    </row>
    <row r="93" spans="2:13">
      <c r="C93" s="337"/>
      <c r="E93" s="410"/>
      <c r="F93" s="410"/>
      <c r="G93" s="410"/>
      <c r="H93" s="626"/>
      <c r="I93" s="626"/>
      <c r="J93" s="627"/>
      <c r="K93" s="627"/>
    </row>
    <row r="94" spans="2:13">
      <c r="C94" s="337"/>
      <c r="E94" s="410"/>
      <c r="F94" s="410"/>
      <c r="G94" s="410"/>
      <c r="H94" s="411"/>
      <c r="I94" s="616" t="s">
        <v>1610</v>
      </c>
      <c r="J94" s="616"/>
      <c r="K94" s="616"/>
    </row>
    <row r="95" spans="2:13">
      <c r="C95" s="337"/>
      <c r="E95" s="410"/>
      <c r="F95" s="410"/>
      <c r="G95" s="410"/>
      <c r="H95" s="411"/>
      <c r="I95" s="616" t="s">
        <v>1546</v>
      </c>
      <c r="J95" s="616"/>
      <c r="K95" s="616"/>
    </row>
    <row r="96" spans="2:13">
      <c r="C96" s="337"/>
      <c r="E96" s="410"/>
      <c r="F96" s="410"/>
      <c r="G96" s="410"/>
      <c r="H96" s="412"/>
      <c r="I96" s="413"/>
      <c r="J96" s="413"/>
      <c r="K96" s="413"/>
    </row>
    <row r="97" spans="3:11">
      <c r="C97" s="337"/>
      <c r="E97" s="410"/>
      <c r="F97" s="410"/>
      <c r="G97" s="410"/>
      <c r="H97" s="412"/>
      <c r="I97" s="412"/>
      <c r="J97" s="412"/>
      <c r="K97" s="412"/>
    </row>
    <row r="98" spans="3:11">
      <c r="C98" s="337"/>
      <c r="E98" s="410"/>
      <c r="F98" s="410"/>
      <c r="G98" s="410"/>
      <c r="H98" s="412"/>
      <c r="I98" s="412"/>
      <c r="J98" s="412"/>
      <c r="K98" s="412"/>
    </row>
    <row r="99" spans="3:11">
      <c r="C99" s="337"/>
      <c r="E99" s="410"/>
      <c r="F99" s="410"/>
      <c r="G99" s="410"/>
      <c r="H99" s="412"/>
      <c r="I99" s="412"/>
      <c r="J99" s="412"/>
      <c r="K99" s="412"/>
    </row>
    <row r="100" spans="3:11">
      <c r="C100" s="337"/>
      <c r="E100" s="410"/>
      <c r="F100" s="410"/>
      <c r="G100" s="410"/>
      <c r="H100" s="414"/>
      <c r="I100" s="616" t="s">
        <v>1547</v>
      </c>
      <c r="J100" s="616"/>
      <c r="K100" s="616"/>
    </row>
    <row r="101" spans="3:11">
      <c r="C101" s="408"/>
      <c r="E101" s="410"/>
      <c r="F101" s="410"/>
      <c r="G101" s="410"/>
      <c r="H101" s="412"/>
      <c r="I101" s="412"/>
      <c r="J101" s="412"/>
      <c r="K101" s="412"/>
    </row>
    <row r="102" spans="3:11">
      <c r="C102" s="408"/>
      <c r="E102" s="410"/>
      <c r="F102" s="410"/>
      <c r="G102" s="410"/>
      <c r="H102" s="412"/>
      <c r="I102" s="412"/>
      <c r="J102" s="412"/>
      <c r="K102" s="412"/>
    </row>
    <row r="103" spans="3:11">
      <c r="C103" s="408"/>
      <c r="E103" s="410"/>
      <c r="F103" s="410"/>
      <c r="G103" s="410"/>
      <c r="H103" s="412"/>
      <c r="I103" s="412"/>
      <c r="J103" s="412"/>
      <c r="K103" s="412"/>
    </row>
  </sheetData>
  <sheetProtection sort="0" autoFilter="0"/>
  <protectedRanges>
    <protectedRange sqref="B81 B64:B79" name="Range1_1"/>
    <protectedRange sqref="F60:F82 F14:F36 F56:F58" name="Range1_1_2_2"/>
    <protectedRange sqref="C81 C64:C65 C69:C79 C67" name="Range1_1_1"/>
    <protectedRange sqref="B62:C63" name="Range1_6_2"/>
    <protectedRange sqref="C68" name="Range1_1_3_13"/>
    <protectedRange sqref="C19" name="Range1_1_3"/>
    <protectedRange sqref="G59" name="Range1_3_7"/>
    <protectedRange sqref="C59" name="Range1_1_3_5"/>
    <protectedRange sqref="C58" name="Range1_1_3_6"/>
    <protectedRange sqref="C66" name="Range1_1_3_4"/>
    <protectedRange sqref="C17" name="Range1_1_3_9"/>
    <protectedRange sqref="C18" name="Range1_1_3_11"/>
    <protectedRange sqref="F37:F50" name="Range1_1_2_2_1"/>
    <protectedRange sqref="F51:F55" name="Range1_1_2_2_1_1"/>
  </protectedRanges>
  <mergeCells count="22">
    <mergeCell ref="O3:P4"/>
    <mergeCell ref="B4:K4"/>
    <mergeCell ref="C86:F86"/>
    <mergeCell ref="B11:B13"/>
    <mergeCell ref="C11:C13"/>
    <mergeCell ref="D11:D13"/>
    <mergeCell ref="E11:E13"/>
    <mergeCell ref="F11:F13"/>
    <mergeCell ref="G11:G13"/>
    <mergeCell ref="I12:I13"/>
    <mergeCell ref="I95:K95"/>
    <mergeCell ref="I100:K100"/>
    <mergeCell ref="C88:F88"/>
    <mergeCell ref="G6:K6"/>
    <mergeCell ref="I94:K94"/>
    <mergeCell ref="C87:F87"/>
    <mergeCell ref="B89:K90"/>
    <mergeCell ref="H93:K93"/>
    <mergeCell ref="H11:K11"/>
    <mergeCell ref="H12:H13"/>
    <mergeCell ref="J12:J13"/>
    <mergeCell ref="K12:K13"/>
  </mergeCells>
  <phoneticPr fontId="139" type="noConversion"/>
  <conditionalFormatting sqref="C15">
    <cfRule type="cellIs" dxfId="10" priority="504" operator="equal">
      <formula>0</formula>
    </cfRule>
  </conditionalFormatting>
  <conditionalFormatting sqref="C17:C20">
    <cfRule type="cellIs" dxfId="9" priority="3" operator="equal">
      <formula>0</formula>
    </cfRule>
  </conditionalFormatting>
  <conditionalFormatting sqref="C58:C59">
    <cfRule type="cellIs" dxfId="8" priority="22" operator="equal">
      <formula>0</formula>
    </cfRule>
  </conditionalFormatting>
  <conditionalFormatting sqref="C61">
    <cfRule type="cellIs" dxfId="7" priority="129" operator="equal">
      <formula>0</formula>
    </cfRule>
  </conditionalFormatting>
  <conditionalFormatting sqref="C66">
    <cfRule type="cellIs" dxfId="6" priority="9" operator="equal">
      <formula>0</formula>
    </cfRule>
  </conditionalFormatting>
  <conditionalFormatting sqref="C77">
    <cfRule type="cellIs" dxfId="5" priority="20" operator="equal">
      <formula>0</formula>
    </cfRule>
  </conditionalFormatting>
  <conditionalFormatting sqref="C80">
    <cfRule type="cellIs" dxfId="4" priority="127" operator="equal">
      <formula>0</formula>
    </cfRule>
  </conditionalFormatting>
  <conditionalFormatting sqref="D59:G59">
    <cfRule type="cellIs" dxfId="3" priority="30" operator="equal">
      <formula>0</formula>
    </cfRule>
  </conditionalFormatting>
  <conditionalFormatting sqref="E1:E3 G1:G13 E5:E13 H12:I12 O13 S14:V20 H59:K59 E60:K82 E83:G83 H83:K85 E84:H84 E85:F85">
    <cfRule type="cellIs" dxfId="2" priority="1084" stopIfTrue="1" operator="equal">
      <formula>0</formula>
    </cfRule>
  </conditionalFormatting>
  <conditionalFormatting sqref="E14:K58">
    <cfRule type="cellIs" dxfId="1" priority="1" stopIfTrue="1" operator="equal">
      <formula>0</formula>
    </cfRule>
  </conditionalFormatting>
  <conditionalFormatting sqref="G84:G65550 E89:E65550">
    <cfRule type="cellIs" dxfId="0" priority="218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60:F62 F22:F43 F49 F45:F47 F51:F58 H14:K8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9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55" zoomScaleNormal="115" zoomScaleSheetLayoutView="55" workbookViewId="0">
      <selection activeCell="S37" sqref="S3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9" t="s">
        <v>1439</v>
      </c>
      <c r="X2" s="700"/>
      <c r="Y2" s="700"/>
      <c r="Z2" s="700"/>
      <c r="AA2" s="700"/>
      <c r="AB2" s="700"/>
      <c r="AC2" s="700"/>
      <c r="AD2" s="701"/>
    </row>
    <row r="3" spans="3:30">
      <c r="C3" s="238"/>
      <c r="W3" s="702"/>
      <c r="X3" s="703"/>
      <c r="Y3" s="703"/>
      <c r="Z3" s="703"/>
      <c r="AA3" s="703"/>
      <c r="AB3" s="703"/>
      <c r="AC3" s="703"/>
      <c r="AD3" s="70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238"/>
      <c r="W6" s="241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238"/>
      <c r="E7" s="490" t="s">
        <v>1631</v>
      </c>
      <c r="W7" s="241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238"/>
      <c r="W8" s="241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238"/>
      <c r="W9" s="241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238"/>
      <c r="W10" s="241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238"/>
      <c r="W11" s="241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238"/>
      <c r="W12" s="241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238"/>
      <c r="W13" s="241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238"/>
      <c r="W14" s="241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238"/>
      <c r="W15" s="241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238"/>
      <c r="W16" s="241">
        <v>11</v>
      </c>
      <c r="X16" s="648" t="s">
        <v>1455</v>
      </c>
      <c r="Y16" s="648"/>
      <c r="Z16" s="648"/>
      <c r="AA16" s="648"/>
      <c r="AB16" s="648"/>
      <c r="AC16" s="648"/>
      <c r="AD16" s="649"/>
    </row>
    <row r="17" spans="3:30">
      <c r="C17" s="238"/>
      <c r="S17" s="242"/>
      <c r="W17" s="241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243"/>
      <c r="D18" s="244"/>
      <c r="E18" s="244"/>
      <c r="W18" s="241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238"/>
      <c r="W19" s="245"/>
      <c r="X19" s="697"/>
      <c r="Y19" s="697"/>
      <c r="Z19" s="697"/>
      <c r="AA19" s="697"/>
      <c r="AB19" s="697"/>
      <c r="AC19" s="697"/>
      <c r="AD19" s="698"/>
    </row>
    <row r="20" spans="3:30">
      <c r="C20" s="238"/>
      <c r="W20" s="684" t="s">
        <v>992</v>
      </c>
      <c r="X20" s="685"/>
      <c r="Y20" s="685"/>
      <c r="Z20" s="685"/>
      <c r="AA20" s="685"/>
      <c r="AB20" s="685"/>
      <c r="AC20" s="685"/>
      <c r="AD20" s="686"/>
    </row>
    <row r="21" spans="3:30">
      <c r="C21" s="238"/>
      <c r="W21" s="687" t="s">
        <v>985</v>
      </c>
      <c r="X21" s="688"/>
      <c r="Y21" s="688"/>
      <c r="Z21" s="689"/>
      <c r="AA21" s="690" t="s">
        <v>986</v>
      </c>
      <c r="AB21" s="691"/>
      <c r="AC21" s="691"/>
      <c r="AD21" s="692"/>
    </row>
    <row r="22" spans="3:30">
      <c r="C22" s="238"/>
      <c r="W22" s="693"/>
      <c r="X22" s="694"/>
      <c r="Y22" s="492"/>
      <c r="Z22" s="493"/>
      <c r="AA22" s="695"/>
      <c r="AB22" s="696"/>
      <c r="AC22" s="248"/>
      <c r="AD22" s="249"/>
    </row>
    <row r="23" spans="3:30">
      <c r="C23" s="238"/>
      <c r="W23" s="693" t="s">
        <v>1627</v>
      </c>
      <c r="X23" s="694"/>
      <c r="Y23" s="492">
        <v>1</v>
      </c>
      <c r="Z23" s="493"/>
      <c r="AA23" s="682" t="s">
        <v>1624</v>
      </c>
      <c r="AB23" s="683"/>
      <c r="AC23" s="248"/>
      <c r="AD23" s="249">
        <v>2</v>
      </c>
    </row>
    <row r="24" spans="3:30">
      <c r="C24" s="238"/>
      <c r="W24" s="677" t="s">
        <v>1625</v>
      </c>
      <c r="X24" s="679"/>
      <c r="Y24" s="246">
        <v>1</v>
      </c>
      <c r="Z24" s="247"/>
      <c r="AA24" s="680"/>
      <c r="AB24" s="681"/>
      <c r="AC24" s="248"/>
      <c r="AD24" s="249"/>
    </row>
    <row r="25" spans="3:30">
      <c r="C25" s="238"/>
      <c r="W25" s="677" t="s">
        <v>1618</v>
      </c>
      <c r="X25" s="679"/>
      <c r="Y25" s="246">
        <v>2</v>
      </c>
      <c r="Z25" s="247"/>
      <c r="AA25" s="682"/>
      <c r="AB25" s="683"/>
      <c r="AC25" s="248"/>
      <c r="AD25" s="249"/>
    </row>
    <row r="26" spans="3:30">
      <c r="C26" s="238"/>
      <c r="W26" s="480" t="s">
        <v>1628</v>
      </c>
      <c r="X26" s="481"/>
      <c r="Y26" s="246">
        <v>1</v>
      </c>
      <c r="Z26" s="247"/>
      <c r="AA26" s="682"/>
      <c r="AB26" s="683"/>
      <c r="AC26" s="248"/>
      <c r="AD26" s="249"/>
    </row>
    <row r="27" spans="3:30">
      <c r="C27" s="238"/>
      <c r="W27" s="480" t="s">
        <v>1620</v>
      </c>
      <c r="X27" s="481"/>
      <c r="Y27" s="246">
        <v>2</v>
      </c>
      <c r="Z27" s="247"/>
      <c r="AA27" s="676"/>
      <c r="AB27" s="671"/>
      <c r="AC27" s="248"/>
      <c r="AD27" s="249"/>
    </row>
    <row r="28" spans="3:30">
      <c r="C28" s="238"/>
      <c r="W28" s="480" t="s">
        <v>1629</v>
      </c>
      <c r="X28" s="481"/>
      <c r="Y28" s="246">
        <v>1</v>
      </c>
      <c r="Z28" s="247"/>
      <c r="AA28" s="676"/>
      <c r="AB28" s="671"/>
      <c r="AC28" s="248"/>
      <c r="AD28" s="249"/>
    </row>
    <row r="29" spans="3:30">
      <c r="C29" s="238"/>
      <c r="W29" s="480" t="s">
        <v>1630</v>
      </c>
      <c r="X29" s="481"/>
      <c r="Y29" s="246">
        <v>2</v>
      </c>
      <c r="Z29" s="247"/>
      <c r="AA29" s="676"/>
      <c r="AB29" s="671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6"/>
      <c r="AB30" s="671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6"/>
      <c r="AB31" s="671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6"/>
      <c r="AB32" s="671"/>
      <c r="AC32" s="248"/>
      <c r="AD32" s="249"/>
    </row>
    <row r="33" spans="3:30">
      <c r="C33" s="238"/>
      <c r="W33" s="480"/>
      <c r="X33" s="481"/>
      <c r="Y33" s="246"/>
      <c r="Z33" s="247"/>
      <c r="AA33" s="676"/>
      <c r="AB33" s="671"/>
      <c r="AC33" s="248"/>
      <c r="AD33" s="249"/>
    </row>
    <row r="34" spans="3:30">
      <c r="C34" s="238"/>
      <c r="W34" s="480"/>
      <c r="X34" s="481"/>
      <c r="Y34" s="246"/>
      <c r="Z34" s="247"/>
      <c r="AA34" s="676"/>
      <c r="AB34" s="671"/>
      <c r="AC34" s="248"/>
      <c r="AD34" s="249"/>
    </row>
    <row r="35" spans="3:30">
      <c r="C35" s="238"/>
      <c r="W35" s="677"/>
      <c r="X35" s="678"/>
      <c r="Y35" s="246"/>
      <c r="Z35" s="247"/>
      <c r="AA35" s="676"/>
      <c r="AB35" s="671"/>
      <c r="AC35" s="248"/>
      <c r="AD35" s="249"/>
    </row>
    <row r="36" spans="3:30">
      <c r="C36" s="238"/>
      <c r="W36" s="668"/>
      <c r="X36" s="669"/>
      <c r="Y36" s="246"/>
      <c r="Z36" s="251"/>
      <c r="AA36" s="670"/>
      <c r="AB36" s="671"/>
      <c r="AC36" s="248"/>
      <c r="AD36" s="249"/>
    </row>
    <row r="37" spans="3:30" ht="12.75" customHeight="1">
      <c r="C37" s="238"/>
      <c r="W37" s="672"/>
      <c r="X37" s="673"/>
      <c r="Y37" s="246"/>
      <c r="Z37" s="251"/>
      <c r="AA37" s="674"/>
      <c r="AB37" s="675"/>
      <c r="AC37" s="252"/>
      <c r="AD37" s="253"/>
    </row>
    <row r="38" spans="3:30" ht="12.75" customHeight="1">
      <c r="C38" s="238"/>
      <c r="W38" s="672"/>
      <c r="X38" s="673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3"/>
      <c r="W39" s="672"/>
      <c r="X39" s="673"/>
      <c r="Y39" s="254"/>
      <c r="Z39" s="257"/>
      <c r="AA39" s="664"/>
      <c r="AB39" s="665"/>
      <c r="AC39" s="252"/>
      <c r="AD39" s="253"/>
    </row>
    <row r="40" spans="3:30" ht="12" customHeight="1">
      <c r="C40" s="238"/>
      <c r="D40" s="513"/>
      <c r="W40" s="660"/>
      <c r="X40" s="661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3"/>
      <c r="W41" s="662"/>
      <c r="X41" s="663"/>
      <c r="Y41" s="260"/>
      <c r="Z41" s="261"/>
      <c r="AA41" s="664"/>
      <c r="AB41" s="665"/>
      <c r="AC41" s="252"/>
      <c r="AD41" s="253"/>
    </row>
    <row r="42" spans="3:30" ht="12" customHeight="1">
      <c r="C42" s="238"/>
      <c r="D42" s="513"/>
      <c r="W42" s="666" t="s">
        <v>1456</v>
      </c>
      <c r="X42" s="667"/>
      <c r="Y42" s="667"/>
      <c r="Z42" s="667"/>
      <c r="AA42" s="262"/>
      <c r="AB42" s="262"/>
      <c r="AC42" s="262"/>
      <c r="AD42" s="263"/>
    </row>
    <row r="43" spans="3:30" ht="12" customHeight="1">
      <c r="C43" s="238"/>
      <c r="D43" s="513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3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5" t="s">
        <v>11</v>
      </c>
      <c r="X44" s="646"/>
      <c r="Y44" s="648"/>
      <c r="Z44" s="648"/>
      <c r="AA44" s="648"/>
      <c r="AB44" s="648"/>
      <c r="AC44" s="648"/>
      <c r="AD44" s="649"/>
    </row>
    <row r="45" spans="3:30">
      <c r="C45" s="268"/>
      <c r="D45" s="513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5" t="s">
        <v>984</v>
      </c>
      <c r="X45" s="646"/>
      <c r="Y45" s="648">
        <v>1</v>
      </c>
      <c r="Z45" s="648"/>
      <c r="AA45" s="648"/>
      <c r="AB45" s="648" t="s">
        <v>12</v>
      </c>
      <c r="AC45" s="64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5" t="s">
        <v>15</v>
      </c>
      <c r="X46" s="646"/>
      <c r="Y46" s="659"/>
      <c r="Z46" s="659"/>
      <c r="AA46" s="659"/>
      <c r="AB46" s="648" t="s">
        <v>16</v>
      </c>
      <c r="AC46" s="64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3" t="s">
        <v>17</v>
      </c>
      <c r="X47" s="653"/>
      <c r="Y47" s="653"/>
      <c r="Z47" s="653"/>
      <c r="AA47" s="653"/>
      <c r="AB47" s="653"/>
      <c r="AC47" s="653"/>
      <c r="AD47" s="65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5" t="str">
        <f>RAB!G6</f>
        <v>MUSHOLA MIFTAHUL JANNAH</v>
      </c>
      <c r="X48" s="655"/>
      <c r="Y48" s="655"/>
      <c r="Z48" s="655"/>
      <c r="AA48" s="655"/>
      <c r="AB48" s="655"/>
      <c r="AC48" s="655"/>
      <c r="AD48" s="65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5"/>
      <c r="X49" s="655"/>
      <c r="Y49" s="655"/>
      <c r="Z49" s="655"/>
      <c r="AA49" s="655"/>
      <c r="AB49" s="655"/>
      <c r="AC49" s="655"/>
      <c r="AD49" s="65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5"/>
      <c r="X50" s="655"/>
      <c r="Y50" s="655"/>
      <c r="Z50" s="655"/>
      <c r="AA50" s="655"/>
      <c r="AB50" s="655"/>
      <c r="AC50" s="655"/>
      <c r="AD50" s="65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7"/>
      <c r="X51" s="657"/>
      <c r="Y51" s="657"/>
      <c r="Z51" s="657"/>
      <c r="AA51" s="657"/>
      <c r="AB51" s="657"/>
      <c r="AC51" s="657"/>
      <c r="AD51" s="65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5" t="s">
        <v>18</v>
      </c>
      <c r="X52" s="646"/>
      <c r="Y52" s="648" t="s">
        <v>1549</v>
      </c>
      <c r="Z52" s="648"/>
      <c r="AA52" s="648"/>
      <c r="AB52" s="648"/>
      <c r="AC52" s="648"/>
      <c r="AD52" s="64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5" t="s">
        <v>19</v>
      </c>
      <c r="X53" s="646"/>
      <c r="Y53" s="648" t="s">
        <v>1549</v>
      </c>
      <c r="Z53" s="648"/>
      <c r="AA53" s="648"/>
      <c r="AB53" s="648"/>
      <c r="AC53" s="648"/>
      <c r="AD53" s="64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5" t="s">
        <v>20</v>
      </c>
      <c r="X54" s="646"/>
      <c r="Y54" s="647" t="s">
        <v>1550</v>
      </c>
      <c r="Z54" s="647"/>
      <c r="AA54" s="647"/>
      <c r="AB54" s="648"/>
      <c r="AC54" s="648"/>
      <c r="AD54" s="64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0" t="s">
        <v>21</v>
      </c>
      <c r="X55" s="651"/>
      <c r="Y55" s="647" t="s">
        <v>1551</v>
      </c>
      <c r="Z55" s="647"/>
      <c r="AA55" s="647"/>
      <c r="AB55" s="647"/>
      <c r="AC55" s="647"/>
      <c r="AD55" s="652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V30" sqref="V3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5" t="s">
        <v>1528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217"/>
      <c r="AE4" s="216"/>
      <c r="AF4" s="216"/>
    </row>
    <row r="5" spans="2:32" ht="13.5" customHeight="1">
      <c r="B5" s="215"/>
      <c r="C5" s="215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217"/>
      <c r="AE5" s="216"/>
      <c r="AF5" s="216"/>
    </row>
    <row r="6" spans="2:32" ht="12.75" customHeight="1">
      <c r="B6" s="215"/>
      <c r="C6" s="215"/>
      <c r="D6" s="708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10"/>
      <c r="AE6" s="216"/>
      <c r="AF6" s="216"/>
    </row>
    <row r="7" spans="2:32" ht="12.75" customHeight="1" thickBot="1">
      <c r="B7" s="215"/>
      <c r="C7" s="215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9" t="s">
        <v>1527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9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4" t="s">
        <v>1637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182"/>
      <c r="Y6" s="428"/>
      <c r="Z6" s="428"/>
      <c r="AA6" s="428"/>
      <c r="AB6" s="429"/>
      <c r="AC6" s="429"/>
    </row>
    <row r="7" spans="1:29" ht="18" customHeight="1">
      <c r="A7" s="181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2024-05-17T01:48:13Z</dcterms:modified>
</cp:coreProperties>
</file>